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00" windowHeight="9345" tabRatio="875" firstSheet="12" activeTab="3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2" sheetId="72"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72" l="1"/>
  <c r="I6" i="72"/>
  <c r="T24" i="31" l="1"/>
  <c r="A3" i="3"/>
  <c r="E14" i="3"/>
  <c r="T25" i="31" s="1"/>
  <c r="B15" i="66" s="1"/>
  <c r="E13" i="3"/>
  <c r="I13" i="3"/>
  <c r="B24" i="31" s="1"/>
  <c r="U24" i="31" s="1"/>
  <c r="I14" i="3"/>
  <c r="B25" i="31" s="1"/>
  <c r="C15" i="66" l="1"/>
  <c r="U25" i="31"/>
  <c r="T22" i="31"/>
  <c r="P15" i="71"/>
  <c r="P14" i="71"/>
  <c r="P13" i="71"/>
  <c r="P12" i="71"/>
  <c r="P11" i="71"/>
  <c r="P10" i="71"/>
  <c r="P9" i="71"/>
  <c r="P8" i="71"/>
  <c r="P7" i="71"/>
  <c r="P6" i="71"/>
  <c r="P5" i="71"/>
  <c r="P4" i="71"/>
  <c r="P3" i="71"/>
  <c r="P16" i="71"/>
  <c r="P2" i="71"/>
  <c r="O11" i="72" l="1"/>
  <c r="O12" i="72"/>
  <c r="O13" i="72"/>
  <c r="O14" i="72"/>
  <c r="O15" i="72"/>
  <c r="O16" i="72"/>
  <c r="O17" i="72"/>
  <c r="O18" i="72"/>
  <c r="O19" i="72"/>
  <c r="O20" i="72"/>
  <c r="O21" i="72"/>
  <c r="O10" i="72"/>
  <c r="O9" i="72"/>
  <c r="O8" i="72"/>
  <c r="O23" i="72" s="1"/>
  <c r="I40" i="39" l="1"/>
  <c r="G40" i="39"/>
  <c r="E40" i="39"/>
  <c r="I9" i="39"/>
  <c r="G9" i="39"/>
  <c r="E9" i="39"/>
  <c r="I7" i="39"/>
  <c r="G7" i="39"/>
  <c r="E7" i="39"/>
  <c r="L16" i="71"/>
  <c r="L15" i="71"/>
  <c r="L14" i="71"/>
  <c r="L13" i="71"/>
  <c r="L12" i="71"/>
  <c r="L11" i="71"/>
  <c r="L10" i="71"/>
  <c r="L9" i="71"/>
  <c r="L8" i="71"/>
  <c r="L7" i="71"/>
  <c r="L6" i="71"/>
  <c r="L5" i="71"/>
  <c r="L4" i="71"/>
  <c r="L3" i="71"/>
  <c r="L2" i="71"/>
  <c r="F13" i="4" l="1"/>
  <c r="C11" i="4" l="1"/>
  <c r="B7" i="4"/>
  <c r="F19" i="6" l="1"/>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U22" i="31" s="1"/>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Y10"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O21" i="59"/>
  <c r="C22" i="59" s="1"/>
  <c r="D22" i="59" s="1"/>
  <c r="N21" i="59"/>
  <c r="B22" i="59" s="1"/>
  <c r="B23" i="59" s="1"/>
  <c r="B24" i="59" s="1"/>
  <c r="S24" i="59" s="1"/>
  <c r="D21" i="59"/>
  <c r="Q20" i="59"/>
  <c r="P20" i="59"/>
  <c r="O20" i="59"/>
  <c r="N20" i="59"/>
  <c r="Q19" i="59"/>
  <c r="P19" i="59"/>
  <c r="O19" i="59"/>
  <c r="N19" i="59"/>
  <c r="Q18" i="59"/>
  <c r="P18" i="59"/>
  <c r="O18" i="59"/>
  <c r="N18" i="59"/>
  <c r="Q17" i="59"/>
  <c r="F18" i="59" s="1"/>
  <c r="F19" i="59" s="1"/>
  <c r="F20" i="59" s="1"/>
  <c r="V20" i="59" s="1"/>
  <c r="P17" i="59"/>
  <c r="O17" i="59"/>
  <c r="C18" i="59" s="1"/>
  <c r="N17" i="59"/>
  <c r="D17" i="59"/>
  <c r="E18" i="59"/>
  <c r="E19" i="59" s="1"/>
  <c r="E20" i="59" s="1"/>
  <c r="U20" i="59" s="1"/>
  <c r="F32" i="59"/>
  <c r="V32" i="59" s="1"/>
  <c r="F44" i="59"/>
  <c r="V44" i="59" s="1"/>
  <c r="V48" i="59"/>
  <c r="O56" i="59"/>
  <c r="C55" i="59"/>
  <c r="O55" i="59" s="1"/>
  <c r="U56" i="59"/>
  <c r="E59" i="59"/>
  <c r="E58" i="59" s="1"/>
  <c r="C63" i="59"/>
  <c r="D63" i="59" s="1"/>
  <c r="E67" i="59"/>
  <c r="E66" i="59" s="1"/>
  <c r="C71" i="59"/>
  <c r="C70" i="59" s="1"/>
  <c r="C75" i="59"/>
  <c r="D75" i="59" s="1"/>
  <c r="U16" i="4"/>
  <c r="S16" i="4"/>
  <c r="Q16" i="4"/>
  <c r="O16" i="4"/>
  <c r="M16" i="4"/>
  <c r="K16" i="4"/>
  <c r="D70" i="59"/>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s="1"/>
  <c r="C22" i="20"/>
  <c r="B65" i="46" s="1"/>
  <c r="S27" i="40"/>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H46" i="21" s="1"/>
  <c r="B128" i="21"/>
  <c r="F45" i="21" s="1"/>
  <c r="B126" i="21"/>
  <c r="J44" i="21" s="1"/>
  <c r="AC44" i="21" s="1"/>
  <c r="B98" i="21"/>
  <c r="J31" i="21" s="1"/>
  <c r="B96" i="21"/>
  <c r="H30" i="21" s="1"/>
  <c r="U30" i="21" s="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E21" i="6" s="1"/>
  <c r="K8" i="1"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F19" i="21"/>
  <c r="AA19" i="21" s="1"/>
  <c r="J26" i="21"/>
  <c r="W26" i="21" s="1"/>
  <c r="F26" i="21"/>
  <c r="AA26" i="21" s="1"/>
  <c r="S10" i="39"/>
  <c r="U30" i="37"/>
  <c r="E103" i="37"/>
  <c r="F103" i="37" s="1"/>
  <c r="G103" i="37" s="1"/>
  <c r="F29" i="36"/>
  <c r="AA29" i="36" s="1"/>
  <c r="F16" i="36"/>
  <c r="AA16" i="36" s="1"/>
  <c r="U22" i="36"/>
  <c r="U26" i="36"/>
  <c r="AC31" i="36"/>
  <c r="J33" i="36"/>
  <c r="W33" i="36" s="1"/>
  <c r="W36" i="35"/>
  <c r="S31" i="35"/>
  <c r="W31" i="35"/>
  <c r="F36" i="34"/>
  <c r="S36" i="34" s="1"/>
  <c r="W39" i="34"/>
  <c r="H39" i="33"/>
  <c r="AB39" i="33" s="1"/>
  <c r="W38" i="33"/>
  <c r="S8" i="21"/>
  <c r="S10" i="40"/>
  <c r="W10" i="40"/>
  <c r="S11" i="40"/>
  <c r="U11" i="40"/>
  <c r="S36" i="40"/>
  <c r="U36" i="40"/>
  <c r="S36" i="39"/>
  <c r="AA38" i="21"/>
  <c r="U36" i="39"/>
  <c r="S42" i="39"/>
  <c r="H32" i="33"/>
  <c r="AB32" i="33"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AB8" i="36"/>
  <c r="H16" i="35"/>
  <c r="U16" i="35" s="1"/>
  <c r="H33" i="35"/>
  <c r="AB33" i="35" s="1"/>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AA14" i="21"/>
  <c r="J28" i="21"/>
  <c r="AC28" i="21" s="1"/>
  <c r="F30" i="21"/>
  <c r="S30" i="21" s="1"/>
  <c r="H44" i="21"/>
  <c r="U44" i="21" s="1"/>
  <c r="J46" i="21"/>
  <c r="W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31" i="33"/>
  <c r="AC31" i="33" s="1"/>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6"/>
  <c r="W25" i="36" s="1"/>
  <c r="H25" i="36"/>
  <c r="H13" i="37"/>
  <c r="AB13" i="37" s="1"/>
  <c r="F13" i="37"/>
  <c r="S13" i="37" s="1"/>
  <c r="J13" i="37"/>
  <c r="AC13" i="37" s="1"/>
  <c r="F28" i="37"/>
  <c r="AA28" i="37" s="1"/>
  <c r="H28" i="37"/>
  <c r="U28" i="37" s="1"/>
  <c r="J38" i="37"/>
  <c r="AC38" i="37" s="1"/>
  <c r="F14" i="37"/>
  <c r="AA14" i="37" s="1"/>
  <c r="J36" i="37"/>
  <c r="AC36" i="37" s="1"/>
  <c r="S46" i="33"/>
  <c r="G517" i="3"/>
  <c r="G508" i="3"/>
  <c r="G499" i="3"/>
  <c r="G493" i="3"/>
  <c r="G17" i="3"/>
  <c r="G561" i="3"/>
  <c r="BL557" i="3"/>
  <c r="BL501" i="3"/>
  <c r="BL483" i="3"/>
  <c r="G16" i="3"/>
  <c r="BL563" i="3"/>
  <c r="BL541" i="3"/>
  <c r="G518" i="3"/>
  <c r="BL503" i="3"/>
  <c r="BA561" i="3"/>
  <c r="BA543" i="3"/>
  <c r="BA501" i="3"/>
  <c r="AZ501" i="3" s="1"/>
  <c r="BA487" i="3"/>
  <c r="BA560" i="3"/>
  <c r="BA540" i="3"/>
  <c r="BA524" i="3"/>
  <c r="BA516" i="3"/>
  <c r="BA508" i="3"/>
  <c r="BA498" i="3"/>
  <c r="BA492" i="3"/>
  <c r="G566" i="3"/>
  <c r="G554" i="3"/>
  <c r="AC542" i="3"/>
  <c r="BQ542" i="3"/>
  <c r="BQ568" i="3"/>
  <c r="BQ566" i="3"/>
  <c r="BL566" i="3" s="1"/>
  <c r="BQ564" i="3"/>
  <c r="BL564" i="3" s="1"/>
  <c r="BQ562" i="3"/>
  <c r="BL562" i="3" s="1"/>
  <c r="BQ560" i="3"/>
  <c r="BQ558" i="3"/>
  <c r="BQ556" i="3"/>
  <c r="BQ554" i="3"/>
  <c r="BQ552" i="3"/>
  <c r="BQ550" i="3"/>
  <c r="BQ548" i="3"/>
  <c r="BQ546" i="3"/>
  <c r="BQ544" i="3"/>
  <c r="G544" i="3"/>
  <c r="BQ540" i="3"/>
  <c r="BL540" i="3" s="1"/>
  <c r="AZ540" i="3" s="1"/>
  <c r="BQ538" i="3"/>
  <c r="BQ536" i="3"/>
  <c r="BQ534" i="3"/>
  <c r="BL534" i="3" s="1"/>
  <c r="BQ532" i="3"/>
  <c r="BL532" i="3" s="1"/>
  <c r="BQ530" i="3"/>
  <c r="BQ528" i="3"/>
  <c r="BL528" i="3" s="1"/>
  <c r="BQ526" i="3"/>
  <c r="BL526" i="3" s="1"/>
  <c r="BQ524" i="3"/>
  <c r="BL524" i="3" s="1"/>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s="1"/>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AZ122" i="3" s="1"/>
  <c r="BL123" i="3"/>
  <c r="G124" i="3"/>
  <c r="BA126" i="3"/>
  <c r="AZ126" i="3" s="1"/>
  <c r="BL127" i="3"/>
  <c r="G128" i="3"/>
  <c r="BA130" i="3"/>
  <c r="BL131" i="3"/>
  <c r="G132" i="3"/>
  <c r="BA134" i="3"/>
  <c r="BL135" i="3"/>
  <c r="G136" i="3"/>
  <c r="BA138" i="3"/>
  <c r="AZ138" i="3" s="1"/>
  <c r="BL139" i="3"/>
  <c r="G140" i="3"/>
  <c r="BA142" i="3"/>
  <c r="AZ142" i="3" s="1"/>
  <c r="BL143" i="3"/>
  <c r="G144" i="3"/>
  <c r="BA146" i="3"/>
  <c r="AZ146" i="3" s="1"/>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7" i="3"/>
  <c r="AZ31" i="3"/>
  <c r="AZ35" i="3"/>
  <c r="G537" i="3"/>
  <c r="BL181" i="3"/>
  <c r="G182" i="3"/>
  <c r="BA184" i="3"/>
  <c r="BL185" i="3"/>
  <c r="G186" i="3"/>
  <c r="BA188" i="3"/>
  <c r="BL189" i="3"/>
  <c r="G190" i="3"/>
  <c r="BA192" i="3"/>
  <c r="AZ192" i="3" s="1"/>
  <c r="BL193" i="3"/>
  <c r="G194" i="3"/>
  <c r="BA196" i="3"/>
  <c r="BL197" i="3"/>
  <c r="G198" i="3"/>
  <c r="BA200" i="3"/>
  <c r="AZ200" i="3" s="1"/>
  <c r="BL201" i="3"/>
  <c r="AZ201" i="3" s="1"/>
  <c r="AZ66"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AZ372" i="3"/>
  <c r="BA373" i="3"/>
  <c r="BL373" i="3"/>
  <c r="AZ373" i="3" s="1"/>
  <c r="G374" i="3"/>
  <c r="G377" i="3"/>
  <c r="BL378" i="3"/>
  <c r="BA380" i="3"/>
  <c r="BA381" i="3"/>
  <c r="BL381" i="3"/>
  <c r="G382" i="3"/>
  <c r="G385" i="3"/>
  <c r="AZ203" i="3"/>
  <c r="BL297" i="3"/>
  <c r="G298" i="3"/>
  <c r="BA300" i="3"/>
  <c r="AZ300" i="3" s="1"/>
  <c r="BL301" i="3"/>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BL333" i="3"/>
  <c r="AZ333" i="3" s="1"/>
  <c r="G334" i="3"/>
  <c r="BA336" i="3"/>
  <c r="BL337" i="3"/>
  <c r="G338" i="3"/>
  <c r="BA340" i="3"/>
  <c r="AZ340" i="3" s="1"/>
  <c r="BL341" i="3"/>
  <c r="AZ341" i="3" s="1"/>
  <c r="G342" i="3"/>
  <c r="BA344" i="3"/>
  <c r="BL345" i="3"/>
  <c r="G346" i="3"/>
  <c r="BA348" i="3"/>
  <c r="BL349" i="3"/>
  <c r="G350" i="3"/>
  <c r="BA352" i="3"/>
  <c r="BL353" i="3"/>
  <c r="G354" i="3"/>
  <c r="BA356" i="3"/>
  <c r="AZ356" i="3" s="1"/>
  <c r="BL357" i="3"/>
  <c r="G358" i="3"/>
  <c r="BA362" i="3"/>
  <c r="BL363" i="3"/>
  <c r="G364" i="3"/>
  <c r="BA366" i="3"/>
  <c r="BL367" i="3"/>
  <c r="AZ337" i="3"/>
  <c r="AZ357" i="3"/>
  <c r="G368" i="3"/>
  <c r="BA370" i="3"/>
  <c r="BL371" i="3"/>
  <c r="G372" i="3"/>
  <c r="BA374" i="3"/>
  <c r="BL375" i="3"/>
  <c r="G376" i="3"/>
  <c r="BA378" i="3"/>
  <c r="AZ378" i="3" s="1"/>
  <c r="BL379" i="3"/>
  <c r="G380" i="3"/>
  <c r="BA382" i="3"/>
  <c r="BL383" i="3"/>
  <c r="G384" i="3"/>
  <c r="AZ313" i="3"/>
  <c r="AZ319"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s="1"/>
  <c r="F14" i="35"/>
  <c r="S14" i="35" s="1"/>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s="1"/>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BL523" i="3"/>
  <c r="BA522" i="3"/>
  <c r="BA519" i="3"/>
  <c r="BA518" i="3"/>
  <c r="BL517" i="3"/>
  <c r="BL515" i="3"/>
  <c r="BA514" i="3"/>
  <c r="BA513" i="3"/>
  <c r="BA511" i="3"/>
  <c r="BA510" i="3"/>
  <c r="BA507" i="3"/>
  <c r="BA506" i="3"/>
  <c r="BL505" i="3"/>
  <c r="BA503" i="3"/>
  <c r="AZ503" i="3" s="1"/>
  <c r="BA500" i="3"/>
  <c r="BL499" i="3"/>
  <c r="BA499" i="3"/>
  <c r="BL498" i="3"/>
  <c r="AZ498" i="3" s="1"/>
  <c r="BL497" i="3"/>
  <c r="BA497" i="3"/>
  <c r="BA496" i="3"/>
  <c r="AZ496" i="3" s="1"/>
  <c r="BA495" i="3"/>
  <c r="BL494" i="3"/>
  <c r="BA494" i="3"/>
  <c r="G494" i="3"/>
  <c r="BA491" i="3"/>
  <c r="BL490" i="3"/>
  <c r="BA490" i="3"/>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U8" i="21"/>
  <c r="AB8" i="21"/>
  <c r="AC36" i="21"/>
  <c r="U8" i="33"/>
  <c r="E106" i="33"/>
  <c r="F106" i="33" s="1"/>
  <c r="G106" i="33" s="1"/>
  <c r="H106" i="33" s="1"/>
  <c r="I106" i="33" s="1"/>
  <c r="J106" i="33" s="1"/>
  <c r="K106" i="33" s="1"/>
  <c r="L106" i="33" s="1"/>
  <c r="M106" i="33" s="1"/>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97" i="39" s="1"/>
  <c r="G97" i="39" s="1"/>
  <c r="F27" i="39"/>
  <c r="AA27" i="39" s="1"/>
  <c r="J27" i="39"/>
  <c r="AC27" i="39" s="1"/>
  <c r="F15" i="40"/>
  <c r="AA15" i="40" s="1"/>
  <c r="J15" i="40"/>
  <c r="AC15" i="40" s="1"/>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B41" i="1"/>
  <c r="J42" i="40"/>
  <c r="AC42" i="40" s="1"/>
  <c r="J34" i="40"/>
  <c r="AC34" i="40" s="1"/>
  <c r="H16" i="40"/>
  <c r="H14" i="40"/>
  <c r="F32" i="40"/>
  <c r="AA32" i="40" s="1"/>
  <c r="M1" i="46"/>
  <c r="M6" i="46"/>
  <c r="M10" i="46"/>
  <c r="N2" i="46"/>
  <c r="N5" i="46"/>
  <c r="F58" i="46"/>
  <c r="H61" i="46" s="1"/>
  <c r="N7" i="46"/>
  <c r="M7" i="46"/>
  <c r="M11" i="46"/>
  <c r="N3" i="46"/>
  <c r="N6" i="46"/>
  <c r="N10" i="46"/>
  <c r="F69" i="46"/>
  <c r="J13" i="40"/>
  <c r="W13" i="40" s="1"/>
  <c r="F27" i="43"/>
  <c r="C27" i="43" s="1"/>
  <c r="S47" i="39"/>
  <c r="J23" i="40"/>
  <c r="F23" i="40"/>
  <c r="W15" i="40"/>
  <c r="H20" i="35"/>
  <c r="AB20" i="35" s="1"/>
  <c r="F20" i="35"/>
  <c r="S20" i="35" s="1"/>
  <c r="H15" i="34"/>
  <c r="G78" i="34"/>
  <c r="J15" i="34"/>
  <c r="H41" i="33"/>
  <c r="U41" i="33" s="1"/>
  <c r="F30" i="40"/>
  <c r="J100" i="40"/>
  <c r="K100" i="40" s="1"/>
  <c r="L100" i="40" s="1"/>
  <c r="M100" i="40" s="1"/>
  <c r="AA14" i="35"/>
  <c r="F33" i="37"/>
  <c r="AA33" i="37" s="1"/>
  <c r="W12" i="34"/>
  <c r="AA11" i="34"/>
  <c r="W32" i="33"/>
  <c r="H15" i="33"/>
  <c r="AA11" i="33"/>
  <c r="AA13" i="39"/>
  <c r="H25" i="40"/>
  <c r="J37" i="34"/>
  <c r="J36" i="33"/>
  <c r="AA41" i="33"/>
  <c r="J34" i="33"/>
  <c r="U30" i="40"/>
  <c r="W29" i="35"/>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AB14" i="36" s="1"/>
  <c r="F14" i="36"/>
  <c r="AA14" i="36" s="1"/>
  <c r="W20" i="36"/>
  <c r="U32" i="36"/>
  <c r="AA27" i="36"/>
  <c r="S16" i="36"/>
  <c r="S29" i="36"/>
  <c r="S8" i="35"/>
  <c r="U33" i="35"/>
  <c r="AA20" i="35"/>
  <c r="AC10" i="35"/>
  <c r="U9" i="35"/>
  <c r="AC18" i="35"/>
  <c r="W18" i="35"/>
  <c r="U18" i="35"/>
  <c r="AB18" i="35"/>
  <c r="S30" i="35"/>
  <c r="AB30" i="35"/>
  <c r="S27" i="35"/>
  <c r="S28" i="35"/>
  <c r="F26" i="35"/>
  <c r="S26" i="35" s="1"/>
  <c r="AB9" i="37"/>
  <c r="W28" i="37"/>
  <c r="AA31" i="37"/>
  <c r="J33" i="37"/>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U25" i="34" s="1"/>
  <c r="F25" i="34"/>
  <c r="S25" i="34" s="1"/>
  <c r="J23" i="34"/>
  <c r="W23" i="34" s="1"/>
  <c r="F86" i="34"/>
  <c r="G86" i="34" s="1"/>
  <c r="F23" i="34"/>
  <c r="S23" i="34" s="1"/>
  <c r="H23" i="34"/>
  <c r="U23" i="34" s="1"/>
  <c r="W10" i="34"/>
  <c r="U10" i="34"/>
  <c r="AC40" i="34"/>
  <c r="W44" i="34"/>
  <c r="W19" i="34"/>
  <c r="AC21" i="34"/>
  <c r="W21" i="34"/>
  <c r="AB21" i="34"/>
  <c r="U21" i="34"/>
  <c r="U19" i="34"/>
  <c r="S13" i="34"/>
  <c r="U39" i="33"/>
  <c r="U37" i="33"/>
  <c r="AC12"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AB17" i="33" s="1"/>
  <c r="J17" i="33"/>
  <c r="W17" i="33" s="1"/>
  <c r="AC11" i="33"/>
  <c r="S14" i="33"/>
  <c r="AC21" i="33"/>
  <c r="W21" i="33"/>
  <c r="W14" i="33"/>
  <c r="AB21" i="33"/>
  <c r="U21" i="33"/>
  <c r="AA21" i="33"/>
  <c r="S21" i="33"/>
  <c r="AA36" i="33"/>
  <c r="AC34" i="21"/>
  <c r="W43" i="21"/>
  <c r="W28" i="21"/>
  <c r="AC46" i="21"/>
  <c r="AC26" i="21"/>
  <c r="J23" i="21"/>
  <c r="W23" i="21" s="1"/>
  <c r="H23" i="21"/>
  <c r="U23" i="21" s="1"/>
  <c r="J15" i="21"/>
  <c r="AC15" i="21" s="1"/>
  <c r="AC21" i="21"/>
  <c r="W21" i="21"/>
  <c r="AC38" i="21"/>
  <c r="AB21" i="21"/>
  <c r="U21" i="21"/>
  <c r="AB29" i="21"/>
  <c r="AA30" i="21"/>
  <c r="U33" i="40"/>
  <c r="S15" i="40"/>
  <c r="AB13" i="40"/>
  <c r="S16" i="40"/>
  <c r="W11" i="40"/>
  <c r="AA21"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B15" i="39"/>
  <c r="U11" i="39"/>
  <c r="AB38" i="39"/>
  <c r="U31" i="39"/>
  <c r="D96" i="9"/>
  <c r="M18" i="15"/>
  <c r="A18" i="64"/>
  <c r="B74" i="63" s="1"/>
  <c r="C53" i="10"/>
  <c r="A25" i="64" s="1"/>
  <c r="A18" i="51"/>
  <c r="B14" i="63" s="1"/>
  <c r="BA16" i="3"/>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S14" i="37"/>
  <c r="U13" i="37"/>
  <c r="S13" i="21"/>
  <c r="C24" i="9"/>
  <c r="C25" i="9"/>
  <c r="G9" i="1"/>
  <c r="I20" i="46"/>
  <c r="L5" i="54"/>
  <c r="B39" i="63" s="1"/>
  <c r="K5" i="54"/>
  <c r="B38" i="63" s="1"/>
  <c r="T41" i="4"/>
  <c r="A17" i="64"/>
  <c r="B46" i="50"/>
  <c r="B4" i="63" s="1"/>
  <c r="C46" i="36"/>
  <c r="D46" i="36" s="1"/>
  <c r="E46" i="36" s="1"/>
  <c r="F46" i="36" s="1"/>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s="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AB28" i="37"/>
  <c r="S28" i="37"/>
  <c r="W13" i="37"/>
  <c r="U38" i="37"/>
  <c r="AA31" i="34"/>
  <c r="AB35" i="34"/>
  <c r="W47" i="34"/>
  <c r="AB47" i="34"/>
  <c r="AB13" i="34"/>
  <c r="S47" i="34"/>
  <c r="AA29" i="34"/>
  <c r="S19" i="34"/>
  <c r="S8" i="34"/>
  <c r="AA19" i="33"/>
  <c r="AC25" i="33"/>
  <c r="S43" i="33"/>
  <c r="AB42" i="33"/>
  <c r="AB14" i="33"/>
  <c r="AB12" i="33"/>
  <c r="S15" i="33"/>
  <c r="AB25" i="21"/>
  <c r="AB45" i="21"/>
  <c r="W25" i="21"/>
  <c r="AA25" i="21"/>
  <c r="U27" i="21"/>
  <c r="W29" i="21"/>
  <c r="G96" i="40"/>
  <c r="J27" i="40"/>
  <c r="AC27" i="40" s="1"/>
  <c r="W37" i="40"/>
  <c r="S17" i="40"/>
  <c r="W30" i="40"/>
  <c r="S34" i="40"/>
  <c r="U38" i="40"/>
  <c r="S42" i="40"/>
  <c r="J31" i="39"/>
  <c r="W31" i="39" s="1"/>
  <c r="S45" i="39"/>
  <c r="AC46" i="39"/>
  <c r="W42" i="39"/>
  <c r="W36" i="39"/>
  <c r="W16" i="39"/>
  <c r="S15" i="39"/>
  <c r="AA44"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A26" i="35"/>
  <c r="W17" i="37"/>
  <c r="AB25" i="34"/>
  <c r="W25" i="34"/>
  <c r="AB23" i="34"/>
  <c r="AC23" i="34"/>
  <c r="AA25" i="33"/>
  <c r="S25" i="33"/>
  <c r="U23" i="33"/>
  <c r="AB23" i="33"/>
  <c r="W23" i="33"/>
  <c r="AC23" i="33"/>
  <c r="S23" i="33"/>
  <c r="AC17" i="33"/>
  <c r="U17" i="33"/>
  <c r="AB39" i="40"/>
  <c r="U39" i="40"/>
  <c r="W39" i="40"/>
  <c r="AA39" i="40"/>
  <c r="S39" i="40"/>
  <c r="U37" i="40"/>
  <c r="AB37" i="40"/>
  <c r="U29" i="40"/>
  <c r="W29" i="40"/>
  <c r="AC19" i="40"/>
  <c r="S19" i="40"/>
  <c r="A17" i="51"/>
  <c r="B13" i="63" s="1"/>
  <c r="AT6" i="3"/>
  <c r="G66" i="36"/>
  <c r="J18" i="36"/>
  <c r="W18" i="36" s="1"/>
  <c r="AG6" i="1"/>
  <c r="S9" i="1"/>
  <c r="R9" i="1"/>
  <c r="C45" i="9"/>
  <c r="K31" i="9"/>
  <c r="K32" i="9" s="1"/>
  <c r="N76" i="9"/>
  <c r="C46" i="9"/>
  <c r="K33" i="9" s="1"/>
  <c r="D70" i="39"/>
  <c r="C72" i="39"/>
  <c r="D58" i="33"/>
  <c r="E58" i="33" s="1"/>
  <c r="C67" i="40"/>
  <c r="D65" i="40"/>
  <c r="E65" i="40" s="1"/>
  <c r="F65" i="40" s="1"/>
  <c r="H58" i="46"/>
  <c r="J17" i="46"/>
  <c r="C17" i="46"/>
  <c r="F34" i="46"/>
  <c r="F38" i="46"/>
  <c r="F37" i="46"/>
  <c r="H113"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H73" i="46"/>
  <c r="F35" i="46"/>
  <c r="I17" i="46"/>
  <c r="H63" i="46"/>
  <c r="H64" i="46"/>
  <c r="H66" i="46"/>
  <c r="D100" i="46"/>
  <c r="H62" i="46"/>
  <c r="AF12" i="46"/>
  <c r="K100" i="46"/>
  <c r="AB12" i="46"/>
  <c r="AJ12" i="46"/>
  <c r="E22" i="46"/>
  <c r="H60" i="46"/>
  <c r="H59" i="46"/>
  <c r="H74" i="46"/>
  <c r="H65" i="46"/>
  <c r="E10" i="46"/>
  <c r="E9" i="46"/>
  <c r="E11" i="46"/>
  <c r="E8" i="46"/>
  <c r="H72" i="46"/>
  <c r="H77" i="46"/>
  <c r="AD12" i="46"/>
  <c r="AH12" i="46"/>
  <c r="P21" i="46"/>
  <c r="P22" i="46"/>
  <c r="P23" i="46"/>
  <c r="B73" i="39" s="1"/>
  <c r="P25" i="46"/>
  <c r="P24" i="46"/>
  <c r="B68" i="40" s="1"/>
  <c r="G20" i="46"/>
  <c r="E41" i="46" s="1"/>
  <c r="C41" i="46" s="1"/>
  <c r="F31" i="15"/>
  <c r="L48" i="44"/>
  <c r="F14" i="67"/>
  <c r="F38" i="44"/>
  <c r="N5" i="65"/>
  <c r="E14" i="67"/>
  <c r="E11" i="67"/>
  <c r="N3" i="65"/>
  <c r="B10" i="67"/>
  <c r="F12" i="67"/>
  <c r="B12" i="67"/>
  <c r="B9" i="67"/>
  <c r="E12" i="67"/>
  <c r="F9" i="67"/>
  <c r="F39" i="44"/>
  <c r="N4" i="65"/>
  <c r="M25" i="44"/>
  <c r="B8" i="67"/>
  <c r="E13" i="67"/>
  <c r="F8" i="67"/>
  <c r="N7" i="65"/>
  <c r="F10" i="44"/>
  <c r="F18" i="44"/>
  <c r="J3" i="65"/>
  <c r="F15" i="44"/>
  <c r="L47" i="15"/>
  <c r="M11" i="44"/>
  <c r="M8" i="44"/>
  <c r="F11" i="44"/>
  <c r="M29" i="44"/>
  <c r="M26" i="44"/>
  <c r="B11" i="67"/>
  <c r="F10" i="67"/>
  <c r="E9" i="67"/>
  <c r="M28" i="44"/>
  <c r="M30" i="44"/>
  <c r="B14" i="67"/>
  <c r="J17" i="44"/>
  <c r="F43" i="44"/>
  <c r="F11" i="67"/>
  <c r="N6" i="65"/>
  <c r="M10" i="44"/>
  <c r="F8" i="44"/>
  <c r="E10" i="67"/>
  <c r="F38" i="15"/>
  <c r="F40" i="44"/>
  <c r="F26" i="15"/>
  <c r="I7" i="65"/>
  <c r="M24" i="44"/>
  <c r="M27" i="15"/>
  <c r="E8" i="67"/>
  <c r="F13" i="67"/>
  <c r="F28" i="44"/>
  <c r="F45" i="44"/>
  <c r="B13" i="67"/>
  <c r="AZ370" i="3" l="1"/>
  <c r="AZ352" i="3"/>
  <c r="AZ344" i="3"/>
  <c r="AZ336" i="3"/>
  <c r="AZ359" i="3"/>
  <c r="AZ307" i="3"/>
  <c r="AB43" i="33"/>
  <c r="H55" i="46"/>
  <c r="M101" i="46"/>
  <c r="M107" i="46" s="1"/>
  <c r="H48" i="46"/>
  <c r="H49" i="46"/>
  <c r="A9" i="51"/>
  <c r="B9" i="63" s="1"/>
  <c r="AA23" i="34"/>
  <c r="AB19" i="37"/>
  <c r="AA46" i="39"/>
  <c r="U14" i="39"/>
  <c r="W11" i="35"/>
  <c r="W42" i="40"/>
  <c r="S35" i="40"/>
  <c r="S10" i="33"/>
  <c r="AB41" i="33"/>
  <c r="S35" i="33"/>
  <c r="S33" i="37"/>
  <c r="U27" i="36"/>
  <c r="S32" i="33"/>
  <c r="U11" i="36"/>
  <c r="J29" i="39"/>
  <c r="AC29" i="39" s="1"/>
  <c r="AZ497" i="3"/>
  <c r="AZ526" i="3"/>
  <c r="H29" i="39"/>
  <c r="U29" i="39" s="1"/>
  <c r="F29" i="39"/>
  <c r="AA29" i="39" s="1"/>
  <c r="AZ345" i="3"/>
  <c r="H25" i="35"/>
  <c r="AB25" i="35" s="1"/>
  <c r="S31" i="33"/>
  <c r="J29" i="33"/>
  <c r="F46" i="21"/>
  <c r="J30" i="21"/>
  <c r="W30" i="21" s="1"/>
  <c r="AB28" i="21"/>
  <c r="J14" i="21"/>
  <c r="AC14" i="21" s="1"/>
  <c r="W33" i="33"/>
  <c r="F26" i="33"/>
  <c r="J12" i="21"/>
  <c r="H9" i="21"/>
  <c r="AB9" i="21" s="1"/>
  <c r="J9" i="21"/>
  <c r="AC9" i="21" s="1"/>
  <c r="J25" i="37"/>
  <c r="W25" i="37" s="1"/>
  <c r="G564" i="3"/>
  <c r="G560" i="3"/>
  <c r="G531" i="3"/>
  <c r="G487" i="3"/>
  <c r="G19" i="3"/>
  <c r="BA389" i="3"/>
  <c r="AZ389" i="3" s="1"/>
  <c r="BA390" i="3"/>
  <c r="AZ390" i="3" s="1"/>
  <c r="BA391" i="3"/>
  <c r="AZ391" i="3" s="1"/>
  <c r="BL393" i="3"/>
  <c r="G394" i="3"/>
  <c r="BA395" i="3"/>
  <c r="BL395" i="3"/>
  <c r="BA396" i="3"/>
  <c r="AZ396" i="3" s="1"/>
  <c r="BA398" i="3"/>
  <c r="AZ398" i="3" s="1"/>
  <c r="BL398" i="3"/>
  <c r="BL400" i="3"/>
  <c r="G401" i="3"/>
  <c r="G403" i="3"/>
  <c r="BL404" i="3"/>
  <c r="BL406" i="3"/>
  <c r="BA408" i="3"/>
  <c r="BL410" i="3"/>
  <c r="BL412" i="3"/>
  <c r="G415" i="3"/>
  <c r="BL416" i="3"/>
  <c r="G419" i="3"/>
  <c r="BA420" i="3"/>
  <c r="G425" i="3"/>
  <c r="BL426" i="3"/>
  <c r="G429" i="3"/>
  <c r="BL430" i="3"/>
  <c r="G431" i="3"/>
  <c r="BA432" i="3"/>
  <c r="BL432" i="3"/>
  <c r="BA434" i="3"/>
  <c r="BL434" i="3"/>
  <c r="BL435" i="3"/>
  <c r="G436" i="3"/>
  <c r="BA437" i="3"/>
  <c r="BL437" i="3"/>
  <c r="BA439" i="3"/>
  <c r="BL439" i="3"/>
  <c r="BA441" i="3"/>
  <c r="BL441" i="3"/>
  <c r="BL443" i="3"/>
  <c r="G444" i="3"/>
  <c r="G446" i="3"/>
  <c r="BL473" i="3"/>
  <c r="BL475" i="3"/>
  <c r="G478" i="3"/>
  <c r="BL479" i="3"/>
  <c r="BA368" i="3"/>
  <c r="BL380" i="3"/>
  <c r="AZ380" i="3" s="1"/>
  <c r="BA384" i="3"/>
  <c r="BA386" i="3"/>
  <c r="G387" i="3"/>
  <c r="BL388" i="3"/>
  <c r="G205" i="3"/>
  <c r="BA206" i="3"/>
  <c r="BL206" i="3"/>
  <c r="BL208" i="3"/>
  <c r="G209" i="3"/>
  <c r="BA210" i="3"/>
  <c r="BL210" i="3"/>
  <c r="BA211" i="3"/>
  <c r="AZ211" i="3" s="1"/>
  <c r="BA212" i="3"/>
  <c r="AZ212" i="3" s="1"/>
  <c r="BA213" i="3"/>
  <c r="BL213" i="3"/>
  <c r="G216" i="3"/>
  <c r="BL217" i="3"/>
  <c r="G248" i="3"/>
  <c r="BL249" i="3"/>
  <c r="BA255" i="3"/>
  <c r="G256" i="3"/>
  <c r="BA257" i="3"/>
  <c r="AZ257" i="3" s="1"/>
  <c r="BL259" i="3"/>
  <c r="G260" i="3"/>
  <c r="BL265" i="3"/>
  <c r="G286" i="3"/>
  <c r="BA289" i="3"/>
  <c r="G290" i="3"/>
  <c r="BL291" i="3"/>
  <c r="BA293" i="3"/>
  <c r="G294" i="3"/>
  <c r="BL295" i="3"/>
  <c r="BA115" i="3"/>
  <c r="AZ115" i="3" s="1"/>
  <c r="BA117" i="3"/>
  <c r="G122" i="3"/>
  <c r="G126" i="3"/>
  <c r="BA147" i="3"/>
  <c r="AZ147" i="3" s="1"/>
  <c r="G150" i="3"/>
  <c r="G152" i="3"/>
  <c r="BA155" i="3"/>
  <c r="G156" i="3"/>
  <c r="G158" i="3"/>
  <c r="BL159" i="3"/>
  <c r="G160" i="3"/>
  <c r="BL161" i="3"/>
  <c r="AZ161" i="3" s="1"/>
  <c r="BA163" i="3"/>
  <c r="BL163" i="3"/>
  <c r="G164" i="3"/>
  <c r="BL167" i="3"/>
  <c r="BA171" i="3"/>
  <c r="BA177" i="3"/>
  <c r="G178" i="3"/>
  <c r="BA179" i="3"/>
  <c r="AZ179" i="3" s="1"/>
  <c r="BA181" i="3"/>
  <c r="AZ181" i="3" s="1"/>
  <c r="BA183" i="3"/>
  <c r="G184" i="3"/>
  <c r="BA187" i="3"/>
  <c r="G192" i="3"/>
  <c r="BA36" i="3"/>
  <c r="AZ36" i="3" s="1"/>
  <c r="BL38" i="3"/>
  <c r="G39" i="3"/>
  <c r="BL40" i="3"/>
  <c r="G41" i="3"/>
  <c r="BA44" i="3"/>
  <c r="G47" i="3"/>
  <c r="G49" i="3"/>
  <c r="BA50" i="3"/>
  <c r="G51" i="3"/>
  <c r="BA72" i="3"/>
  <c r="BL72" i="3"/>
  <c r="BL73" i="3"/>
  <c r="G74" i="3"/>
  <c r="BA75" i="3"/>
  <c r="AZ75" i="3" s="1"/>
  <c r="BL75" i="3"/>
  <c r="BA76" i="3"/>
  <c r="AZ76" i="3" s="1"/>
  <c r="BA78" i="3"/>
  <c r="BL78" i="3"/>
  <c r="BL80" i="3"/>
  <c r="G81" i="3"/>
  <c r="BA82"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31" i="39"/>
  <c r="S18" i="36"/>
  <c r="C62" i="59"/>
  <c r="D62" i="59" s="1"/>
  <c r="D71" i="59"/>
  <c r="D68" i="59"/>
  <c r="C67" i="59"/>
  <c r="D60" i="59"/>
  <c r="C59" i="59"/>
  <c r="AB20" i="59"/>
  <c r="AA3" i="59"/>
  <c r="N4" i="63"/>
  <c r="B11" i="59"/>
  <c r="B10" i="59" s="1"/>
  <c r="B9" i="59" s="1"/>
  <c r="B8" i="59" s="1"/>
  <c r="AZ16" i="3"/>
  <c r="S40" i="39"/>
  <c r="AC21" i="39"/>
  <c r="E67" i="40"/>
  <c r="U42" i="40"/>
  <c r="AZ490" i="3"/>
  <c r="AZ362" i="3"/>
  <c r="AZ355" i="3"/>
  <c r="AZ377" i="3"/>
  <c r="AZ329" i="3"/>
  <c r="AZ327" i="3"/>
  <c r="AZ303" i="3"/>
  <c r="AB13" i="35"/>
  <c r="BL571" i="3"/>
  <c r="J12" i="35"/>
  <c r="W12" i="35" s="1"/>
  <c r="H26" i="37"/>
  <c r="G555" i="3"/>
  <c r="BA554" i="3"/>
  <c r="G552" i="3"/>
  <c r="BA551" i="3"/>
  <c r="G551" i="3"/>
  <c r="G550" i="3"/>
  <c r="G549" i="3"/>
  <c r="G547" i="3"/>
  <c r="G543" i="3"/>
  <c r="G540" i="3"/>
  <c r="G539" i="3"/>
  <c r="G538" i="3"/>
  <c r="G536" i="3"/>
  <c r="G534" i="3"/>
  <c r="BA532" i="3"/>
  <c r="G532" i="3"/>
  <c r="G530" i="3"/>
  <c r="G529" i="3"/>
  <c r="BL527" i="3"/>
  <c r="G526" i="3"/>
  <c r="BA521" i="3"/>
  <c r="G496" i="3"/>
  <c r="BL493" i="3"/>
  <c r="BA493" i="3"/>
  <c r="BL491" i="3"/>
  <c r="AZ491" i="3" s="1"/>
  <c r="G490" i="3"/>
  <c r="G489" i="3"/>
  <c r="G488" i="3"/>
  <c r="G485" i="3"/>
  <c r="BA484" i="3"/>
  <c r="G484" i="3"/>
  <c r="G15" i="3"/>
  <c r="BA402" i="3"/>
  <c r="BL402" i="3"/>
  <c r="BA404" i="3"/>
  <c r="AZ404" i="3" s="1"/>
  <c r="BA406" i="3"/>
  <c r="AZ406" i="3" s="1"/>
  <c r="BA407" i="3"/>
  <c r="AZ407" i="3" s="1"/>
  <c r="BA409" i="3"/>
  <c r="AZ409" i="3" s="1"/>
  <c r="BA410" i="3"/>
  <c r="AZ410" i="3" s="1"/>
  <c r="BA412" i="3"/>
  <c r="AZ412" i="3" s="1"/>
  <c r="BA414" i="3"/>
  <c r="BL414" i="3"/>
  <c r="BA416" i="3"/>
  <c r="AZ416" i="3" s="1"/>
  <c r="BA418" i="3"/>
  <c r="BL418" i="3"/>
  <c r="BA419" i="3"/>
  <c r="AZ419" i="3" s="1"/>
  <c r="BL421" i="3"/>
  <c r="G422" i="3"/>
  <c r="BL423" i="3"/>
  <c r="G424" i="3"/>
  <c r="BL425" i="3"/>
  <c r="BA427" i="3"/>
  <c r="G428" i="3"/>
  <c r="BA472" i="3"/>
  <c r="BL472" i="3"/>
  <c r="BA473" i="3"/>
  <c r="AZ473" i="3" s="1"/>
  <c r="BA474" i="3"/>
  <c r="AZ474" i="3" s="1"/>
  <c r="BA475" i="3"/>
  <c r="AZ475" i="3" s="1"/>
  <c r="BA477" i="3"/>
  <c r="BL477" i="3"/>
  <c r="BA478" i="3"/>
  <c r="AZ478" i="3" s="1"/>
  <c r="BA479" i="3"/>
  <c r="AZ479" i="3" s="1"/>
  <c r="BA297" i="3"/>
  <c r="AZ297" i="3" s="1"/>
  <c r="BA301" i="3"/>
  <c r="AZ301" i="3" s="1"/>
  <c r="G333" i="3"/>
  <c r="BL334" i="3"/>
  <c r="G347" i="3"/>
  <c r="G349" i="3"/>
  <c r="BL350" i="3"/>
  <c r="BL364" i="3"/>
  <c r="AZ364" i="3" s="1"/>
  <c r="BL366" i="3"/>
  <c r="AZ366" i="3" s="1"/>
  <c r="G367" i="3"/>
  <c r="BA369" i="3"/>
  <c r="AZ369" i="3" s="1"/>
  <c r="G375" i="3"/>
  <c r="BL376" i="3"/>
  <c r="AZ376" i="3" s="1"/>
  <c r="G379" i="3"/>
  <c r="BL385" i="3"/>
  <c r="G251" i="3"/>
  <c r="BL252" i="3"/>
  <c r="G253" i="3"/>
  <c r="BA254" i="3"/>
  <c r="BL254" i="3"/>
  <c r="G255" i="3"/>
  <c r="G287" i="3"/>
  <c r="BA288" i="3"/>
  <c r="BL288" i="3"/>
  <c r="G289" i="3"/>
  <c r="BA290" i="3"/>
  <c r="G291" i="3"/>
  <c r="BL292" i="3"/>
  <c r="BL114" i="3"/>
  <c r="AZ114" i="3" s="1"/>
  <c r="BA116" i="3"/>
  <c r="AZ116" i="3" s="1"/>
  <c r="BL118" i="3"/>
  <c r="AZ118" i="3" s="1"/>
  <c r="G119" i="3"/>
  <c r="BA121" i="3"/>
  <c r="BL121" i="3"/>
  <c r="BA123" i="3"/>
  <c r="AZ123" i="3" s="1"/>
  <c r="BA125" i="3"/>
  <c r="BA569" i="3"/>
  <c r="BA566" i="3"/>
  <c r="AZ566" i="3" s="1"/>
  <c r="BL555" i="3"/>
  <c r="BA445" i="3"/>
  <c r="BL445" i="3"/>
  <c r="BL447" i="3"/>
  <c r="G448" i="3"/>
  <c r="BA449" i="3"/>
  <c r="G450" i="3"/>
  <c r="BL451" i="3"/>
  <c r="BA453" i="3"/>
  <c r="G454" i="3"/>
  <c r="BA455" i="3"/>
  <c r="G456" i="3"/>
  <c r="BL457" i="3"/>
  <c r="BL459" i="3"/>
  <c r="G462" i="3"/>
  <c r="BL463" i="3"/>
  <c r="BA215" i="3"/>
  <c r="BL215" i="3"/>
  <c r="BA216" i="3"/>
  <c r="AZ216" i="3" s="1"/>
  <c r="BA217" i="3"/>
  <c r="AZ217" i="3" s="1"/>
  <c r="BL219" i="3"/>
  <c r="G220" i="3"/>
  <c r="BL221" i="3"/>
  <c r="G222" i="3"/>
  <c r="BA223" i="3"/>
  <c r="G224" i="3"/>
  <c r="BL225" i="3"/>
  <c r="G226" i="3"/>
  <c r="BL227" i="3"/>
  <c r="BL229" i="3"/>
  <c r="G232" i="3"/>
  <c r="BL233" i="3"/>
  <c r="BL243" i="3"/>
  <c r="BL245" i="3"/>
  <c r="BA261" i="3"/>
  <c r="BL261" i="3"/>
  <c r="G262" i="3"/>
  <c r="BA263" i="3"/>
  <c r="G264" i="3"/>
  <c r="BA265" i="3"/>
  <c r="AZ265" i="3" s="1"/>
  <c r="BL267" i="3"/>
  <c r="G268" i="3"/>
  <c r="BA269" i="3"/>
  <c r="G270" i="3"/>
  <c r="BL271" i="3"/>
  <c r="G274" i="3"/>
  <c r="G278" i="3"/>
  <c r="BL279" i="3"/>
  <c r="G282" i="3"/>
  <c r="G296" i="3"/>
  <c r="BL125" i="3"/>
  <c r="BA127" i="3"/>
  <c r="AZ127" i="3" s="1"/>
  <c r="BL129" i="3"/>
  <c r="BA131" i="3"/>
  <c r="AZ131" i="3" s="1"/>
  <c r="BA133" i="3"/>
  <c r="G134" i="3"/>
  <c r="G138" i="3"/>
  <c r="G142" i="3"/>
  <c r="BL165" i="3"/>
  <c r="AZ165" i="3" s="1"/>
  <c r="G166" i="3"/>
  <c r="BA167" i="3"/>
  <c r="AZ167" i="3" s="1"/>
  <c r="BL169" i="3"/>
  <c r="AZ169" i="3" s="1"/>
  <c r="G170" i="3"/>
  <c r="BL172" i="3"/>
  <c r="G173" i="3"/>
  <c r="BA174" i="3"/>
  <c r="AZ174" i="3" s="1"/>
  <c r="BA176" i="3"/>
  <c r="BL176" i="3"/>
  <c r="G177" i="3"/>
  <c r="BA182" i="3"/>
  <c r="G183" i="3"/>
  <c r="BL184" i="3"/>
  <c r="AZ184" i="3" s="1"/>
  <c r="BA186" i="3"/>
  <c r="BL186" i="3"/>
  <c r="BL188" i="3"/>
  <c r="AZ188" i="3" s="1"/>
  <c r="G189" i="3"/>
  <c r="BA191" i="3"/>
  <c r="BL191" i="3"/>
  <c r="BA193" i="3"/>
  <c r="AZ193" i="3" s="1"/>
  <c r="BA195" i="3"/>
  <c r="G196" i="3"/>
  <c r="BA197" i="3"/>
  <c r="AZ197" i="3" s="1"/>
  <c r="BA41" i="3"/>
  <c r="G42" i="3"/>
  <c r="BA43" i="3"/>
  <c r="AZ43" i="3" s="1"/>
  <c r="BL45" i="3"/>
  <c r="G46" i="3"/>
  <c r="BA47" i="3"/>
  <c r="G48" i="3"/>
  <c r="BL49" i="3"/>
  <c r="G52" i="3"/>
  <c r="BA53" i="3"/>
  <c r="BL53" i="3"/>
  <c r="BL54" i="3"/>
  <c r="G55" i="3"/>
  <c r="BL56" i="3"/>
  <c r="G57" i="3"/>
  <c r="G69" i="3"/>
  <c r="BL70" i="3"/>
  <c r="G71" i="3"/>
  <c r="I20" i="57"/>
  <c r="B54" i="46"/>
  <c r="C27" i="40"/>
  <c r="S18" i="35"/>
  <c r="C74" i="59"/>
  <c r="D74" i="59" s="1"/>
  <c r="D34" i="59"/>
  <c r="C39" i="59"/>
  <c r="D39" i="59" s="1"/>
  <c r="E39" i="59"/>
  <c r="E40" i="59" s="1"/>
  <c r="U40" i="59" s="1"/>
  <c r="Z12" i="46"/>
  <c r="BL148" i="3"/>
  <c r="G149" i="3"/>
  <c r="BL150" i="3"/>
  <c r="AZ150" i="3" s="1"/>
  <c r="BA152" i="3"/>
  <c r="G153" i="3"/>
  <c r="G161" i="3"/>
  <c r="G82" i="3"/>
  <c r="BA85" i="3"/>
  <c r="G86" i="3"/>
  <c r="BL87" i="3"/>
  <c r="G98" i="3"/>
  <c r="G100" i="3"/>
  <c r="BA101" i="3"/>
  <c r="G102" i="3"/>
  <c r="BL103" i="3"/>
  <c r="AA17" i="34"/>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BL26" i="3"/>
  <c r="G27" i="3"/>
  <c r="G29" i="3"/>
  <c r="G31" i="3"/>
  <c r="G33" i="3"/>
  <c r="G35" i="3"/>
  <c r="G38" i="3"/>
  <c r="BL39" i="3"/>
  <c r="G40" i="3"/>
  <c r="BA42" i="3"/>
  <c r="BL42" i="3"/>
  <c r="G43" i="3"/>
  <c r="G45" i="3"/>
  <c r="BA46" i="3"/>
  <c r="BL46" i="3"/>
  <c r="BA48" i="3"/>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C23" i="39"/>
  <c r="AC35"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S31" i="39"/>
  <c r="AC31" i="39"/>
  <c r="W27" i="39"/>
  <c r="S25" i="39"/>
  <c r="AB25" i="39"/>
  <c r="S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G13" i="1"/>
  <c r="G10" i="1"/>
  <c r="G6" i="1"/>
  <c r="E21" i="52"/>
  <c r="B13" i="52"/>
  <c r="B16" i="52"/>
  <c r="B5" i="52"/>
  <c r="E8" i="52"/>
  <c r="E13" i="52"/>
  <c r="E4" i="4" s="1"/>
  <c r="B21" i="55" s="1"/>
  <c r="E11" i="52"/>
  <c r="E9" i="52"/>
  <c r="B11" i="52"/>
  <c r="B22" i="52"/>
  <c r="B7" i="52"/>
  <c r="E6" i="52"/>
  <c r="B6" i="52"/>
  <c r="E14" i="52"/>
  <c r="I14" i="66"/>
  <c r="B8" i="66" s="1"/>
  <c r="K76" i="9"/>
  <c r="K77" i="9" s="1"/>
  <c r="K79" i="9" s="1"/>
  <c r="K81" i="9" s="1"/>
  <c r="O52" i="37"/>
  <c r="F7" i="37" s="1"/>
  <c r="N48" i="35"/>
  <c r="O48" i="35" s="1"/>
  <c r="G46" i="36"/>
  <c r="H46" i="36" s="1"/>
  <c r="I46" i="36" s="1"/>
  <c r="J46" i="36" s="1"/>
  <c r="K46" i="36" s="1"/>
  <c r="L46" i="36" s="1"/>
  <c r="M46" i="36" s="1"/>
  <c r="N46" i="36" s="1"/>
  <c r="O46" i="36" s="1"/>
  <c r="F58" i="33"/>
  <c r="E58" i="21"/>
  <c r="D59" i="34"/>
  <c r="Q73" i="44"/>
  <c r="F65" i="15"/>
  <c r="C29" i="44"/>
  <c r="J1" i="65"/>
  <c r="C27" i="15"/>
  <c r="L60" i="44"/>
  <c r="C4" i="65"/>
  <c r="B39" i="1" s="1"/>
  <c r="F58" i="15"/>
  <c r="M17" i="15"/>
  <c r="M19" i="44"/>
  <c r="F42" i="15"/>
  <c r="F37" i="15"/>
  <c r="M6" i="15"/>
  <c r="F9" i="44"/>
  <c r="I5" i="65"/>
  <c r="F8" i="15"/>
  <c r="M9" i="15"/>
  <c r="I3" i="65"/>
  <c r="J6" i="65"/>
  <c r="M22" i="15"/>
  <c r="J36" i="15"/>
  <c r="M8" i="15"/>
  <c r="J7" i="65"/>
  <c r="F40" i="15"/>
  <c r="I4" i="65"/>
  <c r="F6" i="15"/>
  <c r="J5" i="65"/>
  <c r="M28" i="15"/>
  <c r="M26" i="15"/>
  <c r="J15" i="15"/>
  <c r="M24" i="15"/>
  <c r="F13" i="15"/>
  <c r="F16" i="15"/>
  <c r="M31" i="44"/>
  <c r="M23" i="15"/>
  <c r="L48" i="15"/>
  <c r="I6" i="65"/>
  <c r="F36" i="15"/>
  <c r="L49" i="44"/>
  <c r="J4" i="65"/>
  <c r="F9" i="15"/>
  <c r="E3" i="65"/>
  <c r="F50" i="15" l="1"/>
  <c r="D67" i="59"/>
  <c r="C66" i="59"/>
  <c r="D66" i="59" s="1"/>
  <c r="AA26" i="33"/>
  <c r="S26" i="33"/>
  <c r="AZ191" i="3"/>
  <c r="AZ414" i="3"/>
  <c r="AZ402" i="3"/>
  <c r="AZ112" i="3"/>
  <c r="AZ78" i="3"/>
  <c r="AZ213" i="3"/>
  <c r="AZ441" i="3"/>
  <c r="AZ439" i="3"/>
  <c r="AZ434" i="3"/>
  <c r="AZ395" i="3"/>
  <c r="W12" i="21"/>
  <c r="AC12" i="21"/>
  <c r="AA46" i="21"/>
  <c r="S46" i="21"/>
  <c r="W23" i="39"/>
  <c r="U23" i="39"/>
  <c r="B72" i="63"/>
  <c r="B70" i="63"/>
  <c r="J7" i="36"/>
  <c r="F7" i="35"/>
  <c r="AZ418" i="3"/>
  <c r="AB26" i="37"/>
  <c r="U26" i="37"/>
  <c r="AZ48" i="3"/>
  <c r="AZ46" i="3"/>
  <c r="AZ26" i="3"/>
  <c r="AZ186" i="3"/>
  <c r="AZ261" i="3"/>
  <c r="AZ215" i="3"/>
  <c r="AZ121" i="3"/>
  <c r="AZ477" i="3"/>
  <c r="I1" i="65"/>
  <c r="AZ102" i="3"/>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G7" i="1"/>
  <c r="AP7" i="1"/>
  <c r="S44" i="21"/>
  <c r="S21" i="21"/>
  <c r="F63" i="15"/>
  <c r="Q72"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I54" i="15"/>
  <c r="J57" i="15"/>
  <c r="J55" i="15" s="1"/>
  <c r="J58" i="15" s="1"/>
  <c r="Q51" i="15" s="1"/>
  <c r="L58" i="15"/>
  <c r="Q74" i="15" s="1"/>
  <c r="L56" i="15"/>
  <c r="J53" i="15"/>
  <c r="F1"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s="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M11" i="15"/>
  <c r="J10" i="15" s="1"/>
  <c r="M13" i="44"/>
  <c r="J12" i="44" s="1"/>
  <c r="F13" i="44"/>
  <c r="C12" i="44" s="1"/>
  <c r="F11" i="15"/>
  <c r="Q76" i="44"/>
  <c r="Q63" i="44"/>
  <c r="Q62" i="15"/>
  <c r="Q75" i="15"/>
  <c r="AE7" i="1"/>
  <c r="AE8" i="1"/>
  <c r="AE6" i="1"/>
  <c r="F46" i="44"/>
  <c r="E2" i="65"/>
  <c r="B40" i="1" l="1"/>
  <c r="F26" i="44" s="1"/>
  <c r="C26" i="44" s="1"/>
  <c r="F1" i="44"/>
  <c r="C7" i="44"/>
  <c r="C40" i="44" s="1"/>
  <c r="H101" i="21"/>
  <c r="I101" i="21" s="1"/>
  <c r="J101" i="21" s="1"/>
  <c r="K101" i="21" s="1"/>
  <c r="L101" i="21" s="1"/>
  <c r="M101" i="21" s="1"/>
  <c r="H32" i="21"/>
  <c r="J32" i="21"/>
  <c r="Q75" i="44"/>
  <c r="Q53" i="15"/>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F41" i="15"/>
  <c r="L52" i="44"/>
  <c r="F21" i="43" l="1"/>
  <c r="C23" i="43" s="1"/>
  <c r="D21" i="43" s="1"/>
  <c r="F24" i="15"/>
  <c r="C24" i="15" s="1"/>
  <c r="F26" i="12"/>
  <c r="C27" i="12" s="1"/>
  <c r="D26" i="12" s="1"/>
  <c r="C32" i="12" s="1"/>
  <c r="D30" i="12" s="1"/>
  <c r="AB32" i="21"/>
  <c r="U32" i="21"/>
  <c r="AC32" i="21"/>
  <c r="W32" i="21"/>
  <c r="J7" i="33"/>
  <c r="AC7" i="33" s="1"/>
  <c r="V48" i="33" s="1"/>
  <c r="I48" i="33" s="1"/>
  <c r="F7" i="21"/>
  <c r="AA7" i="21" s="1"/>
  <c r="J65" i="40"/>
  <c r="I67" i="40"/>
  <c r="F68"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W7" i="33"/>
  <c r="C39" i="35"/>
  <c r="B3" i="35" s="1"/>
  <c r="B2" i="35" s="1"/>
  <c r="C38" i="35"/>
  <c r="I42" i="35"/>
  <c r="J42" i="35" s="1"/>
  <c r="I43" i="35"/>
  <c r="J43" i="35" s="1"/>
  <c r="S7" i="21"/>
  <c r="R37" i="36"/>
  <c r="E36" i="36"/>
  <c r="H7" i="33"/>
  <c r="Q69" i="44"/>
  <c r="L58" i="44"/>
  <c r="L61" i="44" s="1"/>
  <c r="L47" i="44" s="1"/>
  <c r="J28" i="44"/>
  <c r="J31" i="44" s="1"/>
  <c r="J26" i="44"/>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E10" i="6"/>
  <c r="E5" i="6"/>
  <c r="E6" i="6" s="1"/>
  <c r="E12" i="6"/>
  <c r="E8" i="6"/>
  <c r="E13" i="6"/>
  <c r="E14" i="6"/>
  <c r="E11" i="6"/>
  <c r="E15" i="6"/>
  <c r="E67" i="39" l="1"/>
  <c r="E62" i="40"/>
  <c r="F62" i="40" s="1"/>
  <c r="E66" i="39"/>
  <c r="E61" i="40"/>
  <c r="F61" i="40" s="1"/>
  <c r="E16" i="6"/>
  <c r="E58" i="39"/>
  <c r="E53" i="40"/>
  <c r="F53" i="40" s="1"/>
  <c r="D12" i="11"/>
  <c r="C12" i="11" s="1"/>
  <c r="C8" i="66"/>
  <c r="C7" i="66"/>
  <c r="E63" i="39"/>
  <c r="E58" i="40"/>
  <c r="F58" i="40" s="1"/>
  <c r="E65" i="39"/>
  <c r="E60" i="40"/>
  <c r="F60" i="40" s="1"/>
  <c r="E64" i="39"/>
  <c r="E59" i="40"/>
  <c r="F59" i="40" s="1"/>
  <c r="D13" i="11"/>
  <c r="C13" i="11" s="1"/>
  <c r="D21" i="12"/>
  <c r="C21" i="12" l="1"/>
  <c r="C11" i="11" s="1"/>
  <c r="C10" i="11" s="1"/>
  <c r="C17" i="11" s="1"/>
  <c r="E68" i="39"/>
  <c r="H13" i="3"/>
  <c r="H5" i="3" s="1"/>
  <c r="I5" i="3"/>
  <c r="F27" i="6"/>
  <c r="F31" i="6" s="1"/>
  <c r="E19" i="6" l="1"/>
  <c r="D3" i="21" s="1"/>
  <c r="G13" i="3"/>
  <c r="G5" i="3" s="1"/>
  <c r="B3" i="3" s="1"/>
  <c r="E32" i="6" l="1"/>
  <c r="L20" i="6" s="1"/>
  <c r="E27" i="6"/>
  <c r="K19" i="6" s="1"/>
  <c r="C9" i="12"/>
  <c r="K6" i="1"/>
  <c r="F43" i="15"/>
  <c r="M29" i="15"/>
  <c r="F7" i="15"/>
  <c r="F70" i="15" l="1"/>
  <c r="M7" i="15"/>
  <c r="J6" i="15" s="1"/>
  <c r="F49" i="15"/>
  <c r="C48" i="15" s="1"/>
  <c r="C47" i="15" s="1"/>
  <c r="C6" i="15"/>
  <c r="L19" i="6"/>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519" i="3"/>
  <c r="E350" i="3"/>
  <c r="E344" i="3"/>
  <c r="E569" i="3"/>
  <c r="E143" i="3"/>
  <c r="E124" i="3"/>
  <c r="E93" i="3"/>
  <c r="E541" i="3"/>
  <c r="E461" i="3"/>
  <c r="E532" i="3"/>
  <c r="E56" i="3"/>
  <c r="E491" i="3"/>
  <c r="E424" i="3"/>
  <c r="E115" i="3"/>
  <c r="E481" i="3"/>
  <c r="E71" i="3"/>
  <c r="E572" i="3"/>
  <c r="E378" i="3"/>
  <c r="E286"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Q18" i="1" s="1"/>
  <c r="G16" i="1"/>
  <c r="K27" i="6"/>
  <c r="M19" i="6"/>
  <c r="S6" i="1"/>
  <c r="I3" i="6"/>
  <c r="D16" i="12"/>
  <c r="D22" i="12"/>
  <c r="K17" i="1" l="1"/>
  <c r="K18" i="1" s="1"/>
  <c r="C22" i="12"/>
  <c r="C20" i="12" s="1"/>
  <c r="D19" i="12"/>
  <c r="C19" i="12" s="1"/>
  <c r="C16" i="12"/>
  <c r="C32" i="15"/>
  <c r="C10" i="15"/>
  <c r="C5" i="15" s="1"/>
  <c r="C38" i="15" s="1"/>
  <c r="C33" i="15"/>
  <c r="J18" i="15"/>
  <c r="J5" i="15"/>
  <c r="C59" i="15"/>
  <c r="C65" i="15"/>
  <c r="C60" i="15"/>
  <c r="H33" i="21"/>
  <c r="J33" i="21"/>
  <c r="F33" i="21"/>
  <c r="E6" i="3"/>
  <c r="I19" i="6"/>
  <c r="J12" i="40"/>
  <c r="F12" i="40"/>
  <c r="H12" i="40"/>
  <c r="H12" i="39"/>
  <c r="J12" i="39"/>
  <c r="F12" i="39"/>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N5" i="72" s="1"/>
  <c r="F24" i="43"/>
  <c r="C26" i="43" s="1"/>
  <c r="D24" i="43" s="1"/>
  <c r="F18" i="11"/>
  <c r="C18" i="11" s="1"/>
  <c r="C19" i="11" s="1"/>
  <c r="M21" i="6"/>
  <c r="I21" i="6" s="1"/>
  <c r="S21" i="6" s="1"/>
  <c r="S8" i="1"/>
  <c r="M20" i="6"/>
  <c r="I20" i="6" s="1"/>
  <c r="S20" i="6" s="1"/>
  <c r="S7" i="1"/>
  <c r="F33" i="12"/>
  <c r="C17" i="15"/>
  <c r="C19" i="44"/>
  <c r="J26" i="15" l="1"/>
  <c r="J29" i="15" s="1"/>
  <c r="J24" i="15"/>
  <c r="C34" i="12"/>
  <c r="D33" i="12" s="1"/>
  <c r="M7" i="1"/>
  <c r="W33" i="21"/>
  <c r="AC33" i="21"/>
  <c r="S33" i="21"/>
  <c r="AA33" i="21"/>
  <c r="U33" i="21"/>
  <c r="AB33" i="2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S12" i="39"/>
  <c r="AA12" i="39"/>
  <c r="R49" i="39" s="1"/>
  <c r="U12" i="39"/>
  <c r="AB12" i="39"/>
  <c r="T49" i="39" s="1"/>
  <c r="G49" i="39" s="1"/>
  <c r="S12" i="40"/>
  <c r="AA12" i="40"/>
  <c r="I27" i="6"/>
  <c r="S19" i="6"/>
  <c r="S27" i="6" s="1"/>
  <c r="T6" i="1"/>
  <c r="W12" i="39"/>
  <c r="AC12" i="39"/>
  <c r="V49" i="39" s="1"/>
  <c r="I49" i="39" s="1"/>
  <c r="AB12" i="40"/>
  <c r="U12" i="40"/>
  <c r="W12" i="40"/>
  <c r="AC12" i="40"/>
  <c r="C16" i="44"/>
  <c r="C18" i="44"/>
  <c r="T12" i="1" l="1"/>
  <c r="O7" i="1"/>
  <c r="P7" i="1" s="1"/>
  <c r="M6" i="1"/>
  <c r="O6" i="1" s="1"/>
  <c r="O16" i="1" s="1"/>
  <c r="C15" i="43"/>
  <c r="M16" i="1"/>
  <c r="T9" i="1"/>
  <c r="T11" i="1"/>
  <c r="T13" i="1"/>
  <c r="T10" i="1"/>
  <c r="R20" i="6"/>
  <c r="R7" i="1" s="1"/>
  <c r="R24" i="6"/>
  <c r="R25" i="6"/>
  <c r="H27" i="6"/>
  <c r="D16" i="6"/>
  <c r="C20" i="44"/>
  <c r="C17" i="44"/>
  <c r="B5" i="11"/>
  <c r="B4" i="11"/>
  <c r="B3" i="11"/>
  <c r="E49" i="39"/>
  <c r="R50" i="39"/>
  <c r="D27" i="6"/>
  <c r="D31" i="6" s="1"/>
  <c r="R19" i="6"/>
  <c r="G54" i="39"/>
  <c r="H54" i="39" s="1"/>
  <c r="G53" i="39"/>
  <c r="H53" i="39" s="1"/>
  <c r="B5" i="40"/>
  <c r="B4" i="40"/>
  <c r="B3" i="40"/>
  <c r="D7" i="66"/>
  <c r="D8" i="66"/>
  <c r="I53" i="39"/>
  <c r="J53" i="39" s="1"/>
  <c r="I54" i="39"/>
  <c r="J54" i="39" s="1"/>
  <c r="R21" i="6"/>
  <c r="R8" i="1" s="1"/>
  <c r="A20" i="64"/>
  <c r="N5" i="54"/>
  <c r="B43" i="63" s="1"/>
  <c r="A6" i="51"/>
  <c r="B7" i="63" s="1"/>
  <c r="A20" i="51"/>
  <c r="B15" i="63" s="1"/>
  <c r="A6" i="64"/>
  <c r="R22" i="6"/>
  <c r="R26" i="6"/>
  <c r="C14" i="15"/>
  <c r="M23" i="44"/>
  <c r="F37" i="44"/>
  <c r="C16" i="15"/>
  <c r="C18" i="15" l="1"/>
  <c r="C15" i="15"/>
  <c r="P6" i="1"/>
  <c r="L16" i="1"/>
  <c r="C13" i="43"/>
  <c r="N16" i="1"/>
  <c r="C29" i="43" s="1"/>
  <c r="T16" i="1"/>
  <c r="C21" i="44"/>
  <c r="C22" i="44" s="1"/>
  <c r="C28" i="44" s="1"/>
  <c r="J22" i="44"/>
  <c r="C36" i="44"/>
  <c r="I6" i="6"/>
  <c r="I5" i="6"/>
  <c r="C49" i="39"/>
  <c r="C50" i="39"/>
  <c r="R27" i="6"/>
  <c r="R6" i="1"/>
  <c r="E53" i="39"/>
  <c r="F53" i="39" s="1"/>
  <c r="E54" i="39"/>
  <c r="F54" i="39" s="1"/>
  <c r="F35" i="15"/>
  <c r="C15" i="12"/>
  <c r="M21" i="15"/>
  <c r="C19" i="15" l="1"/>
  <c r="C20" i="15" s="1"/>
  <c r="C26" i="15" s="1"/>
  <c r="F62" i="15"/>
  <c r="C61" i="15" s="1"/>
  <c r="C58" i="15" s="1"/>
  <c r="C34" i="15"/>
  <c r="C31" i="15" s="1"/>
  <c r="J20" i="15"/>
  <c r="R16" i="1"/>
  <c r="M15" i="12"/>
  <c r="P16" i="1"/>
  <c r="C17" i="43"/>
  <c r="C14" i="43"/>
  <c r="H11" i="21"/>
  <c r="J11" i="21"/>
  <c r="F11" i="21"/>
  <c r="C25" i="44"/>
  <c r="C31" i="44" s="1"/>
  <c r="B61" i="39"/>
  <c r="F61" i="39" s="1"/>
  <c r="B59" i="39"/>
  <c r="F59" i="39" s="1"/>
  <c r="B63" i="39"/>
  <c r="F63" i="39" s="1"/>
  <c r="B60" i="39"/>
  <c r="F60" i="39" s="1"/>
  <c r="B62" i="39"/>
  <c r="F62" i="39" s="1"/>
  <c r="B65" i="39"/>
  <c r="F65" i="39" s="1"/>
  <c r="B64" i="39"/>
  <c r="F64" i="39" s="1"/>
  <c r="B67" i="39"/>
  <c r="F67" i="39" s="1"/>
  <c r="B66" i="39"/>
  <c r="F66" i="39" s="1"/>
  <c r="B58" i="39"/>
  <c r="F58" i="39" s="1"/>
  <c r="C13" i="12"/>
  <c r="C23" i="15" l="1"/>
  <c r="C29" i="15" s="1"/>
  <c r="Q50" i="15" s="1"/>
  <c r="C17" i="12"/>
  <c r="C14" i="12"/>
  <c r="C18" i="43"/>
  <c r="W11" i="21"/>
  <c r="AC11" i="21"/>
  <c r="V48" i="21" s="1"/>
  <c r="I48" i="21" s="1"/>
  <c r="I52" i="21" s="1"/>
  <c r="J52" i="21" s="1"/>
  <c r="S11" i="21"/>
  <c r="AA11" i="21"/>
  <c r="R48" i="21" s="1"/>
  <c r="U11" i="21"/>
  <c r="AB11" i="21"/>
  <c r="T48" i="21" s="1"/>
  <c r="G48" i="21" s="1"/>
  <c r="F68" i="39"/>
  <c r="B2" i="39" s="1"/>
  <c r="B3" i="39" s="1"/>
  <c r="J21" i="44"/>
  <c r="J19" i="44" s="1"/>
  <c r="C15" i="44"/>
  <c r="Q72" i="44" s="1"/>
  <c r="C35" i="44"/>
  <c r="C33" i="44" s="1"/>
  <c r="Q51" i="44"/>
  <c r="C38" i="44"/>
  <c r="J16" i="44"/>
  <c r="J24" i="44" s="1"/>
  <c r="C20" i="9"/>
  <c r="C19" i="9"/>
  <c r="C43" i="44" l="1"/>
  <c r="J59" i="15"/>
  <c r="J60" i="15" s="1"/>
  <c r="L46" i="15" s="1"/>
  <c r="J19" i="15"/>
  <c r="J17" i="15" s="1"/>
  <c r="C56" i="15"/>
  <c r="C63" i="15" s="1"/>
  <c r="C13" i="15"/>
  <c r="Q71" i="15" s="1"/>
  <c r="C36" i="15"/>
  <c r="J14" i="15"/>
  <c r="J13" i="15" s="1"/>
  <c r="J23" i="15" s="1"/>
  <c r="Q49" i="15"/>
  <c r="C18" i="12"/>
  <c r="C23" i="12" s="1"/>
  <c r="C19" i="43"/>
  <c r="C25" i="43" s="1"/>
  <c r="C24" i="43" s="1"/>
  <c r="G53" i="21"/>
  <c r="H53" i="21" s="1"/>
  <c r="G52" i="21"/>
  <c r="H52" i="21" s="1"/>
  <c r="R49" i="21"/>
  <c r="E48" i="21"/>
  <c r="J15" i="44"/>
  <c r="J25" i="44" s="1"/>
  <c r="J18" i="44" s="1"/>
  <c r="J27" i="44" s="1"/>
  <c r="C39" i="44"/>
  <c r="C32" i="44" s="1"/>
  <c r="C42" i="44" s="1"/>
  <c r="L43" i="9"/>
  <c r="B4" i="39"/>
  <c r="B5" i="39"/>
  <c r="C21" i="9"/>
  <c r="J22" i="15" l="1"/>
  <c r="C44" i="44"/>
  <c r="C45" i="44" s="1"/>
  <c r="B2" i="44" s="1"/>
  <c r="B5" i="44" s="1"/>
  <c r="C37" i="15"/>
  <c r="C30" i="15" s="1"/>
  <c r="C39" i="15" s="1"/>
  <c r="C40" i="15" s="1"/>
  <c r="C55" i="15"/>
  <c r="C64" i="15" s="1"/>
  <c r="C57" i="15" s="1"/>
  <c r="C66" i="15" s="1"/>
  <c r="C67" i="15" s="1"/>
  <c r="C70" i="15" s="1"/>
  <c r="J35" i="15"/>
  <c r="Q71" i="44"/>
  <c r="Q70" i="44" s="1"/>
  <c r="C22" i="43"/>
  <c r="C21" i="43" s="1"/>
  <c r="C28" i="43" s="1"/>
  <c r="C30" i="43" s="1"/>
  <c r="C32" i="43" s="1"/>
  <c r="B2" i="43" s="1"/>
  <c r="C49" i="21"/>
  <c r="C48" i="21"/>
  <c r="I53" i="21"/>
  <c r="J53" i="21" s="1"/>
  <c r="E52" i="21"/>
  <c r="F52" i="21" s="1"/>
  <c r="E53" i="21"/>
  <c r="F53" i="21" s="1"/>
  <c r="J16" i="15"/>
  <c r="J25" i="15" s="1"/>
  <c r="B4" i="44"/>
  <c r="L51" i="15"/>
  <c r="B3" i="44" l="1"/>
  <c r="J39" i="15"/>
  <c r="J40" i="15" s="1"/>
  <c r="Q68" i="15"/>
  <c r="Q70" i="15"/>
  <c r="Q69" i="15" s="1"/>
  <c r="B3" i="43"/>
  <c r="B4" i="43"/>
  <c r="B5" i="43"/>
  <c r="B3" i="21"/>
  <c r="B2" i="21" s="1"/>
  <c r="B2" i="15"/>
  <c r="C43" i="15"/>
  <c r="Q48" i="15"/>
  <c r="Q54" i="15" s="1"/>
  <c r="Q66" i="15"/>
  <c r="Q76" i="15" s="1"/>
  <c r="Q57" i="15"/>
  <c r="Q63" i="15" s="1"/>
  <c r="J42" i="15"/>
  <c r="J43" i="15" s="1"/>
  <c r="C46" i="15"/>
  <c r="B3" i="15" l="1"/>
  <c r="C8" i="12" s="1"/>
  <c r="C10" i="12"/>
  <c r="C6" i="12" s="1"/>
  <c r="C29" i="12" l="1"/>
  <c r="C24" i="12"/>
  <c r="C28" i="12" l="1"/>
  <c r="C26" i="12" s="1"/>
  <c r="C31" i="12" s="1"/>
  <c r="C30" i="12" s="1"/>
  <c r="C35" i="12"/>
  <c r="C33" i="12" s="1"/>
  <c r="C36" i="12" l="1"/>
  <c r="B2" i="12" s="1"/>
  <c r="D19" i="9"/>
  <c r="B4" i="12"/>
  <c r="D22" i="9" l="1"/>
  <c r="L44" i="9"/>
  <c r="G19" i="9"/>
  <c r="G22" i="9" s="1"/>
  <c r="B3" i="12"/>
  <c r="D21" i="9"/>
  <c r="B5" i="12"/>
  <c r="G21" i="9" l="1"/>
  <c r="C32" i="9"/>
  <c r="O43" i="9" s="1"/>
  <c r="N43" i="9"/>
  <c r="A27" i="9"/>
  <c r="D20" i="9"/>
  <c r="G20" i="9" l="1"/>
  <c r="R24" i="31" s="1"/>
  <c r="C35" i="9"/>
  <c r="F42" i="9" s="1"/>
  <c r="C42" i="9"/>
  <c r="D14" i="66" s="1"/>
  <c r="O38" i="9"/>
  <c r="K25" i="9" s="1"/>
  <c r="C34" i="9"/>
  <c r="E42" i="9" s="1"/>
  <c r="P5" i="54" s="1"/>
  <c r="C33" i="9"/>
  <c r="R5" i="54"/>
  <c r="D42" i="9" l="1"/>
  <c r="Q5" i="54" s="1"/>
  <c r="B47" i="63" s="1"/>
  <c r="V24" i="31"/>
  <c r="K26" i="9"/>
  <c r="B48" i="63"/>
  <c r="B46" i="63"/>
  <c r="N38" i="9"/>
  <c r="K28" i="9" s="1"/>
  <c r="D63" i="9"/>
  <c r="D77" i="9" s="1"/>
  <c r="N75" i="9" s="1"/>
  <c r="C44" i="9"/>
  <c r="D44" i="9" s="1"/>
  <c r="N68" i="9"/>
  <c r="M38" i="9"/>
  <c r="K27" i="9" s="1"/>
  <c r="F14" i="66"/>
  <c r="E14" i="66"/>
  <c r="S24" i="31" l="1"/>
  <c r="R25" i="31"/>
  <c r="N69" i="9"/>
  <c r="M87" i="9" s="1"/>
  <c r="N87" i="9" s="1"/>
  <c r="G14" i="66"/>
  <c r="D70" i="9"/>
  <c r="E44" i="9"/>
  <c r="D71" i="9"/>
  <c r="D66" i="9" s="1"/>
  <c r="N72" i="9" s="1"/>
  <c r="C82" i="9"/>
  <c r="C81" i="9" s="1"/>
  <c r="C85" i="9" s="1"/>
  <c r="C86" i="9" s="1"/>
  <c r="D72" i="9" s="1"/>
  <c r="C90" i="9"/>
  <c r="C103" i="9"/>
  <c r="C111" i="9"/>
  <c r="C104" i="9" s="1"/>
  <c r="C96" i="9"/>
  <c r="C91" i="9" s="1"/>
  <c r="O39" i="9"/>
  <c r="R6" i="54" s="1"/>
  <c r="F44" i="9"/>
  <c r="M83" i="9"/>
  <c r="N83" i="9" s="1"/>
  <c r="S25" i="31" l="1"/>
  <c r="D15" i="66" s="1"/>
  <c r="G15" i="66" s="1"/>
  <c r="V25" i="31"/>
  <c r="S22" i="31"/>
  <c r="R22" i="31" s="1"/>
  <c r="B50" i="63"/>
  <c r="M86" i="9"/>
  <c r="N86" i="9" s="1"/>
  <c r="M88" i="9"/>
  <c r="N88" i="9" s="1"/>
  <c r="K29" i="9"/>
  <c r="K30" i="9" s="1"/>
  <c r="M85" i="9"/>
  <c r="N85" i="9" s="1"/>
  <c r="M84" i="9"/>
  <c r="N84" i="9" s="1"/>
  <c r="C113" i="9"/>
  <c r="C114" i="9" s="1"/>
  <c r="E114" i="9" s="1"/>
  <c r="E115" i="9" s="1"/>
  <c r="C97" i="9"/>
  <c r="C98" i="9" s="1"/>
  <c r="E98" i="9" s="1"/>
  <c r="E99" i="9" s="1"/>
  <c r="B21" i="31" l="1"/>
  <c r="V22" i="31"/>
  <c r="B20" i="31"/>
  <c r="N89" i="9"/>
  <c r="O89" i="9" s="1"/>
  <c r="C115" i="9"/>
  <c r="D76" i="9" s="1"/>
  <c r="D74" i="9" s="1"/>
  <c r="N74" i="9" s="1"/>
  <c r="O77" i="9" s="1"/>
  <c r="O78" i="9" s="1"/>
  <c r="C99" i="9"/>
  <c r="Q77" i="9" l="1"/>
  <c r="O79" i="9"/>
  <c r="O81" i="9" s="1"/>
  <c r="O80" i="9" l="1"/>
  <c r="E16" i="66" l="1"/>
  <c r="F16" i="66"/>
  <c r="F15" i="66" l="1"/>
  <c r="E15" i="66"/>
  <c r="B6"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<sst xmlns="http://schemas.openxmlformats.org/spreadsheetml/2006/main" count="7197" uniqueCount="3189">
  <si>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</si>
  <si>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</si>
  <si>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</si>
  <si>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</si>
  <si>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</si>
  <si>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</si>
  <si>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</si>
  <si>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</si>
  <si>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</si>
  <si>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</si>
  <si>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</si>
  <si>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</si>
  <si>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</si>
  <si>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</si>
  <si>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</si>
  <si>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</si>
  <si>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</si>
  <si>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</si>
  <si>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</si>
  <si>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</si>
  <si>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</si>
  <si>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</si>
  <si>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</si>
  <si>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</si>
  <si>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</si>
  <si>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</si>
  <si>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</si>
  <si>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</si>
  <si>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</si>
  <si>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</si>
  <si>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</si>
  <si>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</si>
  <si>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</si>
  <si>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</si>
  <si>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</si>
  <si>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</si>
  <si>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</si>
  <si>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</si>
  <si>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</si>
  <si>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</si>
  <si>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</si>
  <si>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</si>
  <si>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</si>
  <si>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</si>
  <si>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</si>
  <si>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</si>
  <si>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</si>
  <si>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</si>
  <si>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</si>
  <si>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</si>
  <si>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</si>
  <si>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</si>
  <si>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</si>
  <si>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</si>
  <si>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</si>
  <si>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</si>
  <si>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</si>
  <si>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</si>
  <si>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</si>
  <si>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</si>
  <si>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</si>
  <si>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</si>
  <si>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</si>
  <si>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</si>
  <si>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</si>
  <si>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</si>
  <si>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</si>
  <si>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</si>
  <si>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</si>
  <si>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</si>
  <si>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</si>
  <si>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</si>
  <si>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</si>
  <si>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</si>
  <si>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</si>
  <si>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</si>
  <si>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</si>
  <si>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</si>
  <si>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</si>
  <si>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</si>
  <si>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</si>
  <si>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</si>
  <si>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</si>
  <si>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</si>
  <si>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</si>
  <si>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</si>
  <si>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</si>
  <si>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</si>
  <si>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</si>
  <si>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</si>
  <si>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</si>
  <si>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</si>
  <si>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</si>
  <si>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</si>
  <si>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</si>
  <si>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</si>
  <si>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</si>
  <si>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</si>
  <si>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</si>
  <si>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</si>
  <si>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</si>
  <si>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</si>
  <si>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</si>
  <si>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</si>
  <si>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</si>
  <si>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</si>
  <si>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</si>
  <si>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</si>
  <si>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</si>
  <si>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</si>
  <si>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</si>
  <si>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</si>
  <si>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</si>
  <si>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</si>
  <si>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</si>
  <si>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</si>
  <si>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</si>
  <si>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</si>
  <si>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</si>
  <si>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</si>
  <si>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</si>
  <si>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</si>
  <si>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</si>
  <si>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</si>
  <si>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</si>
  <si>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</si>
  <si>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</si>
  <si>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</si>
  <si>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</si>
  <si>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</si>
  <si>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</si>
  <si>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</si>
  <si>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</si>
  <si>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</si>
  <si>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</si>
  <si>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</si>
  <si>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</si>
  <si>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</si>
  <si>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</si>
  <si>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</si>
  <si>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</si>
  <si>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</si>
  <si>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</si>
  <si>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</si>
  <si>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</si>
  <si>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</si>
  <si>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</si>
  <si>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</si>
  <si>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</si>
  <si>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</si>
  <si>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</si>
  <si>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</si>
  <si>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</si>
  <si>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</si>
  <si>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</si>
  <si>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</si>
  <si>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</si>
  <si>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</si>
  <si>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</si>
  <si>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</si>
  <si>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</si>
  <si>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</si>
  <si>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</si>
  <si>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</si>
  <si>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</si>
  <si>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</si>
  <si>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</si>
  <si>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</si>
  <si>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</si>
  <si>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</si>
  <si>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</si>
  <si>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</si>
  <si>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</si>
  <si>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</si>
  <si>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</si>
  <si>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</si>
  <si>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</si>
  <si>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</si>
  <si>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</si>
  <si>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</si>
  <si>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</si>
  <si>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</si>
  <si>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</si>
  <si>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</si>
  <si>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</si>
  <si>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</si>
  <si>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</si>
  <si>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</si>
  <si>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</si>
  <si>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</si>
  <si>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</si>
  <si>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</si>
  <si>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</si>
  <si>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</si>
  <si>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</si>
  <si>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</si>
  <si>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</si>
  <si>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</si>
  <si>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</si>
  <si>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</si>
  <si>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</si>
  <si>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</si>
  <si>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</si>
  <si>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</si>
  <si>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</si>
  <si>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</si>
  <si>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</si>
  <si>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</si>
  <si>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</si>
  <si>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</si>
  <si>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</si>
  <si>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</si>
  <si>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</si>
  <si>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</si>
  <si>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</si>
  <si>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</si>
  <si>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</si>
  <si>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</si>
  <si>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</si>
  <si>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</si>
  <si>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</si>
  <si>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</si>
  <si>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</si>
  <si>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</si>
  <si>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</si>
  <si>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</si>
  <si>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</si>
  <si>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</si>
  <si>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</si>
  <si>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</si>
  <si>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</si>
  <si>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</si>
  <si>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</si>
  <si>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</si>
  <si>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</si>
  <si>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</si>
  <si>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</si>
  <si>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</si>
  <si>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</si>
  <si>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</si>
  <si>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</si>
  <si>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</si>
  <si>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</si>
  <si>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</si>
  <si>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</si>
  <si>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</si>
  <si>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</si>
  <si>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</si>
  <si>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</si>
  <si>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</si>
  <si>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</si>
  <si>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</si>
  <si>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</si>
  <si>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</si>
  <si>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</si>
  <si>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</si>
  <si>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</si>
  <si>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</si>
  <si>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</si>
  <si>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</si>
  <si>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</si>
  <si>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</si>
  <si>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</si>
  <si>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</si>
  <si>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</si>
  <si>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</si>
  <si>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</si>
  <si>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</si>
  <si>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</si>
  <si>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</si>
  <si>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</si>
  <si>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</si>
  <si>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</si>
  <si>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</si>
  <si>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</si>
  <si>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</si>
  <si>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</si>
  <si>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</si>
  <si>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</si>
  <si>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</si>
  <si>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</si>
  <si>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</si>
  <si>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</si>
  <si>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</si>
  <si>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</si>
  <si>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</si>
  <si>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</si>
  <si>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</si>
  <si>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</si>
  <si>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</si>
  <si>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</si>
  <si>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</si>
  <si>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</si>
  <si>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</si>
  <si>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</si>
  <si>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</si>
  <si>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</si>
  <si>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</si>
  <si>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</si>
  <si>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</si>
  <si>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</si>
  <si>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</si>
  <si>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</si>
  <si>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</si>
  <si>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</si>
  <si>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</si>
  <si>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</si>
  <si>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</si>
  <si>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</si>
  <si>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</si>
  <si>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</si>
  <si>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</si>
  <si>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</si>
  <si>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</si>
  <si>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</si>
  <si>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</si>
  <si>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</si>
  <si>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</si>
  <si>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</si>
  <si>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</si>
  <si>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</si>
  <si>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</si>
  <si>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</si>
  <si>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</si>
  <si>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</si>
  <si>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</si>
  <si>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</si>
  <si>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</si>
  <si>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</si>
  <si>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</si>
  <si>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</si>
  <si>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</si>
  <si>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</si>
  <si>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</si>
  <si>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</si>
  <si>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</si>
  <si>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</si>
  <si>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</si>
  <si>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</si>
  <si>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</si>
  <si>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</si>
  <si>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</si>
  <si>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</si>
  <si>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</si>
  <si>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</si>
  <si>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</si>
  <si>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</si>
  <si>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</si>
  <si>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</si>
  <si>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</si>
  <si>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</si>
  <si>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</si>
  <si>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</si>
  <si>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</si>
  <si>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</si>
  <si>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</si>
  <si>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</si>
  <si>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</si>
  <si>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</si>
  <si>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</si>
  <si>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</si>
  <si>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</si>
  <si>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</si>
  <si>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</si>
  <si>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</si>
  <si>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</si>
  <si>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</si>
  <si>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</si>
  <si>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</si>
  <si>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</si>
  <si>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</si>
  <si>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</si>
  <si>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</si>
  <si>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</si>
  <si>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</si>
  <si>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</si>
  <si>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</si>
  <si>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</si>
  <si>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</si>
  <si>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</si>
  <si>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</si>
  <si>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</si>
  <si>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</si>
  <si>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</si>
  <si>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</si>
  <si>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</si>
  <si>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</si>
  <si>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</si>
  <si>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</si>
  <si>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</si>
  <si>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</si>
  <si>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</si>
  <si>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</si>
  <si>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</si>
  <si>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</si>
  <si>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</si>
  <si>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</si>
  <si>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</si>
  <si>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</si>
  <si>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</si>
  <si>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</si>
  <si>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</si>
  <si>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</si>
  <si>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</si>
  <si>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</si>
  <si>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</si>
  <si>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</si>
  <si>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</si>
  <si>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</si>
  <si>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</si>
  <si>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</si>
  <si>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</si>
  <si>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</si>
  <si>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</si>
  <si>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</si>
  <si>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</si>
  <si>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</si>
  <si>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</si>
  <si>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</si>
  <si>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</si>
  <si>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</si>
  <si>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</si>
  <si>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</si>
  <si>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</si>
  <si>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</si>
  <si>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</si>
  <si>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</si>
  <si>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</si>
  <si>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</si>
  <si>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</si>
  <si>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</si>
  <si>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</si>
  <si>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</si>
  <si>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</si>
  <si>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</si>
  <si>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</si>
  <si>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</si>
  <si>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</si>
  <si>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</si>
  <si>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</si>
  <si>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</si>
  <si>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</si>
  <si>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</si>
  <si>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</si>
  <si>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</si>
  <si>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</si>
  <si>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</si>
  <si>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</si>
  <si>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</si>
  <si>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</si>
  <si>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</si>
  <si>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</si>
  <si>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</si>
  <si>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</si>
  <si>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</si>
  <si>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</si>
  <si>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</si>
  <si>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</si>
  <si>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</si>
  <si>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</si>
  <si>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</si>
  <si>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</si>
  <si>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</si>
  <si>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</si>
  <si>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</si>
  <si>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</si>
  <si>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</si>
  <si>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</si>
  <si>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</si>
  <si>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</si>
  <si>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</si>
  <si>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</si>
  <si>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</si>
  <si>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</si>
  <si>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</si>
  <si>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</si>
  <si>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</si>
  <si>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</si>
  <si>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</si>
  <si>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</si>
  <si>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</si>
  <si>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</si>
  <si>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</si>
  <si>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</si>
  <si>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</si>
  <si>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</si>
  <si>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</si>
  <si>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</si>
  <si>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</si>
  <si>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</si>
  <si>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</si>
  <si>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</si>
  <si>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</si>
  <si>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</si>
  <si>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</si>
  <si>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</si>
  <si>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</si>
  <si>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</si>
  <si>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</si>
  <si>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</si>
  <si>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</si>
  <si>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</si>
  <si>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</si>
  <si>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</si>
  <si>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</si>
  <si>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</si>
  <si>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</si>
  <si>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</si>
  <si>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</si>
  <si>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</si>
  <si>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</si>
  <si>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</si>
  <si>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</si>
  <si>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</si>
  <si>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</si>
  <si>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</si>
  <si>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</si>
  <si>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</si>
  <si>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</si>
  <si>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</si>
  <si>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</si>
  <si>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</si>
  <si>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</si>
  <si>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</si>
  <si>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</si>
  <si>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</si>
  <si>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</si>
  <si>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</si>
  <si>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</si>
  <si>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</si>
  <si>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</si>
  <si>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</si>
  <si>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</si>
  <si>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</si>
  <si>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</si>
  <si>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</si>
  <si>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</si>
  <si>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</si>
  <si>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</si>
  <si>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</si>
  <si>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</si>
  <si>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</si>
  <si>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</si>
  <si>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</si>
  <si>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</si>
  <si>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</si>
  <si>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</si>
  <si>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</si>
  <si>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</si>
  <si>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</si>
  <si>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</si>
  <si>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</si>
  <si>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</si>
  <si>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</si>
  <si>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</si>
  <si>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</si>
  <si>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</si>
  <si>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</si>
  <si>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</si>
  <si>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</si>
  <si>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</si>
  <si>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</si>
  <si>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</si>
  <si>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</si>
  <si>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</si>
  <si>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</si>
  <si>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</si>
  <si>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</si>
  <si>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</si>
  <si>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</si>
  <si>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</si>
  <si>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</si>
  <si>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</si>
  <si>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</si>
  <si>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</si>
  <si>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</si>
  <si>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</si>
  <si>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</si>
  <si>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</si>
  <si>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</si>
  <si>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</si>
  <si>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</si>
  <si>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</si>
  <si>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</si>
  <si>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</si>
  <si>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</si>
  <si>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</si>
  <si>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</si>
  <si>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</si>
  <si>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</si>
  <si>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</si>
  <si>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</si>
  <si>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</si>
  <si>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</si>
  <si>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</si>
  <si>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</si>
  <si>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</si>
  <si>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</si>
  <si>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</si>
  <si>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</si>
  <si>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</si>
  <si>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</si>
  <si>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</si>
  <si>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</si>
  <si>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</si>
  <si>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</si>
  <si>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</si>
  <si>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</si>
  <si>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</si>
  <si>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</si>
  <si>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</si>
  <si>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</si>
  <si>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</si>
  <si>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</si>
  <si>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</si>
  <si>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</si>
  <si>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</si>
  <si>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</si>
  <si>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</si>
  <si>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</si>
  <si>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</si>
  <si>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</si>
  <si>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</si>
  <si>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</si>
  <si>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</si>
  <si>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</si>
  <si>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</si>
  <si>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</si>
  <si>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</si>
  <si>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</si>
  <si>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</si>
  <si>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</si>
  <si>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</si>
  <si>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</si>
  <si>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</si>
  <si>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</si>
  <si>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</si>
  <si>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</si>
  <si>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</si>
  <si>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</si>
  <si>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</si>
  <si>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</si>
  <si>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</si>
  <si>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</si>
  <si>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</si>
  <si>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</si>
  <si>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</si>
  <si>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</si>
  <si>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</si>
  <si>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</si>
  <si>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</si>
  <si>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</si>
  <si>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</si>
  <si>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</si>
  <si>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</si>
  <si>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</si>
  <si>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</si>
  <si>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</si>
  <si>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</si>
  <si>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</si>
  <si>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</si>
  <si>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</si>
  <si>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</si>
  <si>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</si>
  <si>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</si>
  <si>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</si>
  <si>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</si>
  <si>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</si>
  <si>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</si>
  <si>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</si>
  <si>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</si>
  <si>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</si>
  <si>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</si>
  <si>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</si>
  <si>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</si>
  <si>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</si>
  <si>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</si>
  <si>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</si>
  <si>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</si>
  <si>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</si>
  <si>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</si>
  <si>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</si>
  <si>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</si>
  <si>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</si>
  <si>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</si>
  <si>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</si>
  <si>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</si>
  <si>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</si>
  <si>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</si>
  <si>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</si>
  <si>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</si>
  <si>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</si>
  <si>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</si>
  <si>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</si>
  <si>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</si>
  <si>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</si>
  <si>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</si>
  <si>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</si>
  <si>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</si>
  <si>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</si>
  <si>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</si>
  <si>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</si>
  <si>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</si>
  <si>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</si>
  <si>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</si>
  <si>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</si>
  <si>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</si>
  <si>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</si>
  <si>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</si>
  <si>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</si>
  <si>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</si>
  <si>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</si>
  <si>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</si>
  <si>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</si>
  <si>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</si>
  <si>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</si>
  <si>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</si>
  <si>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</si>
  <si>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</si>
  <si>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</si>
  <si>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</si>
  <si>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</si>
  <si>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</si>
  <si>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</si>
  <si>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</si>
  <si>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</si>
  <si>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</si>
  <si>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</si>
  <si>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</si>
  <si>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</si>
  <si>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</si>
  <si>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</si>
  <si>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</si>
  <si>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</si>
  <si>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</si>
  <si>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</si>
  <si>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</si>
  <si>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</si>
  <si>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</si>
  <si>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</si>
  <si>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</si>
  <si>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</si>
  <si>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</si>
  <si>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</si>
  <si>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</si>
  <si>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</si>
  <si>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</si>
  <si>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</si>
  <si>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</si>
  <si>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</si>
  <si>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</si>
  <si>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</si>
  <si>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</si>
  <si>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</si>
  <si>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</si>
  <si>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</si>
  <si>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</si>
  <si>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</si>
  <si>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</si>
  <si>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</si>
  <si>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</si>
  <si>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</si>
  <si>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</si>
  <si>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</si>
  <si>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</si>
  <si>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</si>
  <si>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</si>
  <si>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</si>
  <si>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</si>
  <si>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</si>
  <si>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</si>
  <si>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</si>
  <si>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</si>
  <si>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</si>
  <si>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</si>
  <si>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</si>
  <si>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</si>
  <si>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</si>
  <si>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</si>
  <si>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</si>
  <si>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</si>
  <si>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</si>
  <si>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</si>
  <si>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</si>
  <si>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</si>
  <si>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</si>
  <si>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</si>
  <si>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</si>
  <si>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</si>
  <si>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</si>
  <si>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</si>
  <si>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</si>
  <si>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</si>
  <si>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</si>
  <si>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</si>
  <si>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</si>
  <si>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</si>
  <si>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</si>
  <si>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</si>
  <si>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</si>
  <si>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</si>
  <si>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</si>
  <si>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</si>
  <si>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</si>
  <si>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</si>
  <si>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</si>
  <si>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</si>
  <si>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</si>
  <si>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</si>
  <si>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</si>
  <si>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</si>
  <si>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</si>
  <si>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</si>
  <si>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</si>
  <si>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</si>
  <si>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</si>
  <si>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</si>
  <si>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</si>
  <si>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</si>
  <si>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</si>
  <si>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</si>
  <si>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</si>
  <si>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</si>
  <si>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</si>
  <si>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</si>
  <si>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</si>
  <si>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</si>
  <si>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</si>
  <si>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</si>
  <si>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</si>
  <si>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</si>
  <si>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</si>
  <si>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</si>
  <si>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</si>
  <si>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</si>
  <si>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</si>
  <si>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</si>
  <si>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</si>
  <si>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</si>
  <si>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</si>
  <si>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</si>
  <si>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</si>
  <si>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</si>
  <si>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</si>
  <si>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</si>
  <si>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</si>
  <si>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</si>
  <si>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</si>
  <si>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</si>
  <si>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</si>
  <si>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</si>
  <si>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</si>
  <si>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</si>
  <si>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</si>
  <si>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</si>
  <si>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</si>
  <si>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</si>
  <si>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</si>
  <si>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</si>
  <si>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</si>
  <si>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</si>
  <si>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</si>
  <si>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</si>
  <si>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</si>
  <si>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</si>
  <si>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</si>
  <si>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</si>
  <si>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</si>
  <si>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</si>
  <si>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</si>
  <si>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</si>
  <si>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</si>
  <si>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</si>
  <si>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</si>
  <si>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</si>
  <si>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</si>
  <si>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</si>
  <si>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</si>
  <si>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</si>
  <si>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</si>
  <si>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</si>
  <si>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</si>
  <si>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</si>
  <si>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</si>
  <si>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</si>
  <si>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</si>
  <si>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</si>
  <si>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</si>
  <si>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</si>
  <si>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</si>
  <si>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</si>
  <si>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</si>
  <si>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</si>
  <si>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</si>
  <si>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</si>
  <si>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</si>
  <si>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</si>
  <si>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</si>
  <si>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</si>
  <si>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</si>
  <si>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</si>
  <si>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</si>
  <si>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</si>
  <si>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</si>
  <si>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</si>
  <si>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</si>
  <si>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</si>
  <si>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</si>
  <si>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</si>
  <si>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</si>
  <si>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</si>
  <si>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</si>
  <si>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</si>
  <si>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</si>
  <si>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</si>
  <si>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</si>
  <si>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</si>
  <si>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</si>
  <si>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</si>
  <si>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</si>
  <si>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</si>
  <si>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</si>
  <si>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</si>
  <si>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</si>
  <si>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</si>
  <si>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</si>
  <si>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</si>
  <si>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</si>
  <si>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</si>
  <si>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</si>
  <si>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</si>
  <si>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</si>
  <si>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</si>
  <si>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</si>
  <si>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</si>
  <si>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</si>
  <si>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</si>
  <si>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</si>
  <si>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</si>
  <si>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</si>
  <si>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</si>
  <si>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</si>
  <si>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</si>
  <si>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</si>
  <si>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</si>
  <si>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</si>
  <si>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</si>
  <si>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</si>
  <si>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</si>
  <si>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</si>
  <si>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</si>
  <si>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</si>
  <si>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</si>
  <si>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</si>
  <si>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</si>
  <si>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</si>
  <si>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</si>
  <si>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</si>
  <si>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</si>
  <si>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</si>
  <si>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</si>
  <si>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</si>
  <si>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</si>
  <si>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</si>
  <si>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</si>
  <si>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</si>
  <si>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</si>
  <si>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</si>
  <si>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</si>
  <si>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</si>
  <si>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</si>
  <si>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</si>
  <si>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</si>
  <si>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</si>
  <si>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</si>
  <si>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</si>
  <si>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</si>
  <si>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</si>
  <si>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</si>
  <si>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</si>
  <si>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</si>
  <si>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</si>
  <si>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</si>
  <si>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</si>
  <si>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</si>
  <si>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</si>
  <si>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</si>
  <si>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</si>
  <si>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</si>
  <si>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</si>
  <si>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</si>
  <si>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</si>
  <si>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</si>
  <si>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</si>
  <si>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</si>
  <si>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</si>
  <si>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</si>
  <si>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</si>
  <si>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</si>
  <si>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</si>
  <si>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</si>
  <si>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</si>
  <si>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</si>
  <si>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</si>
  <si>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</si>
  <si>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</si>
  <si>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</si>
  <si>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</si>
  <si>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</si>
  <si>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</si>
  <si>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</si>
  <si>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</si>
  <si>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</si>
  <si>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</si>
  <si>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</si>
  <si>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</si>
  <si>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</si>
  <si>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</si>
  <si>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</si>
  <si>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</si>
  <si>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</si>
  <si>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</si>
  <si>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</si>
  <si>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</si>
  <si>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</si>
  <si>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</si>
  <si>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</si>
  <si>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</si>
  <si>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</si>
  <si>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</si>
  <si>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</si>
  <si>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</si>
  <si>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</si>
  <si>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</si>
  <si>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</si>
  <si>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</si>
  <si>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</si>
  <si>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</si>
  <si>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</si>
  <si>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</si>
  <si>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</si>
  <si>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</si>
  <si>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</si>
  <si>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</si>
  <si>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</si>
  <si>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</si>
  <si>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</si>
  <si>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</si>
  <si>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</si>
  <si>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</si>
  <si>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</si>
  <si>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</si>
  <si>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</si>
  <si>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</si>
  <si>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</si>
  <si>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</si>
  <si>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</si>
  <si>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</si>
  <si>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</si>
  <si>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</si>
  <si>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</si>
  <si>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</si>
  <si>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</si>
  <si>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</si>
  <si>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</si>
  <si>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</si>
  <si>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</si>
  <si>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</si>
  <si>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</si>
  <si>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</si>
  <si>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</si>
  <si>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</si>
  <si>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</si>
  <si>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</si>
  <si>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</si>
  <si>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</si>
  <si>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</si>
  <si>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</si>
  <si>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</si>
  <si>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</si>
  <si>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</si>
  <si>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</si>
  <si>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</si>
  <si>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</si>
  <si>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</si>
  <si>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</si>
  <si>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</si>
  <si>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</si>
  <si>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</si>
  <si>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</si>
  <si>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</si>
  <si>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</si>
  <si>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</si>
  <si>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</si>
  <si>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</si>
  <si>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</si>
  <si>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</si>
  <si>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</si>
  <si>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</si>
  <si>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</si>
  <si>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</si>
  <si>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</si>
  <si>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</si>
  <si>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</si>
  <si>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</si>
  <si>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</si>
  <si>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</si>
  <si>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</si>
  <si>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</si>
  <si>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</si>
  <si>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</si>
  <si>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</si>
  <si>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</si>
  <si>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</si>
  <si>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</si>
  <si>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</si>
  <si>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</si>
  <si>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</si>
  <si>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</si>
  <si>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</si>
  <si>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</si>
  <si>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</si>
  <si>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</si>
  <si>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</si>
  <si>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</si>
  <si>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</si>
  <si>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</si>
  <si>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</si>
  <si>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</si>
  <si>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</si>
  <si>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</si>
  <si>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</si>
  <si>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</si>
  <si>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</si>
  <si>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</si>
  <si>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</si>
  <si>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</si>
  <si>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</si>
  <si>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</si>
  <si>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</si>
  <si>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</si>
  <si>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</si>
  <si>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</si>
  <si>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</si>
  <si>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</si>
  <si>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</si>
  <si>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</si>
  <si>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</si>
  <si>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</si>
  <si>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</si>
  <si>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</si>
  <si>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</si>
  <si>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</si>
  <si>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</si>
  <si>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</si>
  <si>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</si>
  <si>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</si>
  <si>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</si>
  <si>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</si>
  <si>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</si>
  <si>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</si>
  <si>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</si>
  <si>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</si>
  <si>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</si>
  <si>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</si>
  <si>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</si>
  <si>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</si>
  <si>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</si>
  <si>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</si>
  <si>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</si>
  <si>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</si>
  <si>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</si>
  <si>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</si>
  <si>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</si>
  <si>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</si>
  <si>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</si>
  <si>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</si>
  <si>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</si>
  <si>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</si>
  <si>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</si>
  <si>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</si>
  <si>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</si>
  <si>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</si>
  <si>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</si>
  <si>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</si>
  <si>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</si>
  <si>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</si>
  <si>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</si>
  <si>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</si>
  <si>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</si>
  <si>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</si>
  <si>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</si>
  <si>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</si>
  <si>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</si>
  <si>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</si>
  <si>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</si>
  <si>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</si>
  <si>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</si>
  <si>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</si>
  <si>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</si>
  <si>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</si>
  <si>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</si>
  <si>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</si>
  <si>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</si>
  <si>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</si>
  <si>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</si>
  <si>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</si>
  <si>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</si>
  <si>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</si>
  <si>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</si>
  <si>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</si>
  <si>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</si>
  <si>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</si>
  <si>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</si>
  <si>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</si>
  <si>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</si>
  <si>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</si>
  <si>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</si>
  <si>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</si>
  <si>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</si>
  <si>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</si>
  <si>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</si>
  <si>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</si>
  <si>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</si>
  <si>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</si>
  <si>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</si>
  <si>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</si>
  <si>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</si>
  <si>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</si>
  <si>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</si>
  <si>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</si>
  <si>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</si>
  <si>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</si>
  <si>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</si>
  <si>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</si>
  <si>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</si>
  <si>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</si>
  <si>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</si>
  <si>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</si>
  <si>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</si>
  <si>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</si>
  <si>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</si>
  <si>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</si>
  <si>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</si>
  <si>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</si>
  <si>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</si>
  <si>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</si>
  <si>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</si>
  <si>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</si>
  <si>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</si>
  <si>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</si>
  <si>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</si>
  <si>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</si>
  <si>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</si>
  <si>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</si>
  <si>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</si>
  <si>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</si>
  <si>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</si>
  <si>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</si>
  <si>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</si>
  <si>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</si>
  <si>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</si>
  <si>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</si>
  <si>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</si>
  <si>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</si>
  <si>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</si>
  <si>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</si>
  <si>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</si>
  <si>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</si>
  <si>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</si>
  <si>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</si>
  <si>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</si>
  <si>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</si>
  <si>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</si>
  <si>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</si>
  <si>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</si>
  <si>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</si>
  <si>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</si>
  <si>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</si>
  <si>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</si>
  <si>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</si>
  <si>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</si>
  <si>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</si>
  <si>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</si>
  <si>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</si>
  <si>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</si>
  <si>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</si>
  <si>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</si>
  <si>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</si>
  <si>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</si>
  <si>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</si>
  <si>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</si>
  <si>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</si>
  <si>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</si>
  <si>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</si>
  <si>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</si>
  <si>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</si>
  <si>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</si>
  <si>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</si>
  <si>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</si>
  <si>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</si>
  <si>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</si>
  <si>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</si>
  <si>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</si>
  <si>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</si>
  <si>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</si>
  <si>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</si>
  <si>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</si>
  <si>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</si>
  <si>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</si>
  <si>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</si>
  <si>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</si>
  <si>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</si>
  <si>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</si>
  <si>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</si>
  <si>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</si>
  <si>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</si>
  <si>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</si>
  <si>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</si>
  <si>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</si>
  <si>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</si>
  <si>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</si>
  <si>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</si>
  <si>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</si>
  <si>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</si>
  <si>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</si>
  <si>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</si>
  <si>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</si>
  <si>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</si>
  <si>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</si>
  <si>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</si>
  <si>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</si>
  <si>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</si>
  <si>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</si>
  <si>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</si>
  <si>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</si>
  <si>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</si>
  <si>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</si>
  <si>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</si>
  <si>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</si>
  <si>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</si>
  <si>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</si>
  <si>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</si>
  <si>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</si>
  <si>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</si>
  <si>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</si>
  <si>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</si>
  <si>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</si>
  <si>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</si>
  <si>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</si>
  <si>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</si>
  <si>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</si>
  <si>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</si>
  <si>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</si>
  <si>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</si>
  <si>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</si>
  <si>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</si>
  <si>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</si>
  <si>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</si>
  <si>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</si>
  <si>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</si>
  <si>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</si>
  <si>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</si>
  <si>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</si>
  <si>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</si>
  <si>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</si>
  <si>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</si>
  <si>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</si>
  <si>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</si>
  <si>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</si>
  <si>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</si>
  <si>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</si>
  <si>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</si>
  <si>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</si>
  <si>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</si>
  <si>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</si>
  <si>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</si>
  <si>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</si>
  <si>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</si>
  <si>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</si>
  <si>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</si>
  <si>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</si>
  <si>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</si>
  <si>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</si>
  <si>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</si>
  <si>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</si>
  <si>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</si>
  <si>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</si>
  <si>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</si>
  <si>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</si>
  <si>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</si>
  <si>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</si>
  <si>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</si>
  <si>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</si>
  <si>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</si>
  <si>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</si>
  <si>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</si>
  <si>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</si>
  <si>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</si>
  <si>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</si>
  <si>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</si>
  <si>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</si>
  <si>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</si>
  <si>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</si>
  <si>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</si>
  <si>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</si>
  <si>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</si>
  <si>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</si>
  <si>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</si>
  <si>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</si>
  <si>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</si>
  <si>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</si>
  <si>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</si>
  <si>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</si>
  <si>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</si>
  <si>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</si>
  <si>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</si>
  <si>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</si>
  <si>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</si>
  <si>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</si>
  <si>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</si>
  <si>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</si>
  <si>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</si>
  <si>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</si>
  <si>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</si>
  <si>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</si>
  <si>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</si>
  <si>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</si>
  <si>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</si>
  <si>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</si>
  <si>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</si>
  <si>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</si>
  <si>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</si>
  <si>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</si>
  <si>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</si>
  <si>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</si>
  <si>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</si>
  <si>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</si>
  <si>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</si>
  <si>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</si>
  <si>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</si>
  <si>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</si>
  <si>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</si>
  <si>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</si>
  <si>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</si>
  <si>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</si>
  <si>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</si>
  <si>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</si>
  <si>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</si>
  <si>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</si>
  <si>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</si>
  <si>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</si>
  <si>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</si>
  <si>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</si>
  <si>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</si>
  <si>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</si>
  <si>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</si>
  <si>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</si>
  <si>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</si>
  <si>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</si>
  <si>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</si>
  <si>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</si>
  <si>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</si>
  <si>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</si>
  <si>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</si>
  <si>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</si>
  <si>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</si>
  <si>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</si>
  <si>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</si>
  <si>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</si>
  <si>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</si>
  <si>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</si>
  <si>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</si>
  <si>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</si>
  <si>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</si>
  <si>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</si>
  <si>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</si>
  <si>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</si>
  <si>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</si>
  <si>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</si>
  <si>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</si>
  <si>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</si>
  <si>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</si>
  <si>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</si>
  <si>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</si>
  <si>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</si>
  <si>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</si>
  <si>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</si>
  <si>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</si>
  <si>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</si>
  <si>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</si>
  <si>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</si>
  <si>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</si>
  <si>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</si>
  <si>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</si>
  <si>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</si>
  <si>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</si>
  <si>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</si>
  <si>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</si>
  <si>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</si>
  <si>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</si>
  <si>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</si>
  <si>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</si>
  <si>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</si>
  <si>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</si>
  <si>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</si>
  <si>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</si>
  <si>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</si>
  <si>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</si>
  <si>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</si>
  <si>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</si>
  <si>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</si>
  <si>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</si>
  <si>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</si>
  <si>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</si>
  <si>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</si>
  <si>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</si>
  <si>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</si>
  <si>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</si>
  <si>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</si>
  <si>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</si>
  <si>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</si>
  <si>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</si>
  <si>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</si>
  <si>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</si>
  <si>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</si>
  <si>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</si>
  <si>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</si>
  <si>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</si>
  <si>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</si>
  <si>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</si>
  <si>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</si>
  <si>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</si>
  <si>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</si>
  <si>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</si>
  <si>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</si>
  <si>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</si>
  <si>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</si>
  <si>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</si>
  <si>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</si>
  <si>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</si>
  <si>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</si>
  <si>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</si>
  <si>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</si>
  <si>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</si>
  <si>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</si>
  <si>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</si>
  <si>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</si>
  <si>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</si>
  <si>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</si>
  <si>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</si>
  <si>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</si>
  <si>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</si>
  <si>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</si>
  <si>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</si>
  <si>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</si>
  <si>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</si>
  <si>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</si>
  <si>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</si>
  <si>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</si>
  <si>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</si>
  <si>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</si>
  <si>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</si>
  <si>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</si>
  <si>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</si>
  <si>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</si>
  <si>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</si>
  <si>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</si>
  <si>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</si>
  <si>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</si>
  <si>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</si>
  <si>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</si>
  <si>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</si>
  <si>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</si>
  <si>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</si>
  <si>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</si>
  <si>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</si>
  <si>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</si>
  <si>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</si>
  <si>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</si>
  <si>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</si>
  <si>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</si>
  <si>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</si>
  <si>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</si>
  <si>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</si>
  <si>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</si>
  <si>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</si>
  <si>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</si>
  <si>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</si>
  <si>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</si>
  <si>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</si>
  <si>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</si>
  <si>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</si>
  <si>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</si>
  <si>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</si>
  <si>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</si>
  <si>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</si>
  <si>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</si>
  <si>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</si>
  <si>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</si>
  <si>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</si>
  <si>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</si>
  <si>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</si>
  <si>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</si>
  <si>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</si>
  <si>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</si>
  <si>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</si>
  <si>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</si>
  <si>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</si>
  <si>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</si>
  <si>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</si>
  <si>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</si>
  <si>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</si>
  <si>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</si>
  <si>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</si>
  <si>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</si>
  <si>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</si>
  <si>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</si>
  <si>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</si>
  <si>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</si>
  <si>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</si>
  <si>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</si>
  <si>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</si>
  <si>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</si>
  <si>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</si>
  <si>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</si>
  <si>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</si>
  <si>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</si>
  <si>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</si>
  <si>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</si>
  <si>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</si>
  <si>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</si>
  <si>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</si>
  <si>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</si>
  <si>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</si>
  <si>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</si>
  <si>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</si>
  <si>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</si>
  <si>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</si>
  <si>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</si>
  <si>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</si>
  <si>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</si>
  <si>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</si>
  <si>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</si>
  <si>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</si>
  <si>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</si>
  <si>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</si>
  <si>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</si>
  <si>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</si>
  <si>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</si>
  <si>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</si>
  <si>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</si>
  <si>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</si>
  <si>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</si>
  <si>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</si>
  <si>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</si>
  <si>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</si>
  <si>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</si>
  <si>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</si>
  <si>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</si>
  <si>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</si>
  <si>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</si>
  <si>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</si>
  <si>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</si>
  <si>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</si>
  <si>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</si>
  <si>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</si>
  <si>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</si>
  <si>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</si>
  <si>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</si>
  <si>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</si>
  <si>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</si>
  <si>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</si>
  <si>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</si>
  <si>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</si>
  <si>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</si>
  <si>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</si>
  <si>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</si>
  <si>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</si>
  <si>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</si>
  <si>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</si>
  <si>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</si>
  <si>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</si>
  <si>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</si>
  <si>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</si>
  <si>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</si>
  <si>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</si>
  <si>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</si>
  <si>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</si>
  <si>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</si>
  <si>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</si>
  <si>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</si>
  <si>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</si>
  <si>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</si>
  <si>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</si>
  <si>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</si>
  <si>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</si>
  <si>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</si>
  <si>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</si>
  <si>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</si>
  <si>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</si>
  <si>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</si>
  <si>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</si>
  <si>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</si>
  <si>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</si>
  <si>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</si>
  <si>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</si>
  <si>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</si>
  <si>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</si>
  <si>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</si>
  <si>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</si>
  <si>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</si>
  <si>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</si>
  <si>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</si>
  <si>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</si>
  <si>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</si>
  <si>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</si>
  <si>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</si>
  <si>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</si>
  <si>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</si>
  <si>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</si>
  <si>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</si>
  <si>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</si>
  <si>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</si>
  <si>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</si>
  <si>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</si>
  <si>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</si>
  <si>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</si>
  <si>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</si>
  <si>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</si>
  <si>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</si>
  <si>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</si>
  <si>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</si>
  <si>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</si>
  <si>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</si>
  <si>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</si>
  <si>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</si>
  <si>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</si>
  <si>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</si>
  <si>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</si>
  <si>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</si>
  <si>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</si>
  <si>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</si>
  <si>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</si>
  <si>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</si>
  <si>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</si>
  <si>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</si>
  <si>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</si>
  <si>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</si>
  <si>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</si>
  <si>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</si>
  <si>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</si>
  <si>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</si>
  <si>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</si>
  <si>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</si>
  <si>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</si>
  <si>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</si>
  <si>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</si>
  <si>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</si>
  <si>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</si>
  <si>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</si>
  <si>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</si>
  <si>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</si>
  <si>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</si>
  <si>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</si>
  <si>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</si>
  <si>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</si>
  <si>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</si>
  <si>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</si>
  <si>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</si>
  <si>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</si>
  <si>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</si>
  <si>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</si>
  <si>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</si>
  <si>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</si>
  <si>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</si>
  <si>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</si>
  <si>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</si>
  <si>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</si>
  <si>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</si>
  <si>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</si>
  <si>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</si>
  <si>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</si>
  <si>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</si>
  <si>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</si>
  <si>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</si>
  <si>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</si>
  <si>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</si>
  <si>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</si>
  <si>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</si>
  <si>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</si>
  <si>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</si>
  <si>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</si>
  <si>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</si>
  <si>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</si>
  <si>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</si>
  <si>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</si>
  <si>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</si>
  <si>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</si>
  <si>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</si>
  <si>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</si>
  <si>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</si>
  <si>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</si>
  <si>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</si>
  <si>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</si>
  <si>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</si>
  <si>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</si>
  <si>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</si>
  <si>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</si>
  <si>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</si>
  <si>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</si>
  <si>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</si>
  <si>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</si>
  <si>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</si>
  <si>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</si>
  <si>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</si>
  <si>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</si>
  <si>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</si>
  <si>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</si>
  <si>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</si>
  <si>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</si>
  <si>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</si>
  <si>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</si>
  <si>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</si>
  <si>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</si>
  <si>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</si>
  <si>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</si>
  <si>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</si>
  <si>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</si>
  <si>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</si>
  <si>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</si>
  <si>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</si>
  <si>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</si>
  <si>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</si>
  <si>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</si>
  <si>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</si>
  <si>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</si>
  <si>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</si>
  <si>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</si>
  <si>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</si>
  <si>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</si>
  <si>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</si>
  <si>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</si>
  <si>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</si>
  <si>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</si>
  <si>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</si>
  <si>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</si>
  <si>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</si>
  <si>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</si>
  <si>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</si>
  <si>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</si>
  <si>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</si>
  <si>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</si>
  <si>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</si>
  <si>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</si>
  <si>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</si>
  <si>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</si>
  <si>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</si>
  <si>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</si>
  <si>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</si>
  <si>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</si>
  <si>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</si>
  <si>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</si>
  <si>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</si>
  <si>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</si>
  <si>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</si>
  <si>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</si>
  <si>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</si>
  <si>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</si>
  <si>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</si>
  <si>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</si>
  <si>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</si>
  <si>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</si>
  <si>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</si>
  <si>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</si>
  <si>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</si>
  <si>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</si>
  <si>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</si>
  <si>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</si>
  <si>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</si>
  <si>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</si>
  <si>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</si>
  <si>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</si>
  <si>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</si>
  <si>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</si>
  <si>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</si>
  <si>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</si>
  <si>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</si>
  <si>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</si>
  <si>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</si>
  <si>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</si>
  <si>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</si>
  <si>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</si>
  <si>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</si>
  <si>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</si>
  <si>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</si>
  <si>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</si>
  <si>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</si>
  <si>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</si>
  <si>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</si>
  <si>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</si>
  <si>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</si>
  <si>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</si>
  <si>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</si>
  <si>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</si>
  <si>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</si>
  <si>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</si>
  <si>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</si>
  <si>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</si>
  <si>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</si>
  <si>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</si>
  <si>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</si>
  <si>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</si>
  <si>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</si>
  <si>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</si>
  <si>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</si>
  <si>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</si>
  <si>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</si>
  <si>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</si>
  <si>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</si>
  <si>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</si>
  <si>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</si>
  <si>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</si>
  <si>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</si>
  <si>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</si>
  <si>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</si>
  <si>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</si>
  <si>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</si>
  <si>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</si>
  <si>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</si>
  <si>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</si>
  <si>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</si>
  <si>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</si>
  <si>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</si>
  <si>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</si>
  <si>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</si>
  <si>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</si>
  <si>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</si>
  <si>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</si>
  <si>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</si>
  <si>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</si>
  <si>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</si>
  <si>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</si>
  <si>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</si>
  <si>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</si>
  <si>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</si>
  <si>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</si>
  <si>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</si>
  <si>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</si>
  <si>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</si>
  <si>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</si>
  <si>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</si>
  <si>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</si>
  <si>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</si>
  <si>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</si>
  <si>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</si>
  <si>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</si>
  <si>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</si>
  <si>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</si>
  <si>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</si>
  <si>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</si>
  <si>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</si>
  <si>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</si>
  <si>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</si>
  <si>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</si>
  <si>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</si>
  <si>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</si>
  <si>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</si>
  <si>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</si>
  <si>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</si>
  <si>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</si>
  <si>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</si>
  <si>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</si>
  <si>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</si>
  <si>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</si>
  <si>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</si>
  <si>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</si>
  <si>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</si>
  <si>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</si>
  <si>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</si>
  <si>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</si>
  <si>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</si>
  <si>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</si>
  <si>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</si>
  <si>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</si>
  <si>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</si>
  <si>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</si>
  <si>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</si>
  <si>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</si>
  <si>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</si>
  <si>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</si>
  <si>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</si>
  <si>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</si>
  <si>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</si>
  <si>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</si>
  <si>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</si>
  <si>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</si>
  <si>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</si>
  <si>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</si>
  <si>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</si>
  <si>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</si>
  <si>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</si>
  <si>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</si>
  <si>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</si>
  <si>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</si>
  <si>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</si>
  <si>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</si>
  <si>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</si>
  <si>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</si>
  <si>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</si>
  <si>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</si>
  <si>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</si>
  <si>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</si>
  <si>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</si>
  <si>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</si>
  <si>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</si>
  <si>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</si>
  <si>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</si>
  <si>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</si>
  <si>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</si>
  <si>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</si>
  <si>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</si>
  <si>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</si>
  <si>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</si>
  <si>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</si>
  <si>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</si>
  <si>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</si>
  <si>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</si>
  <si>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</si>
  <si>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</si>
  <si>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</si>
  <si>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</si>
  <si>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</si>
  <si>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</si>
  <si>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</si>
  <si>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</si>
  <si>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</si>
  <si>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</si>
  <si>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</si>
  <si>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</si>
  <si>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</si>
  <si>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</si>
  <si>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</si>
  <si>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</si>
  <si>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</si>
  <si>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</si>
  <si>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</si>
  <si>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</si>
  <si>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</si>
  <si>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</si>
  <si>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</si>
  <si>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</si>
  <si>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</si>
  <si>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</si>
  <si>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</si>
  <si>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</si>
  <si>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</si>
  <si>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</si>
  <si>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</si>
  <si>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</si>
  <si>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</si>
  <si>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</si>
  <si>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</si>
  <si>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</si>
  <si>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</si>
  <si>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</si>
  <si>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</si>
  <si>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</si>
  <si>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</si>
  <si>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</si>
  <si>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</si>
  <si>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</si>
  <si>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</si>
  <si>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</si>
  <si>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</si>
  <si>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</si>
  <si>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</si>
  <si>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</si>
  <si>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</si>
  <si>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</si>
  <si>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</si>
  <si>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</si>
  <si>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</si>
  <si>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</si>
  <si>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</si>
  <si>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</si>
  <si>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</si>
  <si>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</si>
  <si>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</si>
  <si>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</si>
  <si>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</si>
  <si>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</si>
  <si>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</si>
  <si>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</si>
  <si>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</si>
  <si>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</si>
  <si>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</si>
  <si>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</si>
  <si>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</si>
  <si>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</si>
  <si>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</si>
  <si>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</si>
  <si>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</si>
  <si>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</si>
  <si>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</si>
  <si>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</si>
  <si>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</si>
  <si>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</si>
  <si>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</si>
  <si>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</si>
  <si>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</si>
  <si>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</si>
  <si>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</si>
  <si>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</si>
  <si>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</si>
  <si>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</si>
  <si>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</si>
  <si>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</si>
  <si>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</si>
  <si>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</si>
  <si>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</si>
  <si>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</si>
  <si>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</si>
  <si>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</si>
  <si>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</si>
  <si>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</si>
  <si>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</si>
  <si>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</si>
  <si>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</si>
  <si>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</si>
  <si>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</si>
  <si>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</si>
  <si>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</si>
  <si>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</si>
  <si>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</si>
  <si>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</si>
  <si>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</si>
  <si>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</si>
  <si>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</si>
  <si>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</si>
  <si>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</si>
  <si>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</si>
  <si>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</si>
  <si>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</si>
  <si>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</si>
  <si>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</si>
  <si>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</si>
  <si>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</si>
  <si>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</si>
  <si>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</si>
  <si>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</si>
  <si>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</si>
  <si>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</si>
  <si>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</si>
  <si>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</si>
  <si>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</si>
  <si>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</si>
  <si>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</si>
  <si>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</si>
  <si>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</si>
  <si>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</si>
  <si>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</si>
  <si>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</si>
  <si>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</si>
  <si>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</si>
  <si>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</si>
  <si>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</si>
  <si>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</si>
  <si>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</si>
  <si>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</si>
  <si>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</si>
  <si>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</si>
  <si>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</si>
  <si>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</si>
  <si>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</si>
  <si>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</si>
  <si>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</si>
  <si>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</si>
  <si>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</si>
  <si>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</si>
  <si>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</si>
  <si>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</si>
  <si>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</si>
  <si>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</si>
  <si>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</si>
  <si>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</si>
  <si>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</si>
  <si>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</si>
  <si>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</si>
  <si>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</si>
  <si>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</si>
  <si>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</si>
  <si>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</si>
  <si>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</si>
  <si>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</si>
  <si>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</si>
  <si>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</si>
  <si>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</si>
  <si>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</si>
  <si>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</si>
  <si>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</si>
  <si>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</si>
  <si>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</si>
  <si>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</si>
  <si>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</si>
  <si>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</si>
  <si>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</si>
  <si>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</si>
  <si>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</si>
  <si>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</si>
  <si>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</si>
  <si>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</si>
  <si>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</si>
  <si>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</si>
  <si>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</si>
  <si>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</si>
  <si>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</si>
  <si>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</si>
  <si>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</si>
  <si>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</si>
  <si>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</si>
  <si>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</si>
  <si>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</si>
  <si>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</si>
  <si>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</si>
  <si>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</si>
  <si>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</si>
  <si>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</si>
  <si>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</si>
  <si>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</si>
  <si>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</si>
  <si>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</si>
  <si>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</si>
  <si>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</si>
  <si>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</si>
  <si>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</si>
  <si>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</si>
  <si>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</si>
  <si>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</si>
  <si>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</si>
  <si>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</si>
  <si>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</si>
  <si>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</si>
  <si>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</si>
  <si>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</si>
  <si>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</si>
  <si>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</si>
  <si>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</si>
  <si>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</si>
  <si>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</si>
  <si>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</si>
  <si>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</si>
  <si>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</si>
  <si>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</si>
  <si>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</si>
  <si>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</si>
  <si>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</si>
  <si>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</si>
  <si>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</si>
  <si>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</si>
  <si>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</si>
  <si>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</si>
  <si>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</si>
  <si>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</si>
  <si>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</si>
  <si>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</si>
  <si>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</si>
  <si>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</si>
  <si>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</si>
  <si>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</si>
  <si>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</si>
  <si>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</si>
  <si>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</si>
  <si>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</si>
  <si>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</si>
  <si>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</si>
  <si>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</si>
  <si>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</si>
  <si>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</si>
  <si>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</si>
  <si>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</si>
  <si>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</si>
  <si>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</si>
  <si>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</si>
  <si>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</si>
  <si>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</si>
  <si>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</si>
  <si>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</si>
  <si>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</si>
  <si>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</si>
  <si>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</si>
  <si>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</si>
  <si>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</si>
  <si>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</si>
  <si>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</si>
  <si>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</si>
  <si>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</si>
  <si>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</si>
  <si>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</si>
  <si>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</si>
  <si>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</si>
  <si>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</si>
  <si>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</si>
  <si>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</si>
  <si>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</si>
  <si>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</si>
  <si>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</si>
  <si>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</si>
  <si>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</si>
  <si>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</si>
  <si>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</si>
  <si>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</si>
  <si>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</si>
  <si>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</si>
  <si>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</si>
  <si>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</si>
  <si>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</si>
  <si>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</si>
  <si>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</si>
  <si>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</si>
  <si>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</si>
  <si>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</si>
  <si>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</si>
  <si>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</si>
  <si>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</si>
  <si>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</si>
  <si>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</si>
  <si>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</si>
  <si>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</si>
  <si>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</si>
  <si>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</si>
  <si>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</si>
  <si>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</si>
  <si>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</si>
  <si>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</si>
  <si>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</si>
  <si>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</si>
  <si>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</si>
  <si>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</si>
  <si>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</si>
  <si>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</si>
  <si>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</si>
  <si>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</si>
  <si>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</si>
  <si>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</si>
  <si>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</si>
  <si>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</si>
  <si>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</si>
  <si>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</si>
  <si>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</si>
  <si>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</si>
  <si>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</si>
  <si>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</si>
  <si>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</si>
  <si>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</si>
  <si>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</si>
  <si>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</si>
  <si>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</si>
  <si>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</si>
  <si>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</si>
  <si>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</si>
  <si>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</si>
  <si>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</si>
  <si>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</si>
  <si>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</si>
  <si>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</si>
  <si>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</si>
  <si>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</si>
  <si>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</si>
  <si>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</si>
  <si>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</si>
  <si>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</si>
  <si>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</si>
  <si>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</si>
  <si>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</si>
  <si>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</si>
  <si>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</si>
  <si>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</si>
  <si>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</si>
  <si>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</si>
  <si>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</si>
  <si>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</si>
  <si>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</si>
  <si>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</si>
  <si>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</si>
  <si>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</si>
  <si>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</si>
  <si>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</si>
  <si>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</si>
  <si>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</si>
  <si>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</si>
  <si>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</si>
  <si>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</si>
  <si>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</si>
  <si>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</si>
  <si>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</si>
  <si>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</si>
  <si>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</si>
  <si>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</si>
  <si>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</si>
  <si>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</si>
  <si>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</si>
  <si>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</si>
  <si>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</si>
  <si>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</si>
  <si>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</si>
  <si>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</si>
  <si>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</si>
  <si>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</si>
  <si>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</si>
  <si>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</si>
  <si>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</si>
  <si>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</si>
  <si>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</si>
  <si>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</si>
  <si>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</si>
  <si>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</si>
  <si>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</si>
  <si>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</si>
  <si>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</si>
  <si>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</si>
  <si>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</si>
  <si>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</si>
  <si>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</si>
  <si>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</si>
  <si>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</si>
  <si>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</si>
  <si>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</si>
  <si>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</si>
  <si>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</si>
  <si>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</si>
  <si>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</si>
  <si>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</si>
  <si>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</si>
  <si>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</si>
  <si>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</si>
  <si>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</si>
  <si>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</si>
  <si>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</si>
  <si>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</si>
  <si>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</si>
  <si>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</si>
  <si>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</si>
  <si>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</si>
  <si>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</si>
  <si>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</si>
  <si>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</si>
  <si>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</si>
  <si>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</si>
  <si>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</si>
  <si>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</si>
  <si>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</si>
  <si>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</si>
  <si>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</si>
  <si>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</si>
  <si>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</si>
  <si>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</si>
  <si>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</si>
  <si>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</si>
  <si>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</si>
  <si>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</si>
  <si>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</si>
  <si>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</si>
  <si>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</si>
  <si>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</si>
  <si>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</si>
  <si>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</si>
  <si>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</si>
  <si>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</si>
  <si>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</si>
  <si>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</si>
  <si>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</si>
  <si>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</si>
  <si>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</si>
  <si>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</si>
  <si>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</si>
  <si>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</si>
  <si>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</si>
  <si>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</si>
  <si>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</si>
  <si>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</si>
  <si>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</si>
  <si>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</si>
  <si>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</si>
  <si>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</si>
  <si>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</si>
  <si>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</si>
  <si>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</si>
  <si>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</si>
  <si>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</si>
  <si>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</si>
  <si>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</si>
  <si>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</si>
  <si>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</si>
  <si>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</si>
  <si>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</si>
  <si>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</si>
  <si>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</si>
  <si>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</si>
  <si>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</si>
  <si>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</si>
  <si>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</si>
  <si>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</si>
  <si>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</si>
  <si>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</si>
  <si>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</si>
  <si>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</si>
  <si>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</si>
  <si>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</si>
  <si>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</si>
  <si>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</si>
  <si>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</si>
  <si>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</si>
  <si>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</si>
  <si>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</si>
  <si>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</si>
  <si>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</si>
  <si>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</si>
  <si>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</si>
  <si>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</si>
  <si>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</si>
  <si>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</si>
  <si>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</si>
  <si>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</si>
  <si>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</si>
  <si>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</si>
  <si>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</si>
  <si>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</si>
  <si>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</si>
  <si>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</si>
  <si>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</si>
  <si>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</si>
  <si>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</si>
  <si>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</si>
  <si>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</si>
  <si>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</si>
  <si>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</si>
  <si>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</si>
  <si>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</si>
  <si>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</si>
  <si>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</si>
  <si>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</si>
  <si>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</si>
  <si>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</si>
  <si>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</si>
  <si>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</si>
  <si>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</si>
  <si>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</si>
  <si>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</si>
  <si>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</si>
  <si>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</si>
  <si>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</si>
  <si>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</si>
  <si>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</si>
  <si>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</si>
  <si>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</si>
  <si>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</si>
  <si>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</si>
  <si>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</si>
  <si>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</si>
  <si>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</si>
  <si>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</si>
  <si>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</si>
  <si>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</si>
  <si>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</si>
  <si>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</si>
  <si>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</si>
  <si>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</si>
  <si>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</si>
  <si>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</si>
  <si>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</si>
  <si>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</si>
  <si>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</si>
  <si>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</si>
  <si>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</si>
  <si>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</si>
  <si>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</si>
  <si>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</si>
  <si>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</si>
  <si>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</si>
  <si>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</si>
  <si>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</si>
  <si>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</si>
  <si>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</si>
  <si>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</si>
  <si>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</si>
  <si>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</si>
  <si>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</si>
  <si>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</si>
  <si>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</si>
  <si>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</si>
  <si>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</si>
  <si>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</si>
  <si>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</si>
  <si>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</si>
  <si>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</si>
  <si>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</si>
  <si>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</si>
  <si>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</si>
  <si>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</si>
  <si>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</si>
  <si>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</si>
  <si>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</si>
  <si>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</si>
  <si>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</si>
  <si>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</si>
  <si>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</si>
  <si>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</si>
  <si>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</si>
  <si>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</si>
  <si>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</si>
  <si>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</si>
  <si>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</si>
  <si>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</si>
  <si>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</si>
  <si>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</si>
  <si>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</si>
  <si>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</si>
  <si>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</si>
  <si>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</si>
  <si>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</si>
  <si>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</si>
  <si>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</si>
  <si>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</si>
  <si>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</si>
  <si>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</si>
  <si>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</si>
  <si>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</si>
  <si>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</si>
  <si>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</si>
  <si>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</si>
  <si>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</si>
  <si>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</si>
  <si>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</si>
  <si>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</si>
  <si>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</si>
  <si>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</si>
  <si>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</si>
  <si>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</si>
  <si>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</si>
  <si>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</si>
  <si>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</si>
  <si>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</si>
  <si>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</si>
  <si>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</si>
  <si>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</si>
  <si>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</si>
  <si>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</si>
  <si>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</si>
  <si>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</si>
  <si>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</si>
  <si>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</si>
  <si>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</si>
  <si>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</si>
  <si>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</si>
  <si>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</si>
  <si>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</si>
  <si>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</si>
  <si>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</si>
  <si>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</si>
  <si>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</si>
  <si>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</si>
  <si>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</si>
  <si>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</si>
  <si>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</si>
  <si>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</si>
  <si>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</si>
  <si>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</si>
  <si>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</si>
  <si>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</si>
  <si>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</si>
  <si>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</si>
  <si>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</si>
  <si>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</si>
  <si>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</si>
  <si>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</si>
  <si>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</si>
  <si>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</si>
  <si>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</si>
  <si>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</si>
  <si>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</si>
  <si>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</si>
  <si>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</si>
  <si>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</si>
  <si>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</si>
  <si>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</si>
  <si>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</si>
  <si>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</si>
  <si>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</si>
  <si>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</si>
  <si>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</si>
  <si>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</si>
  <si>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</si>
  <si>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</si>
  <si>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</si>
  <si>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</si>
  <si>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</si>
  <si>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</si>
  <si>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</si>
  <si>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</si>
  <si>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</si>
  <si>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</si>
  <si>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</si>
  <si>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</si>
  <si>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</si>
  <si>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</si>
  <si>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</si>
  <si>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</si>
  <si>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</si>
  <si>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</si>
  <si>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</si>
  <si>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</si>
  <si>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</si>
  <si>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</si>
  <si>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</si>
  <si>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</si>
  <si>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</si>
  <si>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</si>
  <si>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</si>
  <si>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</si>
  <si>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</si>
  <si>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</si>
  <si>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</si>
  <si>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</si>
  <si>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</si>
  <si>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</si>
  <si>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</si>
  <si>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</si>
  <si>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</si>
  <si>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</si>
  <si>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</si>
  <si>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</si>
  <si>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</si>
  <si>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</si>
  <si>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</si>
  <si>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</si>
  <si>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</si>
  <si>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</si>
  <si>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</si>
  <si>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</si>
  <si>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</si>
  <si>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</si>
  <si>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</si>
  <si>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</si>
  <si>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</si>
  <si>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</si>
  <si>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</si>
  <si>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</si>
  <si>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</si>
  <si>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</si>
  <si>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</si>
  <si>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</si>
  <si>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</si>
  <si>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</si>
  <si>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</si>
  <si>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</si>
  <si>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</si>
  <si>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</si>
  <si>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</si>
  <si>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</si>
  <si>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</si>
  <si>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</si>
  <si>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</si>
  <si>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</si>
  <si>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</si>
  <si>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</si>
  <si>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</si>
  <si>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</si>
  <si>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</si>
  <si>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</si>
  <si>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</si>
  <si>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</si>
  <si>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</si>
  <si>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</si>
  <si>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</si>
  <si>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</si>
  <si>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</si>
  <si>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</si>
  <si>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</si>
  <si>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</si>
  <si>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</si>
  <si>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</si>
  <si>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</si>
  <si>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</si>
  <si>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</si>
  <si>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</si>
  <si>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</si>
  <si>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</si>
  <si>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</si>
  <si>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</si>
  <si>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</si>
  <si>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</si>
  <si>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</si>
  <si>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</si>
  <si>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</si>
  <si>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</si>
  <si>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</si>
  <si>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</si>
  <si>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</si>
  <si>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</si>
  <si>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</si>
  <si>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</si>
  <si>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</si>
  <si>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</si>
  <si>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</si>
  <si>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</si>
  <si>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</si>
  <si>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</si>
  <si>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</si>
  <si>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</si>
  <si>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</si>
  <si>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</si>
  <si>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</si>
  <si>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</si>
  <si>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</si>
  <si>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</si>
  <si>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</si>
  <si>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</si>
  <si>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</si>
  <si>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</si>
  <si>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</si>
  <si>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</si>
  <si>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</si>
  <si>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</si>
  <si>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</si>
  <si>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</si>
  <si>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</si>
  <si>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</si>
  <si>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</si>
  <si>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</si>
  <si>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</si>
  <si>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</si>
  <si>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</si>
  <si>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</si>
  <si>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</si>
  <si>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</si>
  <si>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</si>
  <si>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</si>
  <si>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</si>
  <si>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</si>
  <si>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</si>
  <si>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</si>
  <si>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</si>
  <si>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</si>
  <si>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</si>
  <si>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</si>
  <si>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</si>
  <si>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</si>
  <si>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</si>
  <si>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</si>
  <si>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</si>
  <si>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</si>
  <si>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</si>
  <si>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</si>
  <si>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</si>
  <si>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</si>
  <si>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</si>
  <si>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</si>
  <si>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</si>
  <si>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</si>
  <si>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</si>
  <si>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</si>
  <si>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</si>
  <si>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</si>
  <si>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</si>
  <si>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</si>
  <si>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</si>
  <si>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</si>
  <si>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</si>
  <si>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</si>
  <si>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</si>
  <si>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</si>
  <si>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</si>
  <si>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</si>
  <si>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</si>
  <si>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</si>
  <si>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</si>
  <si>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</si>
  <si>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</si>
  <si>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</si>
  <si>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</si>
  <si>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</si>
  <si>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</si>
  <si>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</si>
  <si>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</si>
  <si>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</si>
  <si>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</si>
  <si>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</si>
  <si>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</si>
  <si>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</si>
  <si>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</si>
  <si>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</si>
  <si>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</si>
  <si>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</si>
  <si>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</si>
  <si>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</si>
  <si>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</si>
  <si>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</si>
  <si>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</si>
  <si>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</si>
  <si>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</si>
  <si>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</si>
  <si>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</si>
  <si>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</si>
  <si>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</si>
  <si>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</si>
  <si>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</si>
  <si>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</si>
  <si>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</si>
  <si>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</si>
  <si>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</si>
  <si>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</si>
  <si>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</si>
  <si>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</si>
  <si>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</si>
  <si>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</si>
  <si>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</si>
  <si>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</si>
  <si>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</si>
  <si>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</si>
  <si>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</si>
  <si>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</si>
  <si>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</si>
  <si>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</si>
  <si>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</si>
  <si>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</si>
  <si>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</si>
  <si>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</si>
  <si>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</si>
  <si>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</si>
  <si>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</si>
  <si>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</si>
  <si>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</si>
  <si>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</si>
  <si>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</si>
  <si>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</si>
  <si>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</si>
  <si>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</si>
  <si>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</si>
  <si>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</si>
  <si>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</si>
  <si>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</si>
  <si>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</si>
  <si>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</si>
  <si>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</si>
  <si>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</si>
  <si>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</si>
  <si>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</si>
  <si>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</si>
  <si>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</si>
  <si>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</si>
  <si>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</si>
  <si>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</si>
  <si>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</si>
  <si>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</si>
  <si>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</si>
  <si>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</si>
  <si>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</si>
  <si>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</si>
  <si>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</si>
  <si>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</si>
  <si>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</si>
  <si>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</si>
  <si>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</si>
  <si>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</si>
  <si>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</si>
  <si>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</si>
  <si>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</si>
  <si>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</si>
  <si>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</si>
  <si>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</si>
  <si>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</si>
  <si>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</si>
  <si>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</si>
  <si>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</si>
  <si>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</si>
  <si>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</si>
  <si>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</si>
  <si>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</si>
  <si>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</si>
  <si>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</si>
  <si>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</si>
  <si>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</si>
  <si>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</si>
  <si>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</si>
  <si>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</si>
  <si>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</si>
  <si>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</si>
  <si>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</si>
  <si>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</si>
  <si>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</si>
  <si>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</si>
  <si>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</si>
  <si>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</si>
  <si>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</si>
  <si>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</si>
  <si>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</si>
  <si>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</si>
  <si>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</si>
  <si>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</si>
  <si>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</si>
  <si>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</si>
  <si>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</si>
  <si>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</si>
  <si>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</si>
  <si>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</si>
  <si>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</si>
  <si>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</si>
  <si>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</si>
  <si>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</si>
  <si>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</si>
  <si>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3星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</si>
  <si>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</si>
  <si>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</si>
  <si>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</si>
  <si>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</si>
  <si>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</si>
  <si>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</si>
  <si>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</si>
  <si>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</si>
  <si>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</si>
  <si>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</si>
  <si>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</si>
  <si>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</si>
  <si>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</si>
  <si>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</si>
  <si>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</si>
  <si>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</si>
  <si>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</si>
  <si>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</si>
  <si>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</si>
  <si>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</si>
  <si>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</si>
  <si>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</si>
  <si>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</si>
  <si>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</si>
  <si>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</si>
  <si>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</si>
  <si>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</si>
  <si>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</si>
  <si>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</si>
  <si>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</si>
  <si>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</si>
  <si>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</si>
  <si>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</si>
  <si>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</si>
  <si>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</si>
  <si>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</si>
  <si>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</si>
  <si>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</si>
  <si>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</si>
  <si>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</si>
  <si>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</si>
  <si>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</si>
  <si>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</si>
  <si>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</si>
  <si>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</si>
  <si>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</si>
  <si>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</si>
  <si>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</si>
  <si>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</si>
  <si>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</si>
  <si>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</si>
  <si>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</si>
  <si>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</si>
  <si>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售价</t>
  </si>
  <si>
    <t>地上住宅</t>
  </si>
  <si>
    <t>商业/办公用地</t>
  </si>
  <si>
    <t>1星</t>
  </si>
  <si>
    <t>小于或等于3</t>
  </si>
  <si>
    <t>小于或等于1.5</t>
  </si>
  <si>
    <t>小于或等于2</t>
  </si>
  <si>
    <t>小于或等于1</t>
  </si>
  <si>
    <t>大于或等于1并且小于或等于2</t>
  </si>
  <si>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</si>
  <si>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</si>
  <si>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</si>
  <si>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</si>
  <si>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通路</t>
  </si>
  <si>
    <t>通电</t>
  </si>
  <si>
    <t>通上水</t>
  </si>
  <si>
    <t>平整</t>
  </si>
  <si>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</si>
  <si>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</si>
  <si>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</si>
  <si>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</si>
  <si>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</si>
  <si>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</si>
  <si>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配建保障房</t>
    <phoneticPr fontId="26" type="noConversion"/>
  </si>
  <si>
    <t>无配建</t>
    <phoneticPr fontId="26"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</si>
  <si>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</si>
  <si>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</si>
  <si>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</si>
  <si>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</si>
  <si>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</si>
  <si>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</si>
  <si>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</si>
  <si>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</si>
  <si>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</si>
  <si>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</si>
  <si>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</si>
  <si>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标准</t>
    <phoneticPr fontId="228" type="noConversion"/>
  </si>
  <si>
    <t>京北恒大国际文化城</t>
    <phoneticPr fontId="3" type="noConversion"/>
  </si>
  <si>
    <t>八达岭·阿尔卡迪亚</t>
    <phoneticPr fontId="3" type="noConversion"/>
  </si>
  <si>
    <t>已部分缴纳</t>
  </si>
  <si>
    <t>香榭府</t>
    <phoneticPr fontId="3" type="noConversion"/>
  </si>
  <si>
    <t>《不动产权证书》[冀（2019）怀来县不动产权第0002793、0002770、0003147号]</t>
    <phoneticPr fontId="6" type="noConversion"/>
  </si>
  <si>
    <t>商业</t>
  </si>
  <si>
    <t>周边居住用地比例较大，但尚未发展成熟，多为在建建筑物，社区发展一般，综合评价居住社区成熟度一般</t>
    <phoneticPr fontId="26" type="noConversion"/>
  </si>
  <si>
    <t>支路——未命名道路</t>
    <phoneticPr fontId="26" type="noConversion"/>
  </si>
  <si>
    <t>支路——未命名道路</t>
    <phoneticPr fontId="3" type="noConversion"/>
  </si>
  <si>
    <t>商业</t>
    <phoneticPr fontId="6" type="noConversion"/>
  </si>
  <si>
    <t>商业项目</t>
  </si>
  <si>
    <t>商业</t>
    <phoneticPr fontId="7" type="noConversion"/>
  </si>
  <si>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</si>
  <si>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湘潭县排头乡回龙桥村</t>
  </si>
  <si>
    <t>湘潭市</t>
  </si>
  <si>
    <t>2019-10-18</t>
  </si>
  <si>
    <t>胡德</t>
  </si>
  <si>
    <t>小于或等于4.8</t>
  </si>
  <si>
    <t>刘广、赵铁民、陈伟、刘碧文</t>
  </si>
  <si>
    <t>小于或等于1.8</t>
  </si>
  <si>
    <t>2019-10-10</t>
  </si>
  <si>
    <t>湖南广宏置业发展有限公司</t>
  </si>
  <si>
    <t>2019-06-13</t>
  </si>
  <si>
    <t>湖南天生吉置业开发有限公司</t>
  </si>
  <si>
    <t>易俗河镇杨柳路以东、天马路以南、水竹学校以西地块</t>
  </si>
  <si>
    <t>大于或等于2并且小于或等于3.5</t>
  </si>
  <si>
    <t>2019-05-08</t>
  </si>
  <si>
    <t>湖南长通房地产开发有限公司</t>
  </si>
  <si>
    <t>2018-12-19</t>
  </si>
  <si>
    <t>湘潭上典置业有限公司、朱秋华、莫彬、陈红良、赵红云、李海燕、杨志辉、朱起杰、朱曲、高云、朱亚秋、肖新平、朱明亮、朱江文、莫继枚、朱志强、朱湘庚、陈娜、王彩红、查作为、莫娟莲、唐咏珍、陈玲娟、陈玲娜、张</t>
  </si>
  <si>
    <t>湘潭县易俗河镇大鹏路以北,雪松路以西,紫薇路以东。</t>
  </si>
  <si>
    <t>大于或等于2并且小于5</t>
  </si>
  <si>
    <t>2018-11-22</t>
  </si>
  <si>
    <t>湘潭市锴鑫房地产开发有限公司</t>
  </si>
  <si>
    <t>易俗河镇县公安局以东,飞鸽路以南,贵竹路以西</t>
  </si>
  <si>
    <t>大于2并且小于2.6</t>
  </si>
  <si>
    <t>2018-09-06</t>
  </si>
  <si>
    <t>陈新龙*郭子其*郭亿纯*罗启松*罗金华*罗新</t>
  </si>
  <si>
    <t>易俗河镇大鹏路以南,洛口大道以西用地</t>
  </si>
  <si>
    <t>大于1.1并且小于2</t>
  </si>
  <si>
    <t>2018-08-10</t>
  </si>
  <si>
    <t>湘潭鑫亚航置业有限公司</t>
  </si>
  <si>
    <t>易俗河镇滨江路以北、金桂广场以西(S1)、金桂广场以东(S2)</t>
  </si>
  <si>
    <t>大于1并且小于1.1</t>
  </si>
  <si>
    <t>2018-06-21</t>
  </si>
  <si>
    <t>湖南省裕生祥置业有限公司</t>
  </si>
  <si>
    <t>易俗河镇天易大道以北、芭蕉路以西</t>
  </si>
  <si>
    <t>大于0.5并且小于1</t>
  </si>
  <si>
    <t>2018-01-11</t>
  </si>
  <si>
    <t>湖南中湘海加油站管理有限公司</t>
  </si>
  <si>
    <t>2017-07-20</t>
  </si>
  <si>
    <t>湘潭县建设投资有限公司</t>
  </si>
  <si>
    <t>≥1且≤1.5</t>
  </si>
  <si>
    <t>2016-12-03</t>
  </si>
  <si>
    <t>湖南九城投资集团有限公司,湖南九城置业有限公司等</t>
  </si>
  <si>
    <t>2星</t>
  </si>
  <si>
    <t>易俗河镇(原梅林桥镇)大坟村</t>
  </si>
  <si>
    <t>小于或等于0.5</t>
  </si>
  <si>
    <t>2016-07-14</t>
  </si>
  <si>
    <t>湘潭县石油有限公司</t>
  </si>
  <si>
    <t>凤凰路以北沿江风光带以南杨柳北路以东金霞美墅以西</t>
  </si>
  <si>
    <t>2016-06-30</t>
  </si>
  <si>
    <t>湖南三建天易房地产开发有限公司</t>
  </si>
  <si>
    <t>商业</t>
    <phoneticPr fontId="26" type="noConversion"/>
  </si>
  <si>
    <t>系数</t>
    <phoneticPr fontId="228" type="noConversion"/>
  </si>
  <si>
    <t>售价</t>
    <phoneticPr fontId="228" type="noConversion"/>
  </si>
  <si>
    <t>租金</t>
    <phoneticPr fontId="228" type="noConversion"/>
  </si>
  <si>
    <t>1层</t>
    <phoneticPr fontId="228" type="noConversion"/>
  </si>
  <si>
    <t>2层</t>
    <phoneticPr fontId="228" type="noConversion"/>
  </si>
  <si>
    <t>3层</t>
    <phoneticPr fontId="228" type="noConversion"/>
  </si>
  <si>
    <t>平均售价</t>
    <phoneticPr fontId="228" type="noConversion"/>
  </si>
  <si>
    <t>R</t>
    <phoneticPr fontId="228" type="noConversion"/>
  </si>
  <si>
    <t>易俗河镇杏丹二路以南、牡丹路以西</t>
    <phoneticPr fontId="228" type="noConversion"/>
  </si>
  <si>
    <t>较差</t>
  </si>
  <si>
    <t>湘潭县花石镇花石村</t>
    <phoneticPr fontId="228" type="noConversion"/>
  </si>
  <si>
    <t>湘潭县云湖桥镇七里铺村</t>
    <phoneticPr fontId="228" type="noConversion"/>
  </si>
  <si>
    <t>湘潭县河口镇荷花村</t>
    <phoneticPr fontId="228" type="noConversion"/>
  </si>
  <si>
    <r>
      <rPr>
        <sz val="10"/>
        <color rgb="FFFF0000"/>
        <rFont val="宋体"/>
        <family val="3"/>
        <charset val="134"/>
      </rPr>
      <t>湘潭县石鼓镇海南村</t>
    </r>
    <r>
      <rPr>
        <sz val="10"/>
        <color rgb="FFFF0000"/>
        <rFont val="Arial"/>
        <family val="2"/>
      </rPr>
      <t>(</t>
    </r>
    <r>
      <rPr>
        <sz val="10"/>
        <color rgb="FFFF0000"/>
        <rFont val="宋体"/>
        <family val="3"/>
        <charset val="134"/>
      </rPr>
      <t>原海荣村、珠山村</t>
    </r>
    <r>
      <rPr>
        <sz val="10"/>
        <color rgb="FFFF0000"/>
        <rFont val="Arial"/>
        <family val="2"/>
      </rPr>
      <t>)</t>
    </r>
    <phoneticPr fontId="228" type="noConversion"/>
  </si>
  <si>
    <t>经开区长潭西线以西、湘望路以东、白石路以北</t>
    <phoneticPr fontId="228" type="noConversion"/>
  </si>
  <si>
    <t>水竹湾</t>
    <phoneticPr fontId="3" type="noConversion"/>
  </si>
  <si>
    <t>山塘村</t>
    <phoneticPr fontId="3" type="noConversion"/>
  </si>
  <si>
    <t>水湾村</t>
    <phoneticPr fontId="21" type="noConversion"/>
  </si>
  <si>
    <t>山塘村</t>
    <phoneticPr fontId="21" type="noConversion"/>
  </si>
  <si>
    <t>位置</t>
    <phoneticPr fontId="3" type="noConversion"/>
  </si>
  <si>
    <t>一般</t>
    <phoneticPr fontId="21" type="noConversion"/>
  </si>
  <si>
    <t>较差</t>
    <phoneticPr fontId="21" type="noConversion"/>
  </si>
  <si>
    <t>土地面积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</si>
</sst>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181" fontId="85" fillId="18" borderId="25"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71" fillId="0" borderId="29" xfId="0"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81" fillId="5" borderId="0" xfId="0" applyFont="1" applyFill="1" applyAlignment="1" applyProtection="1">
      <alignment horizontal="right" vertical="center"/>
      <protection locked="0"/>
    </xf>
    <xf numFmtId="9" fontId="71" fillId="5" borderId="0" xfId="0" applyNumberFormat="1" applyFont="1" applyFill="1" applyAlignment="1" applyProtection="1">
      <alignment horizontal="left" vertical="center"/>
      <protection locked="0"/>
    </xf>
    <xf numFmtId="0" fontId="75" fillId="5" borderId="16" xfId="0" applyFont="1" applyFill="1" applyBorder="1" applyAlignment="1" applyProtection="1">
      <alignment horizontal="left" vertical="center" wrapText="1"/>
      <protection locked="0"/>
    </xf>
    <xf numFmtId="0" fontId="101" fillId="6" borderId="8" xfId="0" applyFont="1" applyFill="1" applyBorder="1" applyAlignment="1" applyProtection="1">
      <alignment vertical="center"/>
      <protection locked="0"/>
    </xf>
    <xf numFmtId="0" fontId="86" fillId="0" borderId="0" xfId="16"/>
    <xf numFmtId="0" fontId="86" fillId="0" borderId="0" xfId="16" applyFont="1"/>
    <xf numFmtId="0" fontId="86" fillId="6" borderId="0" xfId="16" applyFill="1"/>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0" xfId="0" applyFont="1" applyAlignment="1">
      <alignment horizontal="center" vertical="center"/>
    </xf>
    <xf numFmtId="0" fontId="145" fillId="0" borderId="0" xfId="0" applyFont="1">
      <alignment vertical="center"/>
    </xf>
    <xf numFmtId="0" fontId="86" fillId="9" borderId="0" xfId="16" applyFill="1"/>
    <xf numFmtId="0" fontId="158" fillId="0" borderId="0" xfId="16" applyFont="1"/>
    <xf numFmtId="0" fontId="86" fillId="0" borderId="0" xfId="16" applyAlignment="1">
      <alignment horizontal="right"/>
    </xf>
    <xf numFmtId="0" fontId="86" fillId="6" borderId="0" xfId="16" applyFill="1" applyAlignment="1">
      <alignment horizontal="right"/>
    </xf>
    <xf numFmtId="0" fontId="158" fillId="0" borderId="0" xfId="16" applyFont="1" applyAlignment="1">
      <alignment horizontal="right"/>
    </xf>
    <xf numFmtId="0" fontId="86" fillId="0" borderId="0" xfId="16" applyFill="1" applyAlignment="1">
      <alignment horizontal="right"/>
    </xf>
    <xf numFmtId="179" fontId="86" fillId="0" borderId="0" xfId="16" applyNumberFormat="1"/>
    <xf numFmtId="181" fontId="76" fillId="5" borderId="0" xfId="0" applyNumberFormat="1" applyFont="1" applyFill="1" applyAlignment="1" applyProtection="1">
      <alignment vertical="center"/>
      <protection locked="0"/>
    </xf>
    <xf numFmtId="0" fontId="127" fillId="9" borderId="0" xfId="16" applyFont="1" applyFill="1"/>
    <xf numFmtId="0" fontId="127" fillId="0" borderId="0" xfId="16" applyFont="1"/>
    <xf numFmtId="0" fontId="210" fillId="0" borderId="0" xfId="16" applyFont="1"/>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179" fontId="117" fillId="0" borderId="0" xfId="0" applyNumberFormat="1" applyFont="1" applyProtection="1">
      <alignment vertical="center"/>
      <protection locked="0"/>
    </xf>
    <xf numFmtId="0" fontId="115" fillId="0" borderId="2" xfId="0" applyFont="1" applyFill="1" applyBorder="1" applyAlignment="1" applyProtection="1">
      <alignment horizontal="left" vertical="center"/>
      <protection locked="0"/>
    </xf>
    <xf numFmtId="0" fontId="82" fillId="0" borderId="2" xfId="0" applyFont="1" applyBorder="1" applyAlignment="1" applyProtection="1">
      <alignment horizontal="left"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98" fillId="19" borderId="0" xfId="0" applyFont="1" applyFill="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104775</xdr:rowOff>
    </xdr:from>
    <xdr:to>
      <xdr:col>6</xdr:col>
      <xdr:colOff>499678</xdr:colOff>
      <xdr:row>88</xdr:row>
      <xdr:rowOff>80560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20075"/>
          <a:ext cx="7291003" cy="6128935"/>
        </a:xfrm>
        <a:prstGeom prst="rect">
          <a:avLst/>
        </a:prstGeom>
      </xdr:spPr>
    </xdr:pic>
    <xdr:clientData/>
  </xdr:twoCellAnchor>
  <xdr:twoCellAnchor editAs="oneCell">
    <xdr:from>
      <xdr:col>7</xdr:col>
      <xdr:colOff>0</xdr:colOff>
      <xdr:row>51</xdr:row>
      <xdr:rowOff>0</xdr:rowOff>
    </xdr:from>
    <xdr:to>
      <xdr:col>21</xdr:col>
      <xdr:colOff>398752</xdr:colOff>
      <xdr:row>83</xdr:row>
      <xdr:rowOff>104115</xdr:rowOff>
    </xdr:to>
    <xdr:pic>
      <xdr:nvPicPr>
        <xdr:cNvPr id="4" name="图片 3"/>
        <xdr:cNvPicPr>
          <a:picLocks noChangeAspect="1"/>
        </xdr:cNvPicPr>
      </xdr:nvPicPr>
      <xdr:blipFill>
        <a:blip xmlns:r="http://schemas.openxmlformats.org/officeDocument/2006/relationships" r:embed="rId2"/>
        <a:stretch>
          <a:fillRect/>
        </a:stretch>
      </xdr:blipFill>
      <xdr:spPr>
        <a:xfrm>
          <a:off x="7391400" y="8277225"/>
          <a:ext cx="10390477" cy="5285715"/>
        </a:xfrm>
        <a:prstGeom prst="rect">
          <a:avLst/>
        </a:prstGeom>
      </xdr:spPr>
    </xdr:pic>
    <xdr:clientData/>
  </xdr:twoCellAnchor>
  <xdr:twoCellAnchor editAs="oneCell">
    <xdr:from>
      <xdr:col>0</xdr:col>
      <xdr:colOff>0</xdr:colOff>
      <xdr:row>16</xdr:row>
      <xdr:rowOff>0</xdr:rowOff>
    </xdr:from>
    <xdr:to>
      <xdr:col>10</xdr:col>
      <xdr:colOff>275080</xdr:colOff>
      <xdr:row>50</xdr:row>
      <xdr:rowOff>18360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609850"/>
          <a:ext cx="9161905" cy="5523810"/>
        </a:xfrm>
        <a:prstGeom prst="rect">
          <a:avLst/>
        </a:prstGeom>
      </xdr:spPr>
    </xdr:pic>
    <xdr:clientData/>
  </xdr:twoCellAnchor>
  <xdr:twoCellAnchor editAs="oneCell">
    <xdr:from>
      <xdr:col>0</xdr:col>
      <xdr:colOff>0</xdr:colOff>
      <xdr:row>89</xdr:row>
      <xdr:rowOff>0</xdr:rowOff>
    </xdr:from>
    <xdr:to>
      <xdr:col>5</xdr:col>
      <xdr:colOff>637368</xdr:colOff>
      <xdr:row>116</xdr:row>
      <xdr:rowOff>85168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430375"/>
          <a:ext cx="6457143" cy="4457143"/>
        </a:xfrm>
        <a:prstGeom prst="rect">
          <a:avLst/>
        </a:prstGeom>
      </xdr:spPr>
    </xdr:pic>
    <xdr:clientData/>
  </xdr:twoCellAnchor>
  <xdr:twoCellAnchor editAs="oneCell">
    <xdr:from>
      <xdr:col>7</xdr:col>
      <xdr:colOff>323851</xdr:colOff>
      <xdr:row>14</xdr:row>
      <xdr:rowOff>159544</xdr:rowOff>
    </xdr:from>
    <xdr:to>
      <xdr:col>19</xdr:col>
      <xdr:colOff>170391</xdr:colOff>
      <xdr:row>48</xdr:row>
      <xdr:rowOff>68379</xdr:rowOff>
    </xdr:to>
    <xdr:pic>
      <xdr:nvPicPr>
        <xdr:cNvPr id="7" name="图片 6"/>
        <xdr:cNvPicPr>
          <a:picLocks noChangeAspect="1"/>
        </xdr:cNvPicPr>
      </xdr:nvPicPr>
      <xdr:blipFill>
        <a:blip xmlns:r="http://schemas.openxmlformats.org/officeDocument/2006/relationships" r:embed="rId5"/>
        <a:stretch>
          <a:fillRect/>
        </a:stretch>
      </xdr:blipFill>
      <xdr:spPr>
        <a:xfrm>
          <a:off x="7717632" y="2505075"/>
          <a:ext cx="8490478" cy="5576210"/>
        </a:xfrm>
        <a:prstGeom prst="rect">
          <a:avLst/>
        </a:prstGeom>
      </xdr:spPr>
    </xdr:pic>
    <xdr:clientData/>
  </xdr:twoCellAnchor>
  <xdr:twoCellAnchor editAs="oneCell">
    <xdr:from>
      <xdr:col>5</xdr:col>
      <xdr:colOff>857250</xdr:colOff>
      <xdr:row>89</xdr:row>
      <xdr:rowOff>0</xdr:rowOff>
    </xdr:from>
    <xdr:to>
      <xdr:col>17</xdr:col>
      <xdr:colOff>627577</xdr:colOff>
      <xdr:row>122</xdr:row>
      <xdr:rowOff>113618</xdr:rowOff>
    </xdr:to>
    <xdr:pic>
      <xdr:nvPicPr>
        <xdr:cNvPr id="8" name="图片 7"/>
        <xdr:cNvPicPr>
          <a:picLocks noChangeAspect="1"/>
        </xdr:cNvPicPr>
      </xdr:nvPicPr>
      <xdr:blipFill>
        <a:blip xmlns:r="http://schemas.openxmlformats.org/officeDocument/2006/relationships" r:embed="rId6"/>
        <a:stretch>
          <a:fillRect/>
        </a:stretch>
      </xdr:blipFill>
      <xdr:spPr>
        <a:xfrm>
          <a:off x="6677025" y="14430375"/>
          <a:ext cx="8590477" cy="5457143"/>
        </a:xfrm>
        <a:prstGeom prst="rect">
          <a:avLst/>
        </a:prstGeom>
      </xdr:spPr>
    </xdr:pic>
    <xdr:clientData/>
  </xdr:twoCellAnchor>
  <xdr:twoCellAnchor editAs="oneCell">
    <xdr:from>
      <xdr:col>0</xdr:col>
      <xdr:colOff>0</xdr:colOff>
      <xdr:row>123</xdr:row>
      <xdr:rowOff>0</xdr:rowOff>
    </xdr:from>
    <xdr:to>
      <xdr:col>13</xdr:col>
      <xdr:colOff>1210478</xdr:colOff>
      <xdr:row>158</xdr:row>
      <xdr:rowOff>23081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0514469"/>
          <a:ext cx="12628572"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389448</xdr:colOff>
      <xdr:row>39</xdr:row>
      <xdr:rowOff>132691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8619048" cy="5276191"/>
        </a:xfrm>
        <a:prstGeom prst="rect">
          <a:avLst/>
        </a:prstGeom>
      </xdr:spPr>
    </xdr:pic>
    <xdr:clientData/>
  </xdr:twoCellAnchor>
  <xdr:twoCellAnchor editAs="oneCell">
    <xdr:from>
      <xdr:col>0</xdr:col>
      <xdr:colOff>0</xdr:colOff>
      <xdr:row>40</xdr:row>
      <xdr:rowOff>0</xdr:rowOff>
    </xdr:from>
    <xdr:to>
      <xdr:col>12</xdr:col>
      <xdr:colOff>294210</xdr:colOff>
      <xdr:row>70</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8523810" cy="5152381"/>
        </a:xfrm>
        <a:prstGeom prst="rect">
          <a:avLst/>
        </a:prstGeom>
      </xdr:spPr>
    </xdr:pic>
    <xdr:clientData/>
  </xdr:twoCellAnchor>
  <xdr:twoCellAnchor editAs="oneCell">
    <xdr:from>
      <xdr:col>12</xdr:col>
      <xdr:colOff>304800</xdr:colOff>
      <xdr:row>8</xdr:row>
      <xdr:rowOff>161925</xdr:rowOff>
    </xdr:from>
    <xdr:to>
      <xdr:col>26</xdr:col>
      <xdr:colOff>170267</xdr:colOff>
      <xdr:row>41</xdr:row>
      <xdr:rowOff>27885</xdr:rowOff>
    </xdr:to>
    <xdr:pic>
      <xdr:nvPicPr>
        <xdr:cNvPr id="4" name="图片 3"/>
        <xdr:cNvPicPr>
          <a:picLocks noChangeAspect="1"/>
        </xdr:cNvPicPr>
      </xdr:nvPicPr>
      <xdr:blipFill>
        <a:blip xmlns:r="http://schemas.openxmlformats.org/officeDocument/2006/relationships" r:embed="rId3"/>
        <a:stretch>
          <a:fillRect/>
        </a:stretch>
      </xdr:blipFill>
      <xdr:spPr>
        <a:xfrm>
          <a:off x="8534400" y="1533525"/>
          <a:ext cx="9466667" cy="5523810"/>
        </a:xfrm>
        <a:prstGeom prst="rect">
          <a:avLst/>
        </a:prstGeom>
      </xdr:spPr>
    </xdr:pic>
    <xdr:clientData/>
  </xdr:twoCellAnchor>
  <xdr:twoCellAnchor editAs="oneCell">
    <xdr:from>
      <xdr:col>12</xdr:col>
      <xdr:colOff>0</xdr:colOff>
      <xdr:row>42</xdr:row>
      <xdr:rowOff>0</xdr:rowOff>
    </xdr:from>
    <xdr:to>
      <xdr:col>25</xdr:col>
      <xdr:colOff>398886</xdr:colOff>
      <xdr:row>69</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7200900"/>
          <a:ext cx="9314286" cy="4733334"/>
        </a:xfrm>
        <a:prstGeom prst="rect">
          <a:avLst/>
        </a:prstGeom>
      </xdr:spPr>
    </xdr:pic>
    <xdr:clientData/>
  </xdr:twoCellAnchor>
  <xdr:twoCellAnchor editAs="oneCell">
    <xdr:from>
      <xdr:col>0</xdr:col>
      <xdr:colOff>0</xdr:colOff>
      <xdr:row>71</xdr:row>
      <xdr:rowOff>0</xdr:rowOff>
    </xdr:from>
    <xdr:to>
      <xdr:col>14</xdr:col>
      <xdr:colOff>36896</xdr:colOff>
      <xdr:row>89</xdr:row>
      <xdr:rowOff>85329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638096" cy="3171429"/>
        </a:xfrm>
        <a:prstGeom prst="rect">
          <a:avLst/>
        </a:prstGeom>
      </xdr:spPr>
    </xdr:pic>
    <xdr:clientData/>
  </xdr:twoCellAnchor>
  <xdr:twoCellAnchor editAs="oneCell">
    <xdr:from>
      <xdr:col>0</xdr:col>
      <xdr:colOff>0</xdr:colOff>
      <xdr:row>89</xdr:row>
      <xdr:rowOff>0</xdr:rowOff>
    </xdr:from>
    <xdr:to>
      <xdr:col>14</xdr:col>
      <xdr:colOff>55944</xdr:colOff>
      <xdr:row>107</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59050"/>
          <a:ext cx="9657144" cy="3095238"/>
        </a:xfrm>
        <a:prstGeom prst="rect">
          <a:avLst/>
        </a:prstGeom>
      </xdr:spPr>
    </xdr:pic>
    <xdr:clientData/>
  </xdr:twoCellAnchor>
  <xdr:twoCellAnchor editAs="oneCell">
    <xdr:from>
      <xdr:col>0</xdr:col>
      <xdr:colOff>0</xdr:colOff>
      <xdr:row>107</xdr:row>
      <xdr:rowOff>0</xdr:rowOff>
    </xdr:from>
    <xdr:to>
      <xdr:col>14</xdr:col>
      <xdr:colOff>84515</xdr:colOff>
      <xdr:row>134</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9685715" cy="4742857"/>
        </a:xfrm>
        <a:prstGeom prst="rect">
          <a:avLst/>
        </a:prstGeom>
      </xdr:spPr>
    </xdr:pic>
    <xdr:clientData/>
  </xdr:twoCellAnchor>
  <xdr:twoCellAnchor editAs="oneCell">
    <xdr:from>
      <xdr:col>14</xdr:col>
      <xdr:colOff>0</xdr:colOff>
      <xdr:row>70</xdr:row>
      <xdr:rowOff>0</xdr:rowOff>
    </xdr:from>
    <xdr:to>
      <xdr:col>28</xdr:col>
      <xdr:colOff>160705</xdr:colOff>
      <xdr:row>101</xdr:row>
      <xdr:rowOff>85050</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2001500"/>
          <a:ext cx="9761905" cy="5400000"/>
        </a:xfrm>
        <a:prstGeom prst="rect">
          <a:avLst/>
        </a:prstGeom>
      </xdr:spPr>
    </xdr:pic>
    <xdr:clientData/>
  </xdr:twoCellAnchor>
  <xdr:twoCellAnchor editAs="oneCell">
    <xdr:from>
      <xdr:col>14</xdr:col>
      <xdr:colOff>0</xdr:colOff>
      <xdr:row>102</xdr:row>
      <xdr:rowOff>0</xdr:rowOff>
    </xdr:from>
    <xdr:to>
      <xdr:col>28</xdr:col>
      <xdr:colOff>8324</xdr:colOff>
      <xdr:row>130</xdr:row>
      <xdr:rowOff>37496</xdr:rowOff>
    </xdr:to>
    <xdr:pic>
      <xdr:nvPicPr>
        <xdr:cNvPr id="10" name="图片 9"/>
        <xdr:cNvPicPr>
          <a:picLocks noChangeAspect="1"/>
        </xdr:cNvPicPr>
      </xdr:nvPicPr>
      <xdr:blipFill>
        <a:blip xmlns:r="http://schemas.openxmlformats.org/officeDocument/2006/relationships" r:embed="rId9"/>
        <a:stretch>
          <a:fillRect/>
        </a:stretch>
      </xdr:blipFill>
      <xdr:spPr>
        <a:xfrm>
          <a:off x="9601200" y="17487900"/>
          <a:ext cx="9609524"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 sqref="B3"/>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2651</v>
      </c>
      <c r="B1" s="2842" t="s">
        <v>2748</v>
      </c>
    </row>
    <row r="2" spans="1:55" s="2846" customFormat="1" ht="15" thickTop="1">
      <c r="A2" s="2844" t="s">
        <v>2655</v>
      </c>
      <c r="B2" s="2845" t="str">
        <f>'预评函-封皮'!B37</f>
        <v>出让国有建设用地使用权抵押价格预评估</v>
      </c>
      <c r="AX2" s="2847"/>
      <c r="AZ2" s="2847"/>
      <c r="BA2" s="2848"/>
      <c r="BC2" s="2848"/>
    </row>
    <row r="3" spans="1:55" s="2849" customFormat="1">
      <c r="A3" s="2828" t="s">
        <v>2656</v>
      </c>
      <c r="B3" s="2831">
        <f>'预评函-封皮'!B40</f>
        <v>0</v>
      </c>
    </row>
    <row r="4" spans="1:55" s="2830" customFormat="1">
      <c r="A4" s="2828" t="s">
        <v>2657</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2658</v>
      </c>
      <c r="B5" s="2851" t="str">
        <f>'预评函-封皮'!B49</f>
        <v>康正预评字号</v>
      </c>
    </row>
    <row r="6" spans="1:55" s="2852" customFormat="1" ht="15" thickTop="1">
      <c r="A6" s="2844" t="s">
        <v>2700</v>
      </c>
      <c r="B6" s="2845" t="str">
        <f>'预评函-1'!A4</f>
        <v>受贵公司委托，我公司对出让国有建设用地使用权抵押价格进行了预评估。</v>
      </c>
      <c r="AM6" s="2853"/>
    </row>
    <row r="7" spans="1:55" s="2827" customFormat="1">
      <c r="A7" s="2828" t="s">
        <v>2652</v>
      </c>
      <c r="B7" s="2829" t="str">
        <f>'预评函-1'!A6</f>
        <v>估价对象为0使用的、位于出让国有建设用地使用权。根据，估价对象（分摊）出让国有建设用地使用权面积为197536.6平方米。根据，估价对象规划建筑面积为888914.7平方米。</v>
      </c>
    </row>
    <row r="8" spans="1:55" s="2827" customFormat="1">
      <c r="A8" s="2828" t="s">
        <v>2653</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2703</v>
      </c>
      <c r="B9" s="2829" t="str">
        <f>'预评函-1'!A9</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2654</v>
      </c>
      <c r="B10" s="2829" t="str">
        <f>'预评函-1'!A11</f>
        <v>2019年12月6日（评估专业人员勘察现场之日）</v>
      </c>
    </row>
    <row r="11" spans="1:55" s="2827" customFormat="1">
      <c r="A11" s="2828" t="s">
        <v>2660</v>
      </c>
      <c r="B11" s="2829" t="str">
        <f>'预评函-1'!A14</f>
        <v>根据《不动产权证书》[冀（2019）怀来县不动产权第0002793、0002770、0003147号]，本次评估估价对象证载（地类）用途为商业。</v>
      </c>
    </row>
    <row r="12" spans="1:55" s="2827" customFormat="1">
      <c r="A12" s="2828" t="s">
        <v>2661</v>
      </c>
      <c r="B12" s="2829" t="str">
        <f>'预评函-1'!A15</f>
        <v>本次评估设定用途即为证载用途商业。</v>
      </c>
    </row>
    <row r="13" spans="1:55" s="2827" customFormat="1">
      <c r="A13" s="2828" t="s">
        <v>2662</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2663</v>
      </c>
      <c r="B14" s="2829" t="str">
        <f>'预评函-1'!A18</f>
        <v>本次评估设定土地开发程度为红线外市政基础设施达“七通”、宗地红线内场地平整。</v>
      </c>
    </row>
    <row r="15" spans="1:55" s="2827" customFormat="1">
      <c r="A15" s="2828" t="s">
        <v>2659</v>
      </c>
      <c r="B15" s="2829" t="str">
        <f>'预评函-1'!A20</f>
        <v>根据，估价对象（分摊）出让国有建设用地使用权面积为197536.6平方米。根据，估价对象规划建筑面积为888914.7平方米。</v>
      </c>
    </row>
    <row r="16" spans="1:55" s="2827" customFormat="1">
      <c r="A16" s="2828" t="s">
        <v>2664</v>
      </c>
      <c r="B16" s="2829" t="str">
        <f>'预评函-1'!A22</f>
        <v>本次估价对象为出让国有建设用地使用权，《不动产权证书》[冀（2019）怀来县不动产权第0002793、0002770、0003147号]证载土地终止日期为商业2056年5月6日。截至估价期日，出让国有建设用地使用权剩余土地使用年限为。</v>
      </c>
    </row>
    <row r="17" spans="1:48" s="2827" customFormat="1">
      <c r="A17" s="2828" t="s">
        <v>2665</v>
      </c>
      <c r="B17" s="2829" t="str">
        <f>'预评函-1'!A23</f>
        <v>本次评估设定估价对象剩余土地使用年限为。</v>
      </c>
    </row>
    <row r="18" spans="1:48" s="2827" customFormat="1">
      <c r="A18" s="2828" t="s">
        <v>2666</v>
      </c>
      <c r="B18" s="2829" t="str">
        <f>'预评函-1'!A25</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19" spans="1:48" s="2827" customFormat="1">
      <c r="A19" s="2828" t="s">
        <v>2667</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2668</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2669</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2670</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2671</v>
      </c>
      <c r="B23" s="2829" t="str">
        <f>'预评函-2'!K2</f>
        <v>估价期日：2019年12月6日</v>
      </c>
    </row>
    <row r="24" spans="1:48">
      <c r="A24" s="2828" t="s">
        <v>2672</v>
      </c>
      <c r="B24" s="2829" t="str">
        <f>'预评函-2'!R2</f>
        <v>估价期日的国有建设用地使用权性质：出让</v>
      </c>
    </row>
    <row r="25" spans="1:48">
      <c r="A25" s="2828" t="s">
        <v>2728</v>
      </c>
      <c r="B25" s="2829" t="str">
        <f>'预评函-2'!A3</f>
        <v>估价期日土地使用者</v>
      </c>
    </row>
    <row r="26" spans="1:48">
      <c r="A26" s="2828" t="s">
        <v>2704</v>
      </c>
      <c r="B26" s="2829" t="str">
        <f>'预评函-2'!A5</f>
        <v>中信开发</v>
      </c>
    </row>
    <row r="27" spans="1:48">
      <c r="A27" s="2828" t="s">
        <v>2729</v>
      </c>
      <c r="B27" s="2829" t="str">
        <f>'预评函-2'!B3</f>
        <v>宗地编号/不动产单元号</v>
      </c>
    </row>
    <row r="28" spans="1:48">
      <c r="A28" s="2828" t="s">
        <v>2705</v>
      </c>
      <c r="B28" s="2829" t="str">
        <f>'预评函-2'!B5</f>
        <v>11111111111</v>
      </c>
    </row>
    <row r="29" spans="1:48">
      <c r="A29" s="2828" t="s">
        <v>2731</v>
      </c>
      <c r="B29" s="2829">
        <f>'预评函-2'!C5</f>
        <v>22</v>
      </c>
    </row>
    <row r="30" spans="1:48">
      <c r="A30" s="2828" t="s">
        <v>2732</v>
      </c>
      <c r="B30" s="2829" t="str">
        <f>'预评函-2'!D3</f>
        <v>土地使用证编号/不动产权证书编号</v>
      </c>
    </row>
    <row r="31" spans="1:48">
      <c r="A31" s="2828" t="s">
        <v>2706</v>
      </c>
      <c r="B31" s="2829" t="str">
        <f>'预评函-2'!D5</f>
        <v>京国土字第111号</v>
      </c>
    </row>
    <row r="32" spans="1:48">
      <c r="A32" s="2828" t="s">
        <v>2707</v>
      </c>
      <c r="B32" s="2829" t="str">
        <f>'预评函-2'!E5</f>
        <v>商业</v>
      </c>
      <c r="AV32" s="2833"/>
    </row>
    <row r="33" spans="1:2">
      <c r="A33" s="2828" t="s">
        <v>2708</v>
      </c>
      <c r="B33" s="2829">
        <f>'预评函-2'!F5</f>
        <v>258</v>
      </c>
    </row>
    <row r="34" spans="1:2">
      <c r="A34" s="2828" t="s">
        <v>2709</v>
      </c>
      <c r="B34" s="2829" t="str">
        <f>'预评函-2'!G5</f>
        <v>商业</v>
      </c>
    </row>
    <row r="35" spans="1:2">
      <c r="A35" s="2828" t="s">
        <v>2710</v>
      </c>
      <c r="B35" s="2829">
        <f>'预评函-2'!H5</f>
        <v>1.5</v>
      </c>
    </row>
    <row r="36" spans="1:2">
      <c r="A36" s="2828" t="s">
        <v>2711</v>
      </c>
      <c r="B36" s="2829">
        <f>'预评函-2'!I5</f>
        <v>1.5</v>
      </c>
    </row>
    <row r="37" spans="1:2">
      <c r="A37" s="2828" t="s">
        <v>2712</v>
      </c>
      <c r="B37" s="2829">
        <f>'预评函-2'!J5</f>
        <v>1.5</v>
      </c>
    </row>
    <row r="38" spans="1:2">
      <c r="A38" s="2828" t="s">
        <v>2713</v>
      </c>
      <c r="B38" s="2829" t="str">
        <f>'预评函-2'!K5</f>
        <v>红线外七通、宗地红线内场地平整</v>
      </c>
    </row>
    <row r="39" spans="1:2">
      <c r="A39" s="2828" t="s">
        <v>2714</v>
      </c>
      <c r="B39" s="2829" t="str">
        <f>'预评函-2'!L5</f>
        <v>红线外七通、宗地红线内场地</v>
      </c>
    </row>
    <row r="40" spans="1:2">
      <c r="A40" s="2828" t="s">
        <v>2733</v>
      </c>
      <c r="B40" s="2829" t="str">
        <f>'预评函-2'!M3</f>
        <v>（剩余）土地使用年限/年</v>
      </c>
    </row>
    <row r="41" spans="1:2">
      <c r="A41" s="2828" t="s">
        <v>2715</v>
      </c>
      <c r="B41" s="2829">
        <f>'预评函-2'!M5</f>
        <v>0</v>
      </c>
    </row>
    <row r="42" spans="1:2">
      <c r="A42" s="2828" t="s">
        <v>2734</v>
      </c>
      <c r="B42" s="2829" t="str">
        <f>'预评函-2'!N3</f>
        <v>（分摊）出让国有建设用地使用权面积/㎡</v>
      </c>
    </row>
    <row r="43" spans="1:2">
      <c r="A43" s="2828" t="s">
        <v>2716</v>
      </c>
      <c r="B43" s="2829">
        <f>'预评函-2'!N5</f>
        <v>197536.6</v>
      </c>
    </row>
    <row r="44" spans="1:2">
      <c r="A44" s="2828" t="s">
        <v>2735</v>
      </c>
      <c r="B44" s="2829" t="str">
        <f>'预评函-2'!O3</f>
        <v>规划建筑面积/㎡</v>
      </c>
    </row>
    <row r="45" spans="1:2">
      <c r="A45" s="2828" t="s">
        <v>2717</v>
      </c>
      <c r="B45" s="2829">
        <f>'预评函-2'!O5</f>
        <v>888914.7</v>
      </c>
    </row>
    <row r="46" spans="1:2">
      <c r="A46" s="2828" t="s">
        <v>2718</v>
      </c>
      <c r="B46" s="2829">
        <f ca="1">'预评函-2'!P5</f>
        <v>2691</v>
      </c>
    </row>
    <row r="47" spans="1:2">
      <c r="A47" s="2828" t="s">
        <v>2719</v>
      </c>
      <c r="B47" s="2829">
        <f ca="1">'预评函-2'!Q5</f>
        <v>598</v>
      </c>
    </row>
    <row r="48" spans="1:2">
      <c r="A48" s="2828" t="s">
        <v>2720</v>
      </c>
      <c r="B48" s="2829">
        <f ca="1">'预评函-2'!R5</f>
        <v>53150</v>
      </c>
    </row>
    <row r="49" spans="1:2">
      <c r="A49" s="2828" t="s">
        <v>2736</v>
      </c>
      <c r="B49" s="2829" t="str">
        <f>'预评函-2'!A6</f>
        <v>抵押价格</v>
      </c>
    </row>
    <row r="50" spans="1:2">
      <c r="A50" s="2828" t="s">
        <v>2721</v>
      </c>
      <c r="B50" s="2829">
        <f ca="1">'预评函-2'!R6</f>
        <v>53150</v>
      </c>
    </row>
    <row r="51" spans="1:2">
      <c r="A51" s="2828" t="s">
        <v>2737</v>
      </c>
      <c r="B51" s="2829" t="str">
        <f>'预评函-2'!A7</f>
        <v>——</v>
      </c>
    </row>
    <row r="52" spans="1:2">
      <c r="A52" s="2828" t="s">
        <v>2722</v>
      </c>
      <c r="B52" s="2829" t="str">
        <f>'预评函-2'!R7</f>
        <v>——</v>
      </c>
    </row>
    <row r="53" spans="1:2">
      <c r="A53" s="2828" t="s">
        <v>2738</v>
      </c>
      <c r="B53" s="2829">
        <f>'预评函-2'!A8</f>
        <v>0</v>
      </c>
    </row>
    <row r="54" spans="1:2" s="2843" customFormat="1" ht="15" thickBot="1">
      <c r="A54" s="2850" t="s">
        <v>2723</v>
      </c>
      <c r="B54" s="2851" t="str">
        <f>'预评函-2'!R8</f>
        <v>——</v>
      </c>
    </row>
    <row r="55" spans="1:2" ht="15" thickTop="1">
      <c r="A55" s="2839" t="s">
        <v>2673</v>
      </c>
      <c r="B55" s="2840" t="str">
        <f>'预评函-3'!A2</f>
        <v>1.权利限制：根据估价对象《不动产权证书》原件，截至估价期日，估价对象抵押权未见登记。未设定租赁等其他他项权利。</v>
      </c>
    </row>
    <row r="56" spans="1:2">
      <c r="A56" s="2828" t="s">
        <v>2674</v>
      </c>
      <c r="B56" s="2829" t="str">
        <f>'预评函-3'!A3</f>
        <v>2.基础设施条件：估价对象实际开发程度为红线外七通、宗地红线内场地平整；本次评估设定开发程度为红线外七通、宗地红线内场地。</v>
      </c>
    </row>
    <row r="57" spans="1:2">
      <c r="A57" s="2828" t="s">
        <v>2675</v>
      </c>
      <c r="B57" s="2829" t="str">
        <f>'预评函-3'!A4</f>
        <v>3.估价规划限制条件：详见。</v>
      </c>
    </row>
    <row r="58" spans="1:2" s="2843" customFormat="1" ht="15" thickBot="1">
      <c r="A58" s="2850" t="s">
        <v>2724</v>
      </c>
      <c r="B58" s="2851" t="str">
        <f>'预评函-3'!A5</f>
        <v>4.影响价格的其他限定条件：无。</v>
      </c>
    </row>
    <row r="59" spans="1:2" ht="15" thickTop="1">
      <c r="A59" s="2839" t="s">
        <v>2676</v>
      </c>
      <c r="B59" s="2840" t="str">
        <f>'预评函-3'!A8</f>
        <v>2.本《评估意见函》仅供金融机构进行内部审核使用，不做其他目的之用。</v>
      </c>
    </row>
    <row r="60" spans="1:2">
      <c r="A60" s="2828" t="s">
        <v>2677</v>
      </c>
      <c r="B60" s="2829" t="str">
        <f>'预评函-3'!A9</f>
        <v>3.抵押双方在办理抵押登记手续时，应使用本公司出具的正式《土地估价报告》，特提请报告使用者注意。</v>
      </c>
    </row>
    <row r="61" spans="1:2">
      <c r="A61" s="2828" t="s">
        <v>2679</v>
      </c>
      <c r="B61" s="2829" t="str">
        <f>'预评函-3'!A10</f>
        <v>4.估价师所知悉的法定优先受偿款情况为：</v>
      </c>
    </row>
    <row r="62" spans="1:2">
      <c r="A62" s="2828" t="s">
        <v>2678</v>
      </c>
      <c r="B62" s="2829" t="str">
        <f>'预评函-3'!A11</f>
        <v>（1）根据估价对象《不动产权证书》原件，截至估价期日，估价对象抵押权未见登记。</v>
      </c>
    </row>
    <row r="63" spans="1:2">
      <c r="A63" s="2828" t="s">
        <v>2680</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2681</v>
      </c>
      <c r="B64" s="2834" t="str">
        <f>'预评函-3'!A13</f>
        <v>（3）。</v>
      </c>
    </row>
    <row r="65" spans="1:2">
      <c r="A65" s="2828" t="s">
        <v>2682</v>
      </c>
      <c r="B65" s="2835" t="str">
        <f>'预评函-3'!A14</f>
        <v>综上，本次评估不存在估价师知悉的法定优先受偿款</v>
      </c>
    </row>
    <row r="66" spans="1:2">
      <c r="A66" s="2828" t="s">
        <v>2683</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2684</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2687</v>
      </c>
      <c r="B68" s="2854">
        <f>'预评函-3'!D30</f>
        <v>42558</v>
      </c>
    </row>
    <row r="69" spans="1:2" ht="15" thickTop="1">
      <c r="A69" s="2839" t="s">
        <v>2685</v>
      </c>
      <c r="B69" s="2840" t="str">
        <f>'预评函-3'!A20</f>
        <v>王鹏</v>
      </c>
    </row>
    <row r="70" spans="1:2">
      <c r="A70" s="2828" t="s">
        <v>2685</v>
      </c>
      <c r="B70" s="2835">
        <f ca="1">'预评函-3'!B20</f>
        <v>2002110030</v>
      </c>
    </row>
    <row r="71" spans="1:2">
      <c r="A71" s="2828" t="s">
        <v>2686</v>
      </c>
      <c r="B71" s="2829" t="str">
        <f>'预评函-3'!A21</f>
        <v>郑燚</v>
      </c>
    </row>
    <row r="72" spans="1:2" s="2843" customFormat="1" ht="15" thickBot="1">
      <c r="A72" s="2850" t="s">
        <v>2686</v>
      </c>
      <c r="B72" s="2856">
        <f ca="1">'预评函-3'!B21</f>
        <v>2014110011</v>
      </c>
    </row>
    <row r="73" spans="1:2" ht="15" thickTop="1">
      <c r="A73" s="2839" t="s">
        <v>2745</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2746</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2747</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2782</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C31" sqref="C31:D31"/>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67" t="str">
        <f>IF(B10="北京市","北京市",C10)&amp;F10&amp;B16&amp;"国有建设用地使用权"&amp;B9&amp;"预评估"</f>
        <v>出让国有建设用地使用权抵押价格预评估</v>
      </c>
      <c r="C1" s="3268"/>
      <c r="D1" s="3268"/>
      <c r="E1" s="3268"/>
      <c r="F1" s="3268"/>
      <c r="G1" s="3268"/>
      <c r="H1" s="3268"/>
      <c r="I1" s="3269"/>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43805</v>
      </c>
      <c r="C3" s="1643" t="s">
        <v>1993</v>
      </c>
      <c r="D3" s="1642">
        <f>B3</f>
        <v>43805</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3076</v>
      </c>
      <c r="C4" s="1826">
        <f ca="1">SUMIF(土地估价师,B4,估价师及机构信息!E3:E24)</f>
        <v>2002110030</v>
      </c>
      <c r="D4" s="1823" t="s">
        <v>3077</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c r="C6" s="1741"/>
      <c r="D6" s="1648"/>
      <c r="E6" s="1674"/>
      <c r="F6" s="1674"/>
      <c r="G6" s="1674"/>
      <c r="H6" s="1640"/>
      <c r="I6" s="1675"/>
      <c r="J6" s="1674"/>
      <c r="K6" s="2999" t="str">
        <f>IF(COUNTIF(B6,"*上海银行*"),"上海银行","")</f>
        <v/>
      </c>
      <c r="L6" s="1703"/>
      <c r="M6" s="1703"/>
      <c r="N6" s="1674"/>
      <c r="O6" s="1675"/>
      <c r="P6" s="1674"/>
      <c r="Q6" s="1674"/>
      <c r="R6" s="1674"/>
      <c r="S6" s="1674"/>
      <c r="T6" s="1674"/>
      <c r="U6" s="1674"/>
    </row>
    <row r="7" spans="1:21">
      <c r="A7" s="1649" t="s">
        <v>2702</v>
      </c>
      <c r="B7" s="1769">
        <f>B5</f>
        <v>0</v>
      </c>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73" t="s">
        <v>1943</v>
      </c>
      <c r="E8" s="1824" t="s">
        <v>2986</v>
      </c>
      <c r="F8" s="1652"/>
      <c r="G8" s="1640"/>
      <c r="H8" s="1640"/>
      <c r="I8" s="1687"/>
      <c r="J8" s="1674"/>
      <c r="K8" s="1754"/>
      <c r="L8" s="1703"/>
      <c r="M8" s="1703"/>
      <c r="N8" s="1674"/>
      <c r="O8" s="1675"/>
      <c r="P8" s="1674"/>
      <c r="Q8" s="1674"/>
      <c r="R8" s="1674"/>
      <c r="S8" s="1674"/>
      <c r="T8" s="1674"/>
      <c r="U8" s="1674"/>
    </row>
    <row r="9" spans="1:21" ht="15" thickBot="1">
      <c r="A9" s="1653" t="s">
        <v>1942</v>
      </c>
      <c r="B9" s="1654" t="s">
        <v>2986</v>
      </c>
      <c r="C9" s="1655"/>
      <c r="D9" s="3274"/>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2987</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t="s">
        <v>2988</v>
      </c>
      <c r="C11" s="1659">
        <f>B5</f>
        <v>0</v>
      </c>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70" t="s">
        <v>3111</v>
      </c>
      <c r="C12" s="3271"/>
      <c r="D12" s="3272"/>
      <c r="E12" s="1679" t="s">
        <v>2058</v>
      </c>
      <c r="F12" s="3288" t="s">
        <v>3106</v>
      </c>
      <c r="G12" s="3289"/>
      <c r="H12" s="3289"/>
      <c r="I12" s="3290"/>
      <c r="J12" s="1674"/>
      <c r="K12" s="1754"/>
      <c r="L12" s="1703"/>
      <c r="M12" s="1703"/>
      <c r="N12" s="1674"/>
      <c r="O12" s="1675"/>
      <c r="P12" s="1674"/>
      <c r="Q12" s="1674"/>
      <c r="R12" s="1674"/>
      <c r="S12" s="1674"/>
      <c r="T12" s="1674"/>
      <c r="U12" s="1674"/>
    </row>
    <row r="13" spans="1:21">
      <c r="A13" s="1667" t="s">
        <v>2056</v>
      </c>
      <c r="B13" s="3270" t="s">
        <v>1896</v>
      </c>
      <c r="C13" s="3271"/>
      <c r="D13" s="3272"/>
      <c r="E13" s="1679" t="s">
        <v>2058</v>
      </c>
      <c r="F13" s="3288" t="str">
        <f>F12</f>
        <v>《不动产权证书》[冀（2019）怀来县不动产权第0002793、0002770、0003147号]</v>
      </c>
      <c r="G13" s="3289"/>
      <c r="H13" s="3289"/>
      <c r="I13" s="3290"/>
      <c r="J13" s="1674"/>
      <c r="K13" s="1754"/>
      <c r="L13" s="1703"/>
      <c r="M13" s="1703"/>
      <c r="N13" s="1674"/>
      <c r="O13" s="1675"/>
      <c r="P13" s="1674"/>
      <c r="Q13" s="1674"/>
      <c r="R13" s="1674"/>
      <c r="S13" s="1674"/>
      <c r="T13" s="1674"/>
      <c r="U13" s="1674"/>
    </row>
    <row r="14" spans="1:21">
      <c r="A14" s="1641" t="s">
        <v>2059</v>
      </c>
      <c r="B14" s="1679"/>
      <c r="C14" s="1825" t="s">
        <v>2989</v>
      </c>
      <c r="D14" s="1713" t="str">
        <f>IF(C14="不一致","是否符合证载地类范围","")</f>
        <v/>
      </c>
      <c r="E14" s="1679"/>
      <c r="F14" s="1770" t="s">
        <v>2990</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2977</v>
      </c>
      <c r="C16" s="1679" t="s">
        <v>1947</v>
      </c>
      <c r="D16" s="2605" t="s">
        <v>1948</v>
      </c>
      <c r="E16" s="1702" t="s">
        <v>3107</v>
      </c>
      <c r="F16" s="1702"/>
      <c r="G16" s="1702"/>
      <c r="H16" s="1702"/>
      <c r="I16" s="1666" t="s">
        <v>1953</v>
      </c>
      <c r="J16" s="1674"/>
      <c r="K16" s="2416" t="str">
        <f>IF(D17="","",D16&amp;TEXT(D17,"yyyy年m月d日;;"))</f>
        <v/>
      </c>
      <c r="L16" s="1679" t="str">
        <f>IF(OR(K16="",M16=""),"","、")</f>
        <v/>
      </c>
      <c r="M16" s="2416" t="str">
        <f>IF(E17="","",E16&amp;TEXT(E17,"yyyy年m月d日;;"))</f>
        <v>商业2056年5月6日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57106</v>
      </c>
      <c r="F17" s="1680"/>
      <c r="G17" s="1680"/>
      <c r="H17" s="1680"/>
      <c r="I17" s="1680"/>
      <c r="J17" s="1674"/>
      <c r="K17" s="2415" t="str">
        <f>CONCATENATE(K16,L16,M16,N16,O16,P16,Q16,R16,S16,T16,,U16)</f>
        <v>商业2056年5月6日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36.44</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85"/>
      <c r="E20" s="3286"/>
      <c r="F20" s="3286"/>
      <c r="G20" s="3286"/>
      <c r="H20" s="3286"/>
      <c r="I20" s="3287"/>
      <c r="J20" s="1674"/>
      <c r="K20" s="1754"/>
      <c r="L20" s="1703"/>
      <c r="M20" s="1703"/>
      <c r="N20" s="1674"/>
      <c r="O20" s="1675"/>
      <c r="P20" s="1674"/>
      <c r="Q20" s="1674"/>
      <c r="R20" s="1674"/>
      <c r="S20" s="1674"/>
      <c r="T20" s="1674"/>
      <c r="U20" s="1674"/>
    </row>
    <row r="21" spans="1:21">
      <c r="A21" s="1743" t="s">
        <v>1957</v>
      </c>
      <c r="B21" s="1744" t="s">
        <v>1958</v>
      </c>
      <c r="C21" s="1739">
        <f>'数据-汇总表'!E3</f>
        <v>888914.7</v>
      </c>
      <c r="D21" s="1740" t="s">
        <v>1959</v>
      </c>
      <c r="E21" s="3275"/>
      <c r="F21" s="3276"/>
      <c r="G21" s="3276"/>
      <c r="H21" s="3276"/>
      <c r="I21" s="3277"/>
      <c r="J21" s="1674"/>
      <c r="K21" s="1754"/>
      <c r="L21" s="1703"/>
      <c r="M21" s="1703"/>
      <c r="N21" s="1674"/>
      <c r="O21" s="1675"/>
      <c r="P21" s="1674"/>
      <c r="Q21" s="1674"/>
      <c r="R21" s="1674"/>
      <c r="S21" s="1674"/>
      <c r="T21" s="1674"/>
      <c r="U21" s="1674"/>
    </row>
    <row r="22" spans="1:21">
      <c r="A22" s="3086" t="s">
        <v>951</v>
      </c>
      <c r="B22" s="1641" t="s">
        <v>1960</v>
      </c>
      <c r="C22" s="1666">
        <f>'数据-汇总表'!D3</f>
        <v>197536.6</v>
      </c>
      <c r="D22" s="1667" t="s">
        <v>1959</v>
      </c>
      <c r="E22" s="3275"/>
      <c r="F22" s="3276"/>
      <c r="G22" s="3276"/>
      <c r="H22" s="3276"/>
      <c r="I22" s="3277"/>
      <c r="J22" s="1674"/>
      <c r="K22" s="1754"/>
      <c r="L22" s="1703"/>
      <c r="M22" s="1703"/>
      <c r="N22" s="1674"/>
      <c r="O22" s="1675"/>
      <c r="P22" s="1674"/>
      <c r="Q22" s="1674"/>
      <c r="R22" s="1674"/>
      <c r="S22" s="1674"/>
      <c r="T22" s="1674"/>
      <c r="U22" s="1674"/>
    </row>
    <row r="23" spans="1:21" ht="29.25" thickBot="1">
      <c r="A23" s="1745" t="s">
        <v>1961</v>
      </c>
      <c r="B23" s="1681" t="s">
        <v>1962</v>
      </c>
      <c r="C23" s="1682" t="s">
        <v>2992</v>
      </c>
      <c r="D23" s="1683" t="s">
        <v>1963</v>
      </c>
      <c r="E23" s="1684" t="s">
        <v>951</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78" t="s">
        <v>1965</v>
      </c>
      <c r="C24" s="3279"/>
      <c r="D24" s="3280" t="s">
        <v>1966</v>
      </c>
      <c r="E24" s="3281"/>
      <c r="F24" s="1688" t="s">
        <v>1967</v>
      </c>
      <c r="G24" s="1674"/>
      <c r="H24" s="1674"/>
      <c r="I24" s="1687"/>
      <c r="J24" s="1674"/>
      <c r="K24" s="3266" t="s">
        <v>1968</v>
      </c>
      <c r="L24" s="241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3"/>
      <c r="N24" s="1674"/>
      <c r="O24" s="1675"/>
      <c r="P24" s="1674"/>
      <c r="Q24" s="1674"/>
      <c r="R24" s="1674"/>
      <c r="S24" s="1674"/>
      <c r="T24" s="1674"/>
      <c r="U24" s="1674"/>
    </row>
    <row r="25" spans="1:21" ht="28.5">
      <c r="A25" s="1731"/>
      <c r="B25" s="1728" t="s">
        <v>2322</v>
      </c>
      <c r="C25" s="1689" t="s">
        <v>1969</v>
      </c>
      <c r="D25" s="1690"/>
      <c r="E25" s="1691" t="s">
        <v>951</v>
      </c>
      <c r="F25" s="1692"/>
      <c r="G25" s="1674"/>
      <c r="H25" s="1674"/>
      <c r="I25" s="1687"/>
      <c r="J25" s="1674"/>
      <c r="K25" s="326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951</v>
      </c>
      <c r="C26" s="1689" t="s">
        <v>951</v>
      </c>
      <c r="D26" s="1640"/>
      <c r="E26" s="1640"/>
      <c r="F26" s="1668"/>
      <c r="G26" s="1674"/>
      <c r="H26" s="1674"/>
      <c r="I26" s="1687"/>
      <c r="J26" s="1674"/>
      <c r="K26" s="326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0"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1"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1"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2" t="s">
        <v>1974</v>
      </c>
      <c r="E30" s="1698"/>
      <c r="F30" s="1669"/>
      <c r="G30" s="1722"/>
      <c r="H30" s="1722"/>
      <c r="I30" s="1723"/>
      <c r="J30" s="1674"/>
      <c r="K30" s="1754"/>
      <c r="L30" s="1703"/>
      <c r="M30" s="1703"/>
      <c r="N30" s="1674"/>
      <c r="O30" s="1675"/>
      <c r="P30" s="1674"/>
      <c r="Q30" s="1674"/>
      <c r="R30" s="1674"/>
      <c r="S30" s="1674"/>
      <c r="T30" s="1674"/>
      <c r="U30" s="1674"/>
    </row>
    <row r="31" spans="1:21" ht="15" thickTop="1">
      <c r="A31" s="3293" t="s">
        <v>1998</v>
      </c>
      <c r="B31" s="1744" t="s">
        <v>1999</v>
      </c>
      <c r="C31" s="3291" t="s">
        <v>3112</v>
      </c>
      <c r="D31" s="3292"/>
      <c r="E31" s="1674"/>
      <c r="F31" s="1674"/>
      <c r="G31" s="1674"/>
      <c r="H31" s="1674"/>
      <c r="I31" s="1687"/>
      <c r="J31" s="1674"/>
      <c r="K31" s="2418"/>
      <c r="L31" s="1674"/>
      <c r="M31" s="1674"/>
      <c r="N31" s="1674"/>
      <c r="O31" s="1674"/>
      <c r="P31" s="1674"/>
      <c r="Q31" s="1674"/>
      <c r="R31" s="1674"/>
      <c r="S31" s="1674"/>
      <c r="T31" s="1674"/>
      <c r="U31" s="1674"/>
    </row>
    <row r="32" spans="1:21">
      <c r="A32" s="3293"/>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93"/>
      <c r="B33" s="1641" t="s">
        <v>2001</v>
      </c>
      <c r="C33" s="1701" t="s">
        <v>2992</v>
      </c>
      <c r="D33" s="1818"/>
      <c r="E33" s="1674"/>
      <c r="F33" s="1674"/>
      <c r="G33" s="1674"/>
      <c r="H33" s="1674"/>
      <c r="I33" s="1687"/>
      <c r="J33" s="1674"/>
      <c r="K33" s="2418"/>
      <c r="L33" s="1674"/>
      <c r="M33" s="1674"/>
      <c r="N33" s="1674"/>
      <c r="O33" s="1674"/>
      <c r="P33" s="1674"/>
      <c r="Q33" s="1674"/>
      <c r="R33" s="1674"/>
      <c r="S33" s="1674"/>
      <c r="T33" s="1674"/>
      <c r="U33" s="1674"/>
    </row>
    <row r="34" spans="1:21">
      <c r="A34" s="3294"/>
      <c r="B34" s="1641" t="s">
        <v>2002</v>
      </c>
      <c r="C34" s="3295"/>
      <c r="D34" s="3296"/>
      <c r="E34" s="1674"/>
      <c r="F34" s="1674"/>
      <c r="G34" s="1674"/>
      <c r="H34" s="1674"/>
      <c r="I34" s="1687"/>
      <c r="J34" s="1674"/>
      <c r="K34" s="2418"/>
      <c r="L34" s="1674"/>
      <c r="M34" s="1674"/>
      <c r="N34" s="1674"/>
      <c r="O34" s="1674"/>
      <c r="P34" s="1674"/>
      <c r="Q34" s="1674"/>
      <c r="R34" s="1674"/>
      <c r="S34" s="1674"/>
      <c r="T34" s="1674"/>
      <c r="U34" s="1674"/>
    </row>
    <row r="35" spans="1:21">
      <c r="A35" s="3297" t="s">
        <v>846</v>
      </c>
      <c r="B35" s="1702" t="s">
        <v>2991</v>
      </c>
      <c r="C35" s="1756" t="str">
        <f>IF(B35="场地平整","——","具体情况：")</f>
        <v>——</v>
      </c>
      <c r="D35" s="3299"/>
      <c r="E35" s="3300"/>
      <c r="F35" s="3300"/>
      <c r="G35" s="3300"/>
      <c r="H35" s="3300"/>
      <c r="I35" s="3301"/>
      <c r="J35" s="1674"/>
      <c r="K35" s="1755"/>
      <c r="L35" s="1703"/>
      <c r="M35" s="1703"/>
      <c r="N35" s="1674"/>
      <c r="O35" s="1675"/>
      <c r="P35" s="1674"/>
      <c r="Q35" s="1674"/>
      <c r="R35" s="1674"/>
      <c r="S35" s="1674"/>
      <c r="T35" s="1674"/>
      <c r="U35" s="1674"/>
    </row>
    <row r="36" spans="1:21">
      <c r="A36" s="3293"/>
      <c r="B36" s="3302" t="s">
        <v>2051</v>
      </c>
      <c r="C36" s="3303"/>
      <c r="D36" s="1772"/>
      <c r="E36" s="3304"/>
      <c r="F36" s="3304"/>
      <c r="G36" s="1667" t="str">
        <f>IF(B35="场地未平整","估价结果处理","")</f>
        <v/>
      </c>
      <c r="H36" s="3305"/>
      <c r="I36" s="3305"/>
      <c r="J36" s="1674"/>
      <c r="K36" s="1755"/>
      <c r="L36" s="1703"/>
      <c r="M36" s="1703"/>
      <c r="N36" s="1674"/>
      <c r="O36" s="1675"/>
      <c r="P36" s="1674"/>
      <c r="Q36" s="1674"/>
      <c r="R36" s="1674"/>
      <c r="S36" s="1674"/>
      <c r="T36" s="1674"/>
      <c r="U36" s="1674"/>
    </row>
    <row r="37" spans="1:21" ht="28.5">
      <c r="A37" s="3293"/>
      <c r="B37" s="3282"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93"/>
      <c r="B38" s="3283"/>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94"/>
      <c r="B39" s="3284"/>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t="s">
        <v>3078</v>
      </c>
      <c r="C40" s="1670" t="s">
        <v>3079</v>
      </c>
      <c r="D40" s="1670" t="s">
        <v>3080</v>
      </c>
      <c r="E40" s="1670" t="s">
        <v>3081</v>
      </c>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65" t="s">
        <v>1983</v>
      </c>
      <c r="T40" s="1711" t="str">
        <f>NUMBERSTRING(7-K40,1)&amp;"通"</f>
        <v>七通</v>
      </c>
      <c r="U40" s="1674"/>
    </row>
    <row r="41" spans="1:21">
      <c r="A41" s="1643"/>
      <c r="B41" s="3298" t="s">
        <v>1720</v>
      </c>
      <c r="C41" s="3298"/>
      <c r="D41" s="3298"/>
      <c r="E41" s="3298"/>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65"/>
      <c r="T41" s="1713" t="str">
        <f>IF(T40="一通",L41,IF(T40="二通",M41,IF(T40="三通",N41,IF(T40="四通",O41,IF(T40="五通",P41,IF(T40="六通",Q41,R41))))))</f>
        <v>通路、通电、通上水、平整、、、</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2329</v>
      </c>
      <c r="BA2" s="2321"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4">
        <f>197536.6+156161.8</f>
        <v>353698.4</v>
      </c>
      <c r="B3" s="21">
        <f>IF(C3="否",G5-AT5,G5)</f>
        <v>1591642.7999999998</v>
      </c>
      <c r="C3" s="22" t="s">
        <v>2992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1591642.7999999998</v>
      </c>
      <c r="H5" s="26">
        <f t="shared" ref="H5:AT5" si="0">SUM(H13:H641)</f>
        <v>1591642.7999999998</v>
      </c>
      <c r="I5" s="26">
        <f t="shared" si="0"/>
        <v>1591642.7999999998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888914.7</v>
      </c>
      <c r="BA5" s="28">
        <f t="shared" si="1"/>
        <v>888914.7</v>
      </c>
      <c r="BB5" s="28">
        <f t="shared" si="1"/>
        <v>888914.7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353698.4</v>
      </c>
      <c r="F6" s="26" t="s">
        <v>1</v>
      </c>
      <c r="G6" s="26" t="s">
        <v>2</v>
      </c>
      <c r="H6" s="32">
        <f>SUMIF(I$12:AB$12,"总值",I6:AB6)</f>
        <v>353698.4</v>
      </c>
      <c r="I6" s="26">
        <f t="shared" ref="I6:AB6" si="2">ROUND($A$3*I5/$B$3,2)</f>
        <v>353698.4</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197536.6</v>
      </c>
      <c r="AZ6" s="26" t="s">
        <v>3</v>
      </c>
      <c r="BA6" s="26">
        <f>ROUND($AY$6*BA5/$AZ$5,2)</f>
        <v>197536.6</v>
      </c>
      <c r="BB6" s="26">
        <f>ROUND($AY$6*BB5/$AZ$5,2)</f>
        <v>197536.6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854</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3" t="s">
        <v>2993</v>
      </c>
      <c r="J9" s="50"/>
      <c r="K9" s="2963" t="s">
        <v>2994</v>
      </c>
      <c r="L9" s="50"/>
      <c r="M9" s="2963" t="s">
        <v>2994</v>
      </c>
      <c r="N9" s="50"/>
      <c r="O9" s="58" t="s">
        <v>2994</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3" t="s">
        <v>3107</v>
      </c>
      <c r="J10" s="50"/>
      <c r="K10" s="2965" t="s">
        <v>2995</v>
      </c>
      <c r="L10" s="50"/>
      <c r="M10" s="2965" t="s">
        <v>922</v>
      </c>
      <c r="N10" s="50"/>
      <c r="O10" s="65" t="s">
        <v>2995</v>
      </c>
      <c r="P10" s="50"/>
      <c r="Q10" s="65"/>
      <c r="R10" s="50"/>
      <c r="S10" s="65"/>
      <c r="T10" s="50"/>
      <c r="U10" s="65"/>
      <c r="V10" s="50"/>
      <c r="W10" s="65"/>
      <c r="X10" s="50"/>
      <c r="Y10" s="65"/>
      <c r="Z10" s="50"/>
      <c r="AA10" s="65"/>
      <c r="AB10" s="50"/>
      <c r="AC10" s="54"/>
      <c r="AD10" s="2295" t="s">
        <v>2314</v>
      </c>
      <c r="AE10" s="2317"/>
      <c r="AF10" s="2295" t="s">
        <v>2314</v>
      </c>
      <c r="AG10" s="2317"/>
      <c r="AH10" s="2295" t="s">
        <v>2315</v>
      </c>
      <c r="AI10" s="2317"/>
      <c r="AJ10" s="25" t="s">
        <v>2327</v>
      </c>
      <c r="AK10" s="2314"/>
      <c r="AL10" s="2295" t="s">
        <v>2316</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4"/>
      <c r="J11" s="70"/>
      <c r="K11" s="2964"/>
      <c r="L11" s="70"/>
      <c r="M11" s="69"/>
      <c r="N11" s="70"/>
      <c r="O11" s="69"/>
      <c r="P11" s="70"/>
      <c r="Q11" s="69"/>
      <c r="R11" s="70"/>
      <c r="S11" s="69"/>
      <c r="T11" s="70"/>
      <c r="U11" s="69"/>
      <c r="V11" s="70"/>
      <c r="W11" s="69"/>
      <c r="X11" s="70"/>
      <c r="Y11" s="69"/>
      <c r="Z11" s="70"/>
      <c r="AA11" s="69"/>
      <c r="AB11" s="70"/>
      <c r="AC11" s="54"/>
      <c r="AD11" s="2315" t="s">
        <v>2326</v>
      </c>
      <c r="AE11" s="999"/>
      <c r="AF11" s="2315" t="s">
        <v>2326</v>
      </c>
      <c r="AG11" s="999"/>
      <c r="AH11" s="2315" t="s">
        <v>2325</v>
      </c>
      <c r="AI11" s="2316"/>
      <c r="AJ11" s="2315" t="s">
        <v>2325</v>
      </c>
      <c r="AK11" s="2314"/>
      <c r="AL11" s="997"/>
      <c r="AM11" s="999"/>
      <c r="AN11" s="997"/>
      <c r="AO11" s="999"/>
      <c r="AP11" s="1181"/>
      <c r="AQ11" s="1183"/>
      <c r="AR11" s="1181"/>
      <c r="AS11" s="1183"/>
      <c r="AT11" s="1000"/>
      <c r="AU11" s="44"/>
      <c r="AV11" s="54"/>
      <c r="AW11" s="1000"/>
      <c r="AX11" s="54"/>
      <c r="AY11" s="61"/>
      <c r="AZ11" s="61"/>
      <c r="BA11" s="61"/>
      <c r="BB11" s="49" t="str">
        <f>I10</f>
        <v>商业</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59"/>
      <c r="B13" s="2959"/>
      <c r="C13" s="2959" t="s">
        <v>3181</v>
      </c>
      <c r="D13" s="2960" t="s">
        <v>1677</v>
      </c>
      <c r="E13" s="26">
        <f>197536.6</f>
        <v>197536.6</v>
      </c>
      <c r="F13" s="80"/>
      <c r="G13" s="81">
        <f t="shared" ref="G13:G20" si="6">H13+AC13+AT13</f>
        <v>888914.7</v>
      </c>
      <c r="H13" s="32">
        <f t="shared" ref="H13:H20" si="7">SUMIF(I$12:AB$12,"总值",I13:AB13)</f>
        <v>888914.7</v>
      </c>
      <c r="I13" s="2962">
        <f>888914.7</f>
        <v>888914.7</v>
      </c>
      <c r="J13" s="2962"/>
      <c r="K13" s="2962"/>
      <c r="L13" s="2962"/>
      <c r="M13" s="2962"/>
      <c r="N13" s="82"/>
      <c r="O13" s="82"/>
      <c r="P13" s="82"/>
      <c r="Q13" s="82"/>
      <c r="R13" s="82"/>
      <c r="S13" s="82"/>
      <c r="T13" s="82"/>
      <c r="U13" s="82"/>
      <c r="V13" s="82"/>
      <c r="W13" s="82"/>
      <c r="X13" s="82"/>
      <c r="Y13" s="82"/>
      <c r="Z13" s="82"/>
      <c r="AA13" s="82"/>
      <c r="AB13" s="82"/>
      <c r="AC13" s="26">
        <f t="shared" ref="AC13:AC20" si="8">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9">A13</f>
        <v>0</v>
      </c>
      <c r="AW13" s="17">
        <f t="shared" si="9"/>
        <v>0</v>
      </c>
      <c r="AX13" s="17" t="str">
        <f t="shared" si="9"/>
        <v>水竹湾</v>
      </c>
      <c r="AY13" s="993">
        <f t="shared" ref="AY13:AY20" si="10">ROUND($AY$6*AZ13/$AZ$5,2)</f>
        <v>197536.6</v>
      </c>
      <c r="AZ13" s="26">
        <f t="shared" ref="AZ13:AZ20" si="11">BA13+BL13</f>
        <v>888914.7</v>
      </c>
      <c r="BA13" s="26">
        <f t="shared" ref="BA13:BA20" si="12">SUM(BB13:BK13)</f>
        <v>888914.7</v>
      </c>
      <c r="BB13" s="26">
        <f t="shared" ref="BB13:BB20" si="13">IF($D13="是",I13-J13,0)</f>
        <v>888914.7</v>
      </c>
      <c r="BC13" s="26">
        <f t="shared" ref="BC13:BC20" si="14">IF($D13="是",K13-L13,0)</f>
        <v>0</v>
      </c>
      <c r="BD13" s="26">
        <f t="shared" ref="BD13:BD20" si="15">IF($D13="是",M13-N13,0)</f>
        <v>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959"/>
      <c r="B14" s="2959"/>
      <c r="C14" s="2961" t="s">
        <v>3182</v>
      </c>
      <c r="D14" s="2960" t="s">
        <v>2992</v>
      </c>
      <c r="E14" s="26">
        <f>156161.8</f>
        <v>156161.79999999999</v>
      </c>
      <c r="F14" s="80"/>
      <c r="G14" s="81">
        <f t="shared" si="6"/>
        <v>702728.1</v>
      </c>
      <c r="H14" s="32">
        <f t="shared" si="7"/>
        <v>702728.1</v>
      </c>
      <c r="I14" s="2962">
        <f>702728.1</f>
        <v>702728.1</v>
      </c>
      <c r="J14" s="2962"/>
      <c r="K14" s="2962"/>
      <c r="L14" s="2962"/>
      <c r="M14" s="2962"/>
      <c r="N14" s="82"/>
      <c r="O14" s="82"/>
      <c r="P14" s="82"/>
      <c r="Q14" s="82"/>
      <c r="R14" s="82"/>
      <c r="S14" s="82"/>
      <c r="T14" s="82"/>
      <c r="U14" s="82"/>
      <c r="V14" s="82"/>
      <c r="W14" s="82"/>
      <c r="X14" s="82"/>
      <c r="Y14" s="82"/>
      <c r="Z14" s="82"/>
      <c r="AA14" s="82"/>
      <c r="AB14" s="82"/>
      <c r="AC14" s="26">
        <f t="shared" si="8"/>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9"/>
        <v>0</v>
      </c>
      <c r="AW14" s="17">
        <f t="shared" si="9"/>
        <v>0</v>
      </c>
      <c r="AX14" s="17" t="str">
        <f t="shared" si="9"/>
        <v>山塘村</v>
      </c>
      <c r="AY14" s="993">
        <f t="shared" si="10"/>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959"/>
      <c r="B15" s="2959"/>
      <c r="C15" s="2961"/>
      <c r="D15" s="2960" t="s">
        <v>2992</v>
      </c>
      <c r="E15" s="26">
        <f t="shared" ref="E15:E20" si="32">IF($C$3="是",ROUND($A$3*G15/$B$3,2),ROUND($A$3*(G15-AT15)/$B$3,2))</f>
        <v>0</v>
      </c>
      <c r="F15" s="80"/>
      <c r="G15" s="81">
        <f t="shared" si="6"/>
        <v>0</v>
      </c>
      <c r="H15" s="32">
        <f t="shared" si="7"/>
        <v>0</v>
      </c>
      <c r="I15" s="2962"/>
      <c r="J15" s="2962"/>
      <c r="K15" s="2962"/>
      <c r="L15" s="2962"/>
      <c r="M15" s="2962"/>
      <c r="N15" s="82"/>
      <c r="O15" s="82"/>
      <c r="P15" s="82"/>
      <c r="Q15" s="82"/>
      <c r="R15" s="82"/>
      <c r="S15" s="82"/>
      <c r="T15" s="82"/>
      <c r="U15" s="82"/>
      <c r="V15" s="82"/>
      <c r="W15" s="82"/>
      <c r="X15" s="82"/>
      <c r="Y15" s="82"/>
      <c r="Z15" s="82"/>
      <c r="AA15" s="82"/>
      <c r="AB15" s="82"/>
      <c r="AC15" s="26">
        <f t="shared" si="8"/>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9"/>
        <v>0</v>
      </c>
      <c r="AW15" s="17">
        <f t="shared" si="9"/>
        <v>0</v>
      </c>
      <c r="AX15" s="17">
        <f t="shared" si="9"/>
        <v>0</v>
      </c>
      <c r="AY15" s="993">
        <f t="shared" si="10"/>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959"/>
      <c r="B16" s="2959"/>
      <c r="C16" s="2961"/>
      <c r="D16" s="2960" t="s">
        <v>2992</v>
      </c>
      <c r="E16" s="26">
        <f t="shared" si="32"/>
        <v>0</v>
      </c>
      <c r="F16" s="80"/>
      <c r="G16" s="81">
        <f t="shared" si="6"/>
        <v>0</v>
      </c>
      <c r="H16" s="32">
        <f t="shared" si="7"/>
        <v>0</v>
      </c>
      <c r="I16" s="2962"/>
      <c r="J16" s="2962"/>
      <c r="K16" s="2962"/>
      <c r="L16" s="2962"/>
      <c r="M16" s="2962"/>
      <c r="N16" s="82"/>
      <c r="O16" s="82"/>
      <c r="P16" s="82"/>
      <c r="Q16" s="82"/>
      <c r="R16" s="82"/>
      <c r="S16" s="82"/>
      <c r="T16" s="82"/>
      <c r="U16" s="82"/>
      <c r="V16" s="82"/>
      <c r="W16" s="82"/>
      <c r="X16" s="82"/>
      <c r="Y16" s="82"/>
      <c r="Z16" s="82"/>
      <c r="AA16" s="82"/>
      <c r="AB16" s="82"/>
      <c r="AC16" s="26">
        <f t="shared" si="8"/>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9"/>
        <v>0</v>
      </c>
      <c r="AW16" s="17">
        <f t="shared" si="9"/>
        <v>0</v>
      </c>
      <c r="AX16" s="17">
        <f t="shared" si="9"/>
        <v>0</v>
      </c>
      <c r="AY16" s="993">
        <f t="shared" si="10"/>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959"/>
      <c r="B17" s="2959"/>
      <c r="C17" s="2961"/>
      <c r="D17" s="2960" t="s">
        <v>2992</v>
      </c>
      <c r="E17" s="26">
        <f t="shared" si="32"/>
        <v>0</v>
      </c>
      <c r="F17" s="80"/>
      <c r="G17" s="81">
        <f t="shared" si="6"/>
        <v>0</v>
      </c>
      <c r="H17" s="32">
        <f t="shared" si="7"/>
        <v>0</v>
      </c>
      <c r="I17" s="2962"/>
      <c r="J17" s="2962"/>
      <c r="K17" s="2962"/>
      <c r="L17" s="2962"/>
      <c r="M17" s="2962"/>
      <c r="N17" s="82"/>
      <c r="O17" s="82"/>
      <c r="P17" s="82"/>
      <c r="Q17" s="82"/>
      <c r="R17" s="82"/>
      <c r="S17" s="82"/>
      <c r="T17" s="82"/>
      <c r="U17" s="82"/>
      <c r="V17" s="82"/>
      <c r="W17" s="82"/>
      <c r="X17" s="82"/>
      <c r="Y17" s="82"/>
      <c r="Z17" s="82"/>
      <c r="AA17" s="82"/>
      <c r="AB17" s="82"/>
      <c r="AC17" s="26">
        <f t="shared" si="8"/>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9"/>
        <v>0</v>
      </c>
      <c r="AW17" s="17">
        <f t="shared" si="9"/>
        <v>0</v>
      </c>
      <c r="AX17" s="17">
        <f t="shared" si="9"/>
        <v>0</v>
      </c>
      <c r="AY17" s="993">
        <f t="shared" si="10"/>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960" t="s">
        <v>2992</v>
      </c>
      <c r="E18" s="86">
        <f t="shared" si="32"/>
        <v>0</v>
      </c>
      <c r="F18" s="87"/>
      <c r="G18" s="88">
        <f t="shared" si="6"/>
        <v>0</v>
      </c>
      <c r="H18" s="89">
        <f t="shared" si="7"/>
        <v>0</v>
      </c>
      <c r="I18" s="1387"/>
      <c r="J18" s="90"/>
      <c r="K18" s="1387"/>
      <c r="L18" s="90"/>
      <c r="M18" s="90"/>
      <c r="N18" s="90"/>
      <c r="O18" s="90"/>
      <c r="P18" s="90"/>
      <c r="Q18" s="90"/>
      <c r="R18" s="90"/>
      <c r="S18" s="90"/>
      <c r="T18" s="90"/>
      <c r="U18" s="90"/>
      <c r="V18" s="90"/>
      <c r="W18" s="90"/>
      <c r="X18" s="90"/>
      <c r="Y18" s="90"/>
      <c r="Z18" s="90"/>
      <c r="AA18" s="90"/>
      <c r="AB18" s="90"/>
      <c r="AC18" s="86">
        <f t="shared" si="8"/>
        <v>0</v>
      </c>
      <c r="AD18" s="91"/>
      <c r="AE18" s="91"/>
      <c r="AF18" s="1387"/>
      <c r="AG18" s="91"/>
      <c r="AH18" s="91"/>
      <c r="AI18" s="91"/>
      <c r="AJ18" s="91"/>
      <c r="AK18" s="91"/>
      <c r="AL18" s="1357"/>
      <c r="AM18" s="91"/>
      <c r="AN18" s="1387"/>
      <c r="AO18" s="91"/>
      <c r="AP18" s="91"/>
      <c r="AQ18" s="91"/>
      <c r="AR18" s="91"/>
      <c r="AS18" s="91"/>
      <c r="AT18" s="92"/>
      <c r="AU18" s="93"/>
      <c r="AV18" s="989">
        <f t="shared" si="9"/>
        <v>0</v>
      </c>
      <c r="AW18" s="989">
        <f t="shared" si="9"/>
        <v>0</v>
      </c>
      <c r="AX18" s="989">
        <f t="shared" si="9"/>
        <v>0</v>
      </c>
      <c r="AY18" s="94">
        <f t="shared" si="10"/>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91"/>
      <c r="C19" s="1387"/>
      <c r="D19" s="2960" t="s">
        <v>2992</v>
      </c>
      <c r="E19" s="86">
        <f t="shared" si="32"/>
        <v>0</v>
      </c>
      <c r="F19" s="87"/>
      <c r="G19" s="88">
        <f t="shared" si="6"/>
        <v>0</v>
      </c>
      <c r="H19" s="89">
        <f t="shared" si="7"/>
        <v>0</v>
      </c>
      <c r="I19" s="1387"/>
      <c r="J19" s="90"/>
      <c r="K19" s="1387"/>
      <c r="L19" s="90"/>
      <c r="M19" s="90"/>
      <c r="N19" s="90"/>
      <c r="O19" s="90"/>
      <c r="P19" s="90"/>
      <c r="Q19" s="90"/>
      <c r="R19" s="90"/>
      <c r="S19" s="90"/>
      <c r="T19" s="90"/>
      <c r="U19" s="90"/>
      <c r="V19" s="90"/>
      <c r="W19" s="90"/>
      <c r="X19" s="90"/>
      <c r="Y19" s="90"/>
      <c r="Z19" s="90"/>
      <c r="AA19" s="90"/>
      <c r="AB19" s="90"/>
      <c r="AC19" s="86">
        <f t="shared" si="8"/>
        <v>0</v>
      </c>
      <c r="AD19" s="91"/>
      <c r="AE19" s="91"/>
      <c r="AF19" s="1387"/>
      <c r="AG19" s="91"/>
      <c r="AH19" s="91"/>
      <c r="AI19" s="91"/>
      <c r="AJ19" s="91"/>
      <c r="AK19" s="91"/>
      <c r="AL19" s="91"/>
      <c r="AM19" s="91"/>
      <c r="AN19" s="1387"/>
      <c r="AO19" s="91"/>
      <c r="AP19" s="91"/>
      <c r="AQ19" s="91"/>
      <c r="AR19" s="91"/>
      <c r="AS19" s="91"/>
      <c r="AT19" s="92"/>
      <c r="AU19" s="93"/>
      <c r="AV19" s="989">
        <f t="shared" si="9"/>
        <v>0</v>
      </c>
      <c r="AW19" s="989">
        <f t="shared" si="9"/>
        <v>0</v>
      </c>
      <c r="AX19" s="989">
        <f t="shared" si="9"/>
        <v>0</v>
      </c>
      <c r="AY19" s="94">
        <f t="shared" si="10"/>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91"/>
      <c r="C20" s="1387"/>
      <c r="D20" s="2960" t="s">
        <v>2992</v>
      </c>
      <c r="E20" s="86">
        <f t="shared" si="32"/>
        <v>0</v>
      </c>
      <c r="F20" s="87"/>
      <c r="G20" s="88">
        <f t="shared" si="6"/>
        <v>0</v>
      </c>
      <c r="H20" s="89">
        <f t="shared" si="7"/>
        <v>0</v>
      </c>
      <c r="I20" s="1387"/>
      <c r="J20" s="90"/>
      <c r="K20" s="1387"/>
      <c r="L20" s="90"/>
      <c r="M20" s="90"/>
      <c r="N20" s="90"/>
      <c r="O20" s="90"/>
      <c r="P20" s="90"/>
      <c r="Q20" s="90"/>
      <c r="R20" s="90"/>
      <c r="S20" s="90"/>
      <c r="T20" s="90"/>
      <c r="U20" s="90"/>
      <c r="V20" s="90"/>
      <c r="W20" s="90"/>
      <c r="X20" s="90"/>
      <c r="Y20" s="90"/>
      <c r="Z20" s="90"/>
      <c r="AA20" s="90"/>
      <c r="AB20" s="90"/>
      <c r="AC20" s="86">
        <f t="shared" si="8"/>
        <v>0</v>
      </c>
      <c r="AD20" s="91"/>
      <c r="AE20" s="91"/>
      <c r="AF20" s="1387"/>
      <c r="AG20" s="91"/>
      <c r="AH20" s="91"/>
      <c r="AI20" s="91"/>
      <c r="AJ20" s="91"/>
      <c r="AK20" s="91"/>
      <c r="AL20" s="91"/>
      <c r="AM20" s="91"/>
      <c r="AN20" s="1387"/>
      <c r="AO20" s="91"/>
      <c r="AP20" s="91"/>
      <c r="AQ20" s="91"/>
      <c r="AR20" s="91"/>
      <c r="AS20" s="91"/>
      <c r="AT20" s="92"/>
      <c r="AU20" s="93"/>
      <c r="AV20" s="989">
        <f t="shared" si="9"/>
        <v>0</v>
      </c>
      <c r="AW20" s="989">
        <f t="shared" si="9"/>
        <v>0</v>
      </c>
      <c r="AX20" s="989">
        <f t="shared" si="9"/>
        <v>0</v>
      </c>
      <c r="AY20" s="94">
        <f t="shared" si="10"/>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86"/>
      <c r="C21" s="1387"/>
      <c r="D21" s="2960" t="s">
        <v>2992</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0" t="s">
        <v>2992</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0" t="s">
        <v>2992</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0" t="s">
        <v>2992</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 sqref="E2"/>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7" t="s">
        <v>203</v>
      </c>
      <c r="B2" s="3317"/>
      <c r="C2" s="3317"/>
      <c r="D2" s="1956" t="s">
        <v>204</v>
      </c>
      <c r="E2" s="105" t="s">
        <v>205</v>
      </c>
      <c r="F2" s="1965"/>
      <c r="G2" s="1191"/>
      <c r="H2" s="1192"/>
      <c r="I2" s="1193" t="s">
        <v>856</v>
      </c>
      <c r="J2" s="1965"/>
      <c r="K2" s="1965"/>
      <c r="L2" s="1965"/>
    </row>
    <row r="3" spans="1:16" ht="15.75" thickBot="1">
      <c r="A3" s="3318" t="s">
        <v>206</v>
      </c>
      <c r="B3" s="3318"/>
      <c r="C3" s="3318"/>
      <c r="D3" s="106">
        <f>'数据-基础表'!AY6</f>
        <v>197536.6</v>
      </c>
      <c r="E3" s="106">
        <f>'数据-基础表'!AZ5</f>
        <v>888914.7</v>
      </c>
      <c r="F3" s="1965"/>
      <c r="G3" s="278" t="s">
        <v>857</v>
      </c>
      <c r="H3" s="273" t="s">
        <v>858</v>
      </c>
      <c r="I3" s="1957">
        <f>ROUND('数据-基础表'!B3/'数据-基础表'!A3,2)</f>
        <v>4.5</v>
      </c>
      <c r="J3" s="1965"/>
      <c r="K3" s="1965"/>
      <c r="L3" s="1965"/>
    </row>
    <row r="4" spans="1:16" ht="15">
      <c r="A4" s="3319"/>
      <c r="B4" s="3320"/>
      <c r="C4" s="3321"/>
      <c r="D4" s="107" t="s">
        <v>204</v>
      </c>
      <c r="E4" s="108" t="s">
        <v>205</v>
      </c>
      <c r="F4" s="1965"/>
      <c r="G4" s="1194"/>
      <c r="H4" s="273" t="s">
        <v>859</v>
      </c>
      <c r="I4" s="1957">
        <f>ROUND(SUMIF('数据-基础表'!I9:AS9,"地上",'数据-基础表'!I5:AS5)/'数据-基础表'!A3,2)</f>
        <v>4.5</v>
      </c>
      <c r="J4" s="1965"/>
      <c r="K4" s="1965"/>
      <c r="L4" s="1965"/>
    </row>
    <row r="5" spans="1:16">
      <c r="A5" s="109" t="s">
        <v>207</v>
      </c>
      <c r="B5" s="3322" t="s">
        <v>230</v>
      </c>
      <c r="C5" s="3322"/>
      <c r="D5" s="110">
        <f>ROUND($D$3*E5/$E$3,2)</f>
        <v>0</v>
      </c>
      <c r="E5" s="111">
        <f>SUMIF('数据-基础表'!$11:$11,"住宅",'数据-基础表'!$5:$5)</f>
        <v>0</v>
      </c>
      <c r="F5" s="1965"/>
      <c r="G5" s="278" t="s">
        <v>860</v>
      </c>
      <c r="H5" s="273" t="s">
        <v>858</v>
      </c>
      <c r="I5" s="1957">
        <f>ROUND(E31/D31,2)</f>
        <v>4.5</v>
      </c>
      <c r="J5" s="1965"/>
      <c r="K5" s="1965"/>
      <c r="L5" s="1965"/>
    </row>
    <row r="6" spans="1:16" ht="15" thickBot="1">
      <c r="A6" s="112"/>
      <c r="B6" s="3322" t="s">
        <v>208</v>
      </c>
      <c r="C6" s="3322"/>
      <c r="D6" s="110">
        <f>ROUND($D$3*E6/$E$3,2)</f>
        <v>197536.6</v>
      </c>
      <c r="E6" s="111">
        <f>E3-E5</f>
        <v>888914.7</v>
      </c>
      <c r="F6" s="1965"/>
      <c r="G6" s="1194"/>
      <c r="H6" s="273" t="s">
        <v>859</v>
      </c>
      <c r="I6" s="1957">
        <f>ROUND(F31/D31,2)</f>
        <v>4.5</v>
      </c>
      <c r="J6" s="1965"/>
      <c r="K6" s="1965"/>
      <c r="L6" s="1965"/>
    </row>
    <row r="7" spans="1:16" ht="15">
      <c r="A7" s="3314"/>
      <c r="B7" s="3315"/>
      <c r="C7" s="3316"/>
      <c r="D7" s="107" t="s">
        <v>204</v>
      </c>
      <c r="E7" s="113" t="s">
        <v>231</v>
      </c>
      <c r="F7" s="1965"/>
      <c r="G7" s="1149" t="s">
        <v>1644</v>
      </c>
      <c r="H7" s="1150"/>
      <c r="I7" s="1827">
        <v>2</v>
      </c>
      <c r="J7" s="1965"/>
      <c r="K7" s="1965"/>
      <c r="L7" s="1965"/>
    </row>
    <row r="8" spans="1:16">
      <c r="A8" s="109" t="s">
        <v>209</v>
      </c>
      <c r="B8" s="114" t="s">
        <v>210</v>
      </c>
      <c r="C8" s="110" t="s">
        <v>211</v>
      </c>
      <c r="D8" s="110">
        <f t="shared" ref="D8:D15" si="0">ROUND($D$3*E8/$E$3,2)</f>
        <v>197536.6</v>
      </c>
      <c r="E8" s="115">
        <f>SUMIF('数据-基础表'!BB10:BK10,"地上",'数据-基础表'!BB5:BK5)</f>
        <v>888914.7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2323</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2330</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197536.6</v>
      </c>
      <c r="E16" s="119">
        <f>SUM(E8:E15)</f>
        <v>888914.7</v>
      </c>
      <c r="F16" s="1965"/>
      <c r="G16" s="1967"/>
      <c r="H16" s="965" t="s">
        <v>219</v>
      </c>
      <c r="I16" s="966"/>
      <c r="J16" s="1965"/>
      <c r="K16" s="3308" t="s">
        <v>2562</v>
      </c>
      <c r="L16" s="3309"/>
      <c r="M16" s="3309"/>
      <c r="N16" s="3309"/>
      <c r="O16" s="3309"/>
      <c r="P16" s="3310"/>
    </row>
    <row r="17" spans="1:19" ht="15">
      <c r="A17" s="120" t="s">
        <v>216</v>
      </c>
      <c r="B17" s="121" t="s">
        <v>217</v>
      </c>
      <c r="C17" s="2279" t="s">
        <v>2310</v>
      </c>
      <c r="D17" s="107" t="s">
        <v>204</v>
      </c>
      <c r="E17" s="123" t="s">
        <v>205</v>
      </c>
      <c r="F17" s="124"/>
      <c r="G17" s="1359"/>
      <c r="H17" s="967" t="s">
        <v>218</v>
      </c>
      <c r="I17" s="968" t="s">
        <v>2309</v>
      </c>
      <c r="J17" s="1965"/>
      <c r="K17" s="3311" t="s">
        <v>2563</v>
      </c>
      <c r="L17" s="3312"/>
      <c r="M17" s="3313"/>
      <c r="N17" s="3311" t="s">
        <v>2564</v>
      </c>
      <c r="O17" s="3312"/>
      <c r="P17" s="3313"/>
      <c r="R17" s="2280" t="s">
        <v>2308</v>
      </c>
      <c r="S17" s="143"/>
    </row>
    <row r="18" spans="1:19" ht="15">
      <c r="A18" s="116"/>
      <c r="B18" s="127"/>
      <c r="C18" s="128"/>
      <c r="D18" s="2601"/>
      <c r="E18" s="129" t="s">
        <v>220</v>
      </c>
      <c r="F18" s="130" t="s">
        <v>221</v>
      </c>
      <c r="G18" s="1360" t="s">
        <v>222</v>
      </c>
      <c r="H18" s="969" t="s">
        <v>223</v>
      </c>
      <c r="I18" s="970" t="s">
        <v>224</v>
      </c>
      <c r="J18" s="1965"/>
      <c r="K18" s="2565" t="s">
        <v>2565</v>
      </c>
      <c r="L18" s="2566" t="s">
        <v>2566</v>
      </c>
      <c r="M18" s="2567" t="s">
        <v>2567</v>
      </c>
      <c r="N18" s="2565" t="s">
        <v>2565</v>
      </c>
      <c r="O18" s="2566" t="s">
        <v>2566</v>
      </c>
      <c r="P18" s="2567" t="s">
        <v>2567</v>
      </c>
      <c r="R18" s="2281" t="s">
        <v>2306</v>
      </c>
      <c r="S18" s="2281" t="s">
        <v>2307</v>
      </c>
    </row>
    <row r="19" spans="1:19">
      <c r="A19" s="132"/>
      <c r="B19" s="114" t="s">
        <v>225</v>
      </c>
      <c r="C19" s="2969" t="s">
        <v>3113</v>
      </c>
      <c r="D19" s="3187">
        <f t="shared" ref="D19:D26" si="1">ROUND($D$3*E19/$E$3,2)</f>
        <v>197536.6</v>
      </c>
      <c r="E19" s="133">
        <f t="shared" ref="E19:E26" si="2">SUM(F19:G19)</f>
        <v>888914.7</v>
      </c>
      <c r="F19" s="134">
        <f>'数据-基础表'!I13</f>
        <v>888914.7</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197536.6</v>
      </c>
      <c r="S19" s="2282">
        <f t="shared" si="5"/>
        <v>888914.7</v>
      </c>
    </row>
    <row r="20" spans="1:19">
      <c r="A20" s="137"/>
      <c r="B20" s="114" t="s">
        <v>226</v>
      </c>
      <c r="C20" s="2969"/>
      <c r="D20" s="3187">
        <f t="shared" si="1"/>
        <v>0</v>
      </c>
      <c r="E20" s="133">
        <f t="shared" si="2"/>
        <v>0</v>
      </c>
      <c r="F20" s="134"/>
      <c r="G20" s="1361"/>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7"/>
      <c r="B21" s="114" t="s">
        <v>226</v>
      </c>
      <c r="C21" s="2969"/>
      <c r="D21" s="110">
        <f t="shared" si="1"/>
        <v>0</v>
      </c>
      <c r="E21" s="133">
        <f t="shared" si="2"/>
        <v>0</v>
      </c>
      <c r="F21" s="134"/>
      <c r="G21" s="1361"/>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197536.6</v>
      </c>
      <c r="E27" s="142">
        <f>IF(SUM(E19:E26)='数据-基础表'!BA5,SUM(E19:E26),IF(F27="地上面积有误","面积有误","地下面积有误"))</f>
        <v>888914.7</v>
      </c>
      <c r="F27" s="133">
        <f>IF(SUM(F19:F26)=E8,SUM(F19:F26),"地上面积有误")</f>
        <v>888914.7</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197536.6</v>
      </c>
      <c r="S27" s="273">
        <f>IF(SUM(S19:S26)=$E$3,SUM(S19:S26),SUM(S19:S26)&amp;"误差"&amp;ROUND(SUM(S19:S26)-E3,2))</f>
        <v>888914.7</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2317</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2319</v>
      </c>
      <c r="D31" s="1365">
        <f>D27+D30</f>
        <v>197536.6</v>
      </c>
      <c r="E31" s="1365">
        <f>E27+E30</f>
        <v>888914.7</v>
      </c>
      <c r="F31" s="1366">
        <f>F27+F30</f>
        <v>888914.7</v>
      </c>
      <c r="G31" s="1367">
        <f>G27+G30</f>
        <v>0</v>
      </c>
      <c r="H31" s="1965"/>
      <c r="I31" s="1965"/>
      <c r="J31" s="1965"/>
      <c r="K31" s="1965"/>
      <c r="L31" s="1965"/>
    </row>
    <row r="32" spans="1:19">
      <c r="A32" s="1965"/>
      <c r="B32" s="2323" t="s">
        <v>2318</v>
      </c>
      <c r="C32" s="2606"/>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43805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2823</v>
      </c>
      <c r="O5" s="162" t="s">
        <v>246</v>
      </c>
      <c r="P5" s="164" t="s">
        <v>247</v>
      </c>
      <c r="Q5" s="165" t="s">
        <v>248</v>
      </c>
      <c r="R5" s="166" t="s">
        <v>249</v>
      </c>
      <c r="S5" s="2581" t="s">
        <v>2568</v>
      </c>
      <c r="T5" s="167" t="s">
        <v>250</v>
      </c>
      <c r="U5" s="168" t="s">
        <v>251</v>
      </c>
      <c r="V5" s="158" t="s">
        <v>252</v>
      </c>
      <c r="W5" s="158" t="s">
        <v>253</v>
      </c>
      <c r="X5" s="1799"/>
      <c r="Y5" s="169" t="s">
        <v>254</v>
      </c>
      <c r="Z5" s="170" t="s">
        <v>255</v>
      </c>
      <c r="AA5" s="158" t="s">
        <v>252</v>
      </c>
      <c r="AB5" s="158" t="s">
        <v>253</v>
      </c>
      <c r="AC5" s="1800"/>
      <c r="AD5" s="171" t="s">
        <v>254</v>
      </c>
      <c r="AE5" s="1" t="s">
        <v>869</v>
      </c>
      <c r="AF5" s="158" t="s">
        <v>256</v>
      </c>
      <c r="AG5" s="169" t="s">
        <v>257</v>
      </c>
      <c r="AH5" s="1800" t="s">
        <v>2320</v>
      </c>
      <c r="AI5" s="170" t="s">
        <v>2289</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2" t="s">
        <v>3107</v>
      </c>
      <c r="D6" s="2289">
        <f>SUMIF(项目基本情况!D$15:I$15,C6,项目基本情况!D$18:I$18)</f>
        <v>40</v>
      </c>
      <c r="E6" s="2290">
        <f>IF(B6="","",SUMIF(项目基本情况!D$15:I$15,C6,项目基本情况!D$17:I$17))</f>
        <v>57106</v>
      </c>
      <c r="F6" s="173">
        <f>SUMIF(项目基本情况!D$15:I$15,C6,项目基本情况!D$19:I$19)</f>
        <v>36.44</v>
      </c>
      <c r="G6" s="174">
        <f>IF(ISERROR(ROUND(POWER(1+H6,D6-F6)*(POWER(1+H6,F6)-1)/(POWER(1+H6,D6)-1),3)),0,ROUND(POWER(1+H6,D6-F6)*(POWER(1+H6,F6)-1)/(POWER(1+H6,D6)-1),3))</f>
        <v>0.96899999999999997</v>
      </c>
      <c r="H6" s="2970">
        <v>0.05</v>
      </c>
      <c r="I6" s="2970">
        <v>5.5E-2</v>
      </c>
      <c r="J6" s="175">
        <v>8.5000000000000006E-2</v>
      </c>
      <c r="K6" s="178">
        <f>SUMIF('数据-汇总表'!C$19:C$33,'数据-取费表'!A6,'数据-汇总表'!E$19:E$33)</f>
        <v>888914.7</v>
      </c>
      <c r="L6" s="2971">
        <v>2100</v>
      </c>
      <c r="M6" s="176">
        <f t="shared" ref="M6:M14" si="0">ROUND(K6*L6/10000,0)</f>
        <v>186672</v>
      </c>
      <c r="N6" s="2972">
        <v>0</v>
      </c>
      <c r="O6" s="176">
        <f>IF($N$5="成新度","——",ROUND(M6*N6,0))</f>
        <v>0</v>
      </c>
      <c r="P6" s="177">
        <f>IF($N$5="成新度","——",M6-O6)</f>
        <v>186672</v>
      </c>
      <c r="Q6" s="2973">
        <v>0.2</v>
      </c>
      <c r="R6" s="178">
        <f>SUMIF('数据-汇总表'!C$19:C$33,A6,'数据-汇总表'!R$19:R$33)</f>
        <v>197536.6</v>
      </c>
      <c r="S6" s="131">
        <f>IF('数据-汇总表'!$I$17="按面积比例",SUMIF('数据-汇总表'!C$19:C$33,A6,'数据-汇总表'!K$19:K$33),SUMIF('数据-汇总表'!C$19:C$33,A6,'数据-汇总表'!N$19:N$33))</f>
        <v>0</v>
      </c>
      <c r="T6" s="2215" t="str">
        <f>IF($T$4="按面积比例",IF(ISERROR(ROUND($M$14*S6/S$16,0)),"0",ROUND($M$14*S6/S$16,0)),"需自行计算录入")</f>
        <v>0</v>
      </c>
      <c r="U6" s="179">
        <v>1</v>
      </c>
      <c r="V6" s="180">
        <v>0.03</v>
      </c>
      <c r="W6" s="180">
        <v>0.15</v>
      </c>
      <c r="X6" s="2302"/>
      <c r="Y6" s="181">
        <v>1</v>
      </c>
      <c r="Z6" s="182"/>
      <c r="AA6" s="175"/>
      <c r="AB6" s="175"/>
      <c r="AC6" s="2305"/>
      <c r="AD6" s="183"/>
      <c r="AE6" s="969">
        <f ca="1">IF(AN6="",0,SUMIF(INDIRECT("'"&amp;AN6&amp;"'"&amp;"!E:E"),$AE$5,INDIRECT("'"&amp;AN6&amp;"'"&amp;"!F:F")))</f>
        <v>36.44</v>
      </c>
      <c r="AF6" s="140"/>
      <c r="AG6" s="1206">
        <f>IF(AF6="",0,AE6-AF6)</f>
        <v>0</v>
      </c>
      <c r="AH6" s="140"/>
      <c r="AI6" s="186">
        <v>365</v>
      </c>
      <c r="AJ6" s="187"/>
      <c r="AK6" s="188">
        <v>1.4999999999999999E-2</v>
      </c>
      <c r="AL6" s="189">
        <v>1.5E-3</v>
      </c>
      <c r="AM6" s="2984">
        <v>0.01</v>
      </c>
      <c r="AN6" s="2352" t="s">
        <v>2996</v>
      </c>
      <c r="AO6" s="1981"/>
      <c r="AP6" s="1197">
        <f>ROUND(1-1/(1+H6)^F6,3)</f>
        <v>0.83099999999999996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0"/>
      <c r="I7" s="2970"/>
      <c r="J7" s="175"/>
      <c r="K7" s="178">
        <f>SUMIF('数据-汇总表'!C$19:C$33,'数据-取费表'!A7,'数据-汇总表'!E$19:E$33)</f>
        <v>0</v>
      </c>
      <c r="L7" s="2971"/>
      <c r="M7" s="176">
        <f t="shared" si="0"/>
        <v>0</v>
      </c>
      <c r="N7" s="2972"/>
      <c r="O7" s="176">
        <f t="shared" ref="O7:O14" si="3">IF($N$5="成新度","——",ROUND(M7*N7,0))</f>
        <v>0</v>
      </c>
      <c r="P7" s="177">
        <f t="shared" ref="P7:P14" si="4">IF($N$5="成新度","——",M7-O7)</f>
        <v>0</v>
      </c>
      <c r="Q7" s="2973"/>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89"/>
      <c r="V7" s="3190"/>
      <c r="W7" s="3190"/>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0"/>
      <c r="I8" s="2970"/>
      <c r="J8" s="175"/>
      <c r="K8" s="178">
        <f>SUMIF('数据-汇总表'!C$19:C$33,'数据-取费表'!A8,'数据-汇总表'!E$19:E$33)</f>
        <v>0</v>
      </c>
      <c r="L8" s="2971"/>
      <c r="M8" s="176">
        <f>ROUND(K8*L8/10000,0)</f>
        <v>0</v>
      </c>
      <c r="N8" s="2972"/>
      <c r="O8" s="176">
        <f t="shared" si="3"/>
        <v>0</v>
      </c>
      <c r="P8" s="177">
        <f t="shared" si="4"/>
        <v>0</v>
      </c>
      <c r="Q8" s="2973"/>
      <c r="R8" s="178">
        <f>SUMIF('数据-汇总表'!C$19:C$33,A8,'数据-汇总表'!R$19:R$33)</f>
        <v>0</v>
      </c>
      <c r="S8" s="131">
        <f>IF('数据-汇总表'!$I$17="按面积比例",SUMIF('数据-汇总表'!C$19:C$33,A8,'数据-汇总表'!K$19:K$33),SUMIF('数据-汇总表'!C$19:C$33,A8,'数据-汇总表'!N$19:N$33))</f>
        <v>0</v>
      </c>
      <c r="T8" s="2215" t="str">
        <f t="shared" si="5"/>
        <v>0</v>
      </c>
      <c r="U8" s="3189"/>
      <c r="V8" s="180"/>
      <c r="W8" s="180"/>
      <c r="X8" s="2302"/>
      <c r="Y8" s="181"/>
      <c r="Z8" s="182"/>
      <c r="AA8" s="175"/>
      <c r="AB8" s="175"/>
      <c r="AC8" s="2305"/>
      <c r="AD8" s="183"/>
      <c r="AE8" s="969">
        <f t="shared" ca="1" si="6"/>
        <v>0</v>
      </c>
      <c r="AF8" s="140"/>
      <c r="AG8" s="1206">
        <f t="shared" si="7"/>
        <v>0</v>
      </c>
      <c r="AH8" s="140"/>
      <c r="AI8" s="186">
        <v>365</v>
      </c>
      <c r="AJ8" s="187"/>
      <c r="AK8" s="188"/>
      <c r="AL8" s="189"/>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1678</v>
      </c>
      <c r="C14" s="2288" t="s">
        <v>2311</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1678</v>
      </c>
      <c r="C15" s="2288" t="s">
        <v>2312</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0.96899999999999997</v>
      </c>
      <c r="H16" s="202">
        <f>ROUND(SUMPRODUCT(H6:H13,K6:K13)/SUMPRODUCT((H6:H13&gt;0)*(K6:K13)),3)</f>
        <v>0.05</v>
      </c>
      <c r="I16" s="203"/>
      <c r="J16" s="203"/>
      <c r="K16" s="204">
        <f>SUM(K6:K15)</f>
        <v>888914.7</v>
      </c>
      <c r="L16" s="205">
        <f>ROUND(M16*10000/SUM(K6:K14),0)</f>
        <v>2100</v>
      </c>
      <c r="M16" s="205">
        <f>SUM(M6:M14)</f>
        <v>186672</v>
      </c>
      <c r="N16" s="206">
        <f>ROUND(SUMPRODUCT(M6:M14,N6:N14)/M16,3)</f>
        <v>0</v>
      </c>
      <c r="O16" s="205">
        <f>SUM(O6:O14)</f>
        <v>0</v>
      </c>
      <c r="P16" s="205">
        <f>SUM(P6:P14)</f>
        <v>186672</v>
      </c>
      <c r="Q16" s="207">
        <f>ROUND(SUMPRODUCT(Q6:Q13,K6:K13)/SUMPRODUCT((Q6:Q13&gt;0)*(K6:K13)),2)</f>
        <v>0.2</v>
      </c>
      <c r="R16" s="2292">
        <f>SUM(R6:R13)</f>
        <v>197536.6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0.83099999999999996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f>K16*0.2</f>
        <v>177782.94</v>
      </c>
      <c r="L17" s="1972">
        <v>1800</v>
      </c>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3204"/>
      <c r="J18" s="3205"/>
      <c r="K18" s="1972">
        <f>ROUND((K16+K17)*L17/K16,0)</f>
        <v>2160</v>
      </c>
      <c r="L18" s="1972"/>
      <c r="M18" s="1970"/>
      <c r="N18" s="1970"/>
      <c r="O18" s="1970"/>
      <c r="P18" s="1970"/>
      <c r="Q18" s="3223">
        <f>Q16/B20</f>
        <v>0.04</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2332</v>
      </c>
      <c r="D19" s="1974"/>
      <c r="E19" s="1973"/>
      <c r="F19" s="1973"/>
      <c r="G19" s="1973"/>
      <c r="H19" s="1973"/>
      <c r="I19" s="1973"/>
      <c r="J19" s="1973"/>
      <c r="K19" s="3200"/>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5</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2334</v>
      </c>
      <c r="B27" s="226">
        <v>160</v>
      </c>
      <c r="C27" s="2327" t="s">
        <v>2338</v>
      </c>
      <c r="D27" s="1977" t="s">
        <v>3090</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2335</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2333</v>
      </c>
      <c r="B29" s="3202">
        <v>0</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03">
        <v>150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v>
      </c>
      <c r="C34" s="2325" t="s">
        <v>2886</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150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2888</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8"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19"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19"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1095</v>
      </c>
      <c r="C53" s="3020" t="s">
        <v>2896</v>
      </c>
      <c r="D53" s="3021"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2898</v>
      </c>
      <c r="B54" s="185">
        <v>8</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2899</v>
      </c>
      <c r="B55" s="185"/>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2900</v>
      </c>
      <c r="B56" s="185"/>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2901</v>
      </c>
      <c r="B57" s="185"/>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2902</v>
      </c>
      <c r="B58" s="185"/>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2903</v>
      </c>
      <c r="B59" s="185"/>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2904</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2905</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2906</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2907</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3" t="s">
        <v>1662</v>
      </c>
      <c r="B1" s="3324"/>
      <c r="C1" s="3324"/>
      <c r="D1" s="3324"/>
      <c r="E1" s="3324"/>
      <c r="F1" s="3324"/>
      <c r="G1" s="3324"/>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67.5">
      <c r="A3" s="1220" t="s">
        <v>1665</v>
      </c>
      <c r="B3" s="1221" t="s">
        <v>1652</v>
      </c>
      <c r="C3" s="3191" t="s">
        <v>3074</v>
      </c>
      <c r="D3" s="1990"/>
      <c r="E3" s="1222" t="s">
        <v>1665</v>
      </c>
      <c r="F3" s="1223" t="s">
        <v>1653</v>
      </c>
      <c r="G3" s="3027" t="s">
        <v>2912</v>
      </c>
      <c r="H3" s="1989"/>
      <c r="I3" s="1989"/>
      <c r="J3" s="1989"/>
      <c r="K3" s="1989"/>
      <c r="L3" s="1989"/>
      <c r="M3" s="1989"/>
      <c r="N3" s="1989"/>
      <c r="O3" s="1989"/>
      <c r="P3" s="1989"/>
      <c r="Q3" s="1989"/>
      <c r="R3" s="1989"/>
    </row>
    <row r="4" spans="1:18" ht="40.5">
      <c r="A4" s="1222"/>
      <c r="B4" s="1224" t="s">
        <v>1666</v>
      </c>
      <c r="C4" s="3192" t="s">
        <v>3075</v>
      </c>
      <c r="D4" s="1990"/>
      <c r="E4" s="1225"/>
      <c r="F4" s="1226" t="s">
        <v>1667</v>
      </c>
      <c r="G4" s="3026" t="s">
        <v>2909</v>
      </c>
      <c r="H4" s="1989"/>
      <c r="I4" s="1989"/>
      <c r="J4" s="1989"/>
      <c r="K4" s="1989"/>
      <c r="L4" s="1989"/>
      <c r="M4" s="1989"/>
      <c r="N4" s="1989"/>
      <c r="O4" s="1989"/>
      <c r="P4" s="1989"/>
      <c r="Q4" s="1989"/>
      <c r="R4" s="1989"/>
    </row>
    <row r="5" spans="1:18" ht="27">
      <c r="A5" s="1222"/>
      <c r="B5" s="1224" t="s">
        <v>1668</v>
      </c>
      <c r="C5" s="3025"/>
      <c r="D5" s="1990"/>
      <c r="E5" s="1225"/>
      <c r="F5" s="1224" t="s">
        <v>2542</v>
      </c>
      <c r="G5" s="3026" t="s">
        <v>2910</v>
      </c>
      <c r="H5" s="1989"/>
      <c r="I5" s="1989"/>
      <c r="J5" s="1989"/>
      <c r="K5" s="1989"/>
      <c r="L5" s="1989"/>
      <c r="M5" s="1989"/>
      <c r="N5" s="1989"/>
      <c r="O5" s="1989"/>
      <c r="P5" s="1989"/>
      <c r="Q5" s="1989"/>
      <c r="R5" s="1989"/>
    </row>
    <row r="6" spans="1:18" ht="54">
      <c r="A6" s="1222"/>
      <c r="B6" s="1224" t="s">
        <v>1654</v>
      </c>
      <c r="C6" s="3193" t="s">
        <v>3097</v>
      </c>
      <c r="D6" s="1990"/>
      <c r="E6" s="1225"/>
      <c r="F6" s="1224" t="s">
        <v>2543</v>
      </c>
      <c r="G6" s="3026" t="s">
        <v>2908</v>
      </c>
      <c r="H6" s="1989"/>
      <c r="I6" s="1989"/>
      <c r="J6" s="1989"/>
      <c r="K6" s="1989"/>
      <c r="L6" s="1989"/>
      <c r="M6" s="1989"/>
      <c r="N6" s="1989"/>
      <c r="O6" s="1989"/>
      <c r="P6" s="1989"/>
      <c r="Q6" s="1989"/>
      <c r="R6" s="1989"/>
    </row>
    <row r="7" spans="1:18" ht="41.25" thickBot="1">
      <c r="A7" s="1222"/>
      <c r="B7" s="1224" t="s">
        <v>2542</v>
      </c>
      <c r="C7" s="3193" t="s">
        <v>3100</v>
      </c>
      <c r="D7" s="1991"/>
      <c r="E7" s="1227"/>
      <c r="F7" s="1228" t="s">
        <v>1669</v>
      </c>
      <c r="G7" s="3028" t="s">
        <v>2911</v>
      </c>
      <c r="H7" s="1989"/>
      <c r="I7" s="1989"/>
      <c r="J7" s="1989"/>
      <c r="K7" s="1989"/>
      <c r="L7" s="1989"/>
      <c r="M7" s="1989"/>
      <c r="N7" s="1989"/>
      <c r="O7" s="1989"/>
      <c r="P7" s="1989"/>
      <c r="Q7" s="1989"/>
      <c r="R7" s="1989"/>
    </row>
    <row r="8" spans="1:18" ht="27">
      <c r="A8" s="1222"/>
      <c r="B8" s="1224" t="s">
        <v>2543</v>
      </c>
      <c r="C8" s="3193" t="s">
        <v>3082</v>
      </c>
      <c r="D8" s="1991"/>
      <c r="E8" s="1991"/>
      <c r="F8" s="1536"/>
      <c r="G8" s="1536"/>
      <c r="H8" s="1989"/>
      <c r="I8" s="1989"/>
      <c r="J8" s="1989"/>
      <c r="K8" s="1989"/>
      <c r="L8" s="1989"/>
      <c r="M8" s="1989"/>
      <c r="N8" s="1989"/>
      <c r="O8" s="1989"/>
      <c r="P8" s="1989"/>
      <c r="Q8" s="1989"/>
      <c r="R8" s="1989"/>
    </row>
    <row r="9" spans="1:18" ht="42.75">
      <c r="A9" s="1222"/>
      <c r="B9" s="1224" t="s">
        <v>1655</v>
      </c>
      <c r="C9" s="3025" t="s">
        <v>3026</v>
      </c>
      <c r="D9" s="1990"/>
      <c r="E9" s="1991"/>
      <c r="F9" s="1536"/>
      <c r="G9" s="1536"/>
      <c r="H9" s="1989"/>
      <c r="I9" s="1989"/>
      <c r="J9" s="1989"/>
      <c r="K9" s="1989"/>
      <c r="L9" s="1989"/>
      <c r="M9" s="1989"/>
      <c r="N9" s="1989"/>
      <c r="O9" s="1989"/>
      <c r="P9" s="1989"/>
      <c r="Q9" s="1989"/>
      <c r="R9" s="1989"/>
    </row>
    <row r="10" spans="1:18" s="1997" customFormat="1" ht="14.25" thickBot="1">
      <c r="A10" s="1229"/>
      <c r="B10" s="1230" t="s">
        <v>1670</v>
      </c>
      <c r="C10" s="3198" t="s">
        <v>3091</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7"/>
      <c r="E13" s="2538"/>
      <c r="F13" s="2538"/>
      <c r="G13" s="2538"/>
    </row>
    <row r="14" spans="1:18" ht="14.25" thickBot="1">
      <c r="A14" s="1231"/>
      <c r="B14" s="1232"/>
      <c r="C14" s="1233" t="s">
        <v>1663</v>
      </c>
      <c r="D14" s="1990"/>
      <c r="E14" s="1234"/>
      <c r="F14" s="1234"/>
      <c r="G14" s="1216" t="s">
        <v>1664</v>
      </c>
    </row>
    <row r="15" spans="1:18" ht="67.5">
      <c r="A15" s="2548" t="s">
        <v>1656</v>
      </c>
      <c r="B15" s="1235" t="s">
        <v>1652</v>
      </c>
      <c r="C15" s="1236" t="str">
        <f>C3</f>
        <v>估价对象周边居住用地比例较大，但尚未发展成熟，多为在建建筑物，社区发展一般，综合评价居住社区成熟度一般</v>
      </c>
      <c r="D15" s="1990"/>
      <c r="E15" s="2545" t="s">
        <v>1657</v>
      </c>
      <c r="F15" s="1235" t="s">
        <v>1672</v>
      </c>
      <c r="G15" s="1237" t="str">
        <f>G3</f>
        <v>估价对象位于XX开发区，园区建设成熟度XX，产业集聚程度XX</v>
      </c>
    </row>
    <row r="16" spans="1:18" ht="54">
      <c r="A16" s="2549"/>
      <c r="B16" s="1238" t="s">
        <v>1666</v>
      </c>
      <c r="C16" s="1239" t="str">
        <f>C4</f>
        <v>估价对象多为社区配套底商等，商业氛围较差，人流量一般，商业繁华度一般</v>
      </c>
      <c r="D16" s="1990"/>
      <c r="E16" s="2546"/>
      <c r="F16" s="1240" t="s">
        <v>1667</v>
      </c>
      <c r="G16" s="1002" t="str">
        <f>G4</f>
        <v>估价对象周边道路状况、公共交通通达情况、停车便捷程度，综合评价交通便捷度较好</v>
      </c>
    </row>
    <row r="17" spans="1:7" ht="14.25">
      <c r="A17" s="2549"/>
      <c r="B17" s="1238" t="s">
        <v>1668</v>
      </c>
      <c r="C17" s="1239">
        <f>C5</f>
        <v>0</v>
      </c>
      <c r="D17" s="1991"/>
      <c r="E17" s="2546"/>
      <c r="F17" s="1240" t="s">
        <v>1673</v>
      </c>
      <c r="G17" s="2745"/>
    </row>
    <row r="18" spans="1:7" ht="54">
      <c r="A18" s="2549"/>
      <c r="B18" s="1240" t="s">
        <v>1654</v>
      </c>
      <c r="C18" s="1002" t="str">
        <f>C6</f>
        <v>估价对象周边道路通达情况一般、公共交通较分散、停车较便捷，综合评价交通便捷度一般</v>
      </c>
      <c r="D18" s="1991"/>
      <c r="E18" s="2546"/>
      <c r="F18" s="1240" t="s">
        <v>1669</v>
      </c>
      <c r="G18" s="1002" t="str">
        <f>G7</f>
        <v>该园区内是否有污染型企业，绿化情况，卫生条件，整体环境状况判断</v>
      </c>
    </row>
    <row r="19" spans="1:7" ht="27">
      <c r="A19" s="2549"/>
      <c r="B19" s="1240" t="s">
        <v>1658</v>
      </c>
      <c r="C19" s="3177" t="s">
        <v>3027</v>
      </c>
      <c r="D19" s="1990"/>
      <c r="E19" s="2546"/>
      <c r="F19" s="1224" t="s">
        <v>2542</v>
      </c>
      <c r="G19" s="1002" t="str">
        <f>G5</f>
        <v>估价对象所在区域公共配套设施齐备情况</v>
      </c>
    </row>
    <row r="20" spans="1:7" ht="40.5">
      <c r="A20" s="2549"/>
      <c r="B20" s="1240" t="s">
        <v>1659</v>
      </c>
      <c r="C20" s="1239" t="str">
        <f>C9</f>
        <v>区域自然环境较好；人文环境较好；综合评价环境状况较好</v>
      </c>
      <c r="D20" s="1991"/>
      <c r="E20" s="2546"/>
      <c r="F20" s="1224" t="s">
        <v>2543</v>
      </c>
      <c r="G20" s="1002" t="str">
        <f>G6</f>
        <v>估价对象所在区域基础设施水平</v>
      </c>
    </row>
    <row r="21" spans="1:7" ht="27">
      <c r="A21" s="2549"/>
      <c r="B21" s="1224" t="s">
        <v>2542</v>
      </c>
      <c r="C21" s="1002" t="str">
        <f>C7</f>
        <v>估价对象所在区域公共配套设施齐备情况一般</v>
      </c>
      <c r="D21" s="1990"/>
      <c r="E21" s="2546"/>
      <c r="F21" s="1240" t="s">
        <v>1660</v>
      </c>
      <c r="G21" s="3029"/>
    </row>
    <row r="22" spans="1:7" ht="27">
      <c r="A22" s="2549"/>
      <c r="B22" s="1224" t="s">
        <v>2543</v>
      </c>
      <c r="C22" s="1002" t="str">
        <f>C8</f>
        <v>估价对象所在区域基础设施水平达七通</v>
      </c>
      <c r="D22" s="1990"/>
      <c r="E22" s="2546"/>
      <c r="F22" s="1240" t="s">
        <v>1670</v>
      </c>
      <c r="G22" s="2745"/>
    </row>
    <row r="23" spans="1:7" ht="15" thickBot="1">
      <c r="A23" s="2549"/>
      <c r="B23" s="1240" t="s">
        <v>1660</v>
      </c>
      <c r="C23" s="3029" t="s">
        <v>3028</v>
      </c>
      <c r="E23" s="2547"/>
      <c r="F23" s="1241" t="s">
        <v>1674</v>
      </c>
      <c r="G23" s="3030"/>
    </row>
    <row r="24" spans="1:7" ht="14.25" thickBot="1">
      <c r="A24" s="2550"/>
      <c r="B24" s="1241" t="s">
        <v>1661</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2989" t="s">
        <v>2839</v>
      </c>
      <c r="B1" s="2989">
        <f>SUM(B14:B23)</f>
        <v>1045076.5</v>
      </c>
      <c r="C1" s="2990"/>
      <c r="D1" s="2990"/>
      <c r="E1" s="2990"/>
      <c r="F1" s="2990"/>
    </row>
    <row r="2" spans="1:9" ht="16.5">
      <c r="A2" s="2989" t="s">
        <v>2840</v>
      </c>
      <c r="B2" s="2989">
        <f>SUM(C14:C23)</f>
        <v>900264.7</v>
      </c>
      <c r="C2" s="2990"/>
      <c r="D2" s="2990"/>
      <c r="E2" s="2990"/>
      <c r="F2" s="2990"/>
    </row>
    <row r="3" spans="1:9" ht="16.5">
      <c r="A3" s="2989" t="s">
        <v>2841</v>
      </c>
      <c r="B3" s="2991">
        <f>项目基本情况!D3</f>
        <v>43805</v>
      </c>
      <c r="C3" s="2990"/>
      <c r="D3" s="2990"/>
      <c r="E3" s="2990"/>
      <c r="F3" s="2990"/>
    </row>
    <row r="4" spans="1:9" ht="33">
      <c r="A4" s="2989" t="s">
        <v>2842</v>
      </c>
      <c r="B4" s="2989" t="s">
        <v>2843</v>
      </c>
      <c r="C4" s="2989" t="s">
        <v>2844</v>
      </c>
      <c r="D4" s="2989" t="s">
        <v>2845</v>
      </c>
      <c r="E4" s="2990"/>
      <c r="F4" s="2990"/>
    </row>
    <row r="5" spans="1:9" ht="16.5">
      <c r="A5" s="2989" t="s">
        <v>2846</v>
      </c>
      <c r="B5" s="2989">
        <f ca="1">SUM(D14:D23)</f>
        <v>84702</v>
      </c>
      <c r="C5" s="2989">
        <f ca="1">ROUND(B5*10000/$B$1,0)</f>
        <v>810</v>
      </c>
      <c r="D5" s="2989">
        <f ca="1">ROUND(B5*10000/$B$2,0)</f>
        <v>941</v>
      </c>
      <c r="E5" s="2990"/>
      <c r="F5" s="2990"/>
    </row>
    <row r="6" spans="1:9" ht="16.5">
      <c r="A6" s="2989" t="s">
        <v>2847</v>
      </c>
      <c r="B6" s="2989">
        <f ca="1">SUM(G14:G23)</f>
        <v>84702</v>
      </c>
      <c r="C6" s="2989">
        <f t="shared" ref="C6:C8" ca="1" si="0">ROUND(B6*10000/$B$1,0)</f>
        <v>810</v>
      </c>
      <c r="D6" s="2989">
        <f t="shared" ref="D6:D8" ca="1" si="1">ROUND(B6*10000/$B$2,0)</f>
        <v>941</v>
      </c>
      <c r="E6" s="2990"/>
      <c r="F6" s="2990"/>
    </row>
    <row r="7" spans="1:9" ht="16.5">
      <c r="A7" s="2989" t="s">
        <v>2848</v>
      </c>
      <c r="B7" s="2989">
        <f>SUM(H14:H23)</f>
        <v>0</v>
      </c>
      <c r="C7" s="2989">
        <f t="shared" si="0"/>
        <v>0</v>
      </c>
      <c r="D7" s="2989">
        <f t="shared" si="1"/>
        <v>0</v>
      </c>
      <c r="E7" s="2990"/>
      <c r="F7" s="2990"/>
    </row>
    <row r="8" spans="1:9" ht="16.5">
      <c r="A8" s="2989" t="s">
        <v>2849</v>
      </c>
      <c r="B8" s="2989">
        <f>SUM(I14:I23)</f>
        <v>0</v>
      </c>
      <c r="C8" s="2989">
        <f t="shared" si="0"/>
        <v>0</v>
      </c>
      <c r="D8" s="2989">
        <f t="shared" si="1"/>
        <v>0</v>
      </c>
      <c r="E8" s="2990"/>
      <c r="F8" s="2990"/>
    </row>
    <row r="9" spans="1:9" ht="16.5">
      <c r="A9" s="2989" t="s">
        <v>2850</v>
      </c>
      <c r="B9" s="2992"/>
      <c r="C9" s="2990"/>
      <c r="D9" s="2990"/>
      <c r="E9" s="2990"/>
      <c r="F9" s="2990"/>
    </row>
    <row r="10" spans="1:9" ht="16.5">
      <c r="A10" s="2989" t="s">
        <v>2851</v>
      </c>
      <c r="B10" s="2992"/>
      <c r="C10" s="2990"/>
      <c r="D10" s="2990"/>
      <c r="E10" s="2990"/>
      <c r="F10" s="2990"/>
    </row>
    <row r="11" spans="1:9" ht="16.5">
      <c r="A11" s="2989" t="s">
        <v>2868</v>
      </c>
      <c r="B11" s="2992"/>
      <c r="C11" s="2990"/>
      <c r="D11" s="2990"/>
      <c r="E11" s="2990"/>
      <c r="F11" s="2990"/>
    </row>
    <row r="12" spans="1:9" ht="16.5">
      <c r="A12" s="2990"/>
      <c r="B12" s="2990"/>
      <c r="C12" s="2990"/>
      <c r="D12" s="2990"/>
      <c r="E12" s="2990"/>
      <c r="F12" s="2990"/>
    </row>
    <row r="13" spans="1:9" ht="33">
      <c r="A13" s="2995" t="s">
        <v>2867</v>
      </c>
      <c r="B13" s="2993" t="s">
        <v>2839</v>
      </c>
      <c r="C13" s="2993" t="s">
        <v>2840</v>
      </c>
      <c r="D13" s="2993" t="s">
        <v>2852</v>
      </c>
      <c r="E13" s="2989" t="s">
        <v>2866</v>
      </c>
      <c r="F13" s="2989" t="s">
        <v>2845</v>
      </c>
      <c r="G13" s="2993" t="s">
        <v>2853</v>
      </c>
      <c r="H13" s="2993" t="s">
        <v>2854</v>
      </c>
      <c r="I13" s="2993" t="s">
        <v>2855</v>
      </c>
    </row>
    <row r="14" spans="1:9" ht="16.5">
      <c r="A14" s="2996" t="s">
        <v>2865</v>
      </c>
      <c r="B14" s="2993">
        <f>结果表!L38</f>
        <v>888914.7</v>
      </c>
      <c r="C14" s="2993">
        <f>结果表!K38</f>
        <v>197536.6</v>
      </c>
      <c r="D14" s="2993">
        <f ca="1">结果表!C42</f>
        <v>53150</v>
      </c>
      <c r="E14" s="2993">
        <f ca="1">ROUND(D14*10000/B14,0)</f>
        <v>598</v>
      </c>
      <c r="F14" s="2993">
        <f ca="1">ROUND(D14*10000/C14,0)</f>
        <v>2691</v>
      </c>
      <c r="G14" s="2993">
        <f ca="1">结果表!C44</f>
        <v>53150</v>
      </c>
      <c r="H14" s="2993" t="str">
        <f>结果表!C45</f>
        <v>——</v>
      </c>
      <c r="I14" s="2993" t="str">
        <f>结果表!C46</f>
        <v>——</v>
      </c>
    </row>
    <row r="15" spans="1:9" ht="16.5">
      <c r="A15" s="2996" t="s">
        <v>2856</v>
      </c>
      <c r="B15" s="3234">
        <f>典型户型修正!T25</f>
        <v>156161.79999999999</v>
      </c>
      <c r="C15" s="3234">
        <f>典型户型修正!B25</f>
        <v>702728.1</v>
      </c>
      <c r="D15" s="3234">
        <f ca="1">典型户型修正!S25</f>
        <v>31552</v>
      </c>
      <c r="E15" s="2993">
        <f t="shared" ref="E15:E23" ca="1" si="2">ROUND(D15*10000/B15,0)</f>
        <v>2020</v>
      </c>
      <c r="F15" s="2993">
        <f t="shared" ref="F15:F23" ca="1" si="3">ROUND(D15*10000/C15,0)</f>
        <v>449</v>
      </c>
      <c r="G15" s="3235">
        <f ca="1">D15</f>
        <v>31552</v>
      </c>
      <c r="H15" s="2994"/>
      <c r="I15" s="2997"/>
    </row>
    <row r="16" spans="1:9" ht="16.5">
      <c r="A16" s="2996" t="s">
        <v>2857</v>
      </c>
      <c r="B16" s="2997"/>
      <c r="C16" s="2997"/>
      <c r="D16" s="2997"/>
      <c r="E16" s="2993" t="e">
        <f t="shared" si="2"/>
        <v>#DIV/0!</v>
      </c>
      <c r="F16" s="2993" t="e">
        <f t="shared" si="3"/>
        <v>#DIV/0!</v>
      </c>
      <c r="G16" s="2994"/>
      <c r="H16" s="2994"/>
      <c r="I16" s="2997"/>
    </row>
    <row r="17" spans="1:9" ht="16.5">
      <c r="A17" s="2996" t="s">
        <v>2858</v>
      </c>
      <c r="B17" s="2997"/>
      <c r="C17" s="2997"/>
      <c r="D17" s="2997"/>
      <c r="E17" s="2993" t="e">
        <f t="shared" si="2"/>
        <v>#DIV/0!</v>
      </c>
      <c r="F17" s="2993" t="e">
        <f t="shared" si="3"/>
        <v>#DIV/0!</v>
      </c>
      <c r="G17" s="2994"/>
      <c r="H17" s="2994"/>
      <c r="I17" s="2997"/>
    </row>
    <row r="18" spans="1:9" ht="16.5">
      <c r="A18" s="2996" t="s">
        <v>2859</v>
      </c>
      <c r="B18" s="2997"/>
      <c r="C18" s="2997"/>
      <c r="D18" s="2997"/>
      <c r="E18" s="2993" t="e">
        <f t="shared" si="2"/>
        <v>#DIV/0!</v>
      </c>
      <c r="F18" s="2993" t="e">
        <f t="shared" si="3"/>
        <v>#DIV/0!</v>
      </c>
      <c r="G18" s="2997"/>
      <c r="H18" s="2997"/>
      <c r="I18" s="2997"/>
    </row>
    <row r="19" spans="1:9" ht="16.5">
      <c r="A19" s="2996" t="s">
        <v>2860</v>
      </c>
      <c r="B19" s="2997"/>
      <c r="C19" s="2997"/>
      <c r="D19" s="2997"/>
      <c r="E19" s="2993" t="e">
        <f t="shared" si="2"/>
        <v>#DIV/0!</v>
      </c>
      <c r="F19" s="2993" t="e">
        <f t="shared" si="3"/>
        <v>#DIV/0!</v>
      </c>
      <c r="G19" s="2997"/>
      <c r="H19" s="2997"/>
      <c r="I19" s="2997"/>
    </row>
    <row r="20" spans="1:9" ht="16.5">
      <c r="A20" s="2996" t="s">
        <v>2861</v>
      </c>
      <c r="B20" s="2997"/>
      <c r="C20" s="2997"/>
      <c r="D20" s="2997"/>
      <c r="E20" s="2993" t="e">
        <f t="shared" si="2"/>
        <v>#DIV/0!</v>
      </c>
      <c r="F20" s="2993" t="e">
        <f t="shared" si="3"/>
        <v>#DIV/0!</v>
      </c>
      <c r="G20" s="2997"/>
      <c r="H20" s="2997"/>
      <c r="I20" s="2997"/>
    </row>
    <row r="21" spans="1:9" ht="16.5">
      <c r="A21" s="2996" t="s">
        <v>2862</v>
      </c>
      <c r="B21" s="2997"/>
      <c r="C21" s="2997"/>
      <c r="D21" s="2997"/>
      <c r="E21" s="2993" t="e">
        <f t="shared" si="2"/>
        <v>#DIV/0!</v>
      </c>
      <c r="F21" s="2993" t="e">
        <f t="shared" si="3"/>
        <v>#DIV/0!</v>
      </c>
      <c r="G21" s="2997"/>
      <c r="H21" s="2997"/>
      <c r="I21" s="2997"/>
    </row>
    <row r="22" spans="1:9" ht="16.5">
      <c r="A22" s="2996" t="s">
        <v>2863</v>
      </c>
      <c r="B22" s="2997"/>
      <c r="C22" s="2997"/>
      <c r="D22" s="2997"/>
      <c r="E22" s="2993" t="e">
        <f t="shared" si="2"/>
        <v>#DIV/0!</v>
      </c>
      <c r="F22" s="2993" t="e">
        <f t="shared" si="3"/>
        <v>#DIV/0!</v>
      </c>
      <c r="G22" s="2997"/>
      <c r="H22" s="2997"/>
      <c r="I22" s="2997"/>
    </row>
    <row r="23" spans="1:9" ht="16.5">
      <c r="A23" s="2996" t="s">
        <v>2864</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8" sqref="E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t="s">
        <v>3058</v>
      </c>
      <c r="E1" s="1786" t="s">
        <v>2054</v>
      </c>
      <c r="F1" s="1788" t="s">
        <v>3059</v>
      </c>
      <c r="G1" s="309"/>
      <c r="H1" s="309"/>
      <c r="I1" s="309"/>
      <c r="J1" s="2010"/>
      <c r="K1" s="2010"/>
      <c r="L1" s="2010"/>
      <c r="M1" s="2010"/>
      <c r="N1" s="2010"/>
      <c r="O1" s="2010"/>
      <c r="P1" s="2010"/>
      <c r="Q1" s="2010"/>
      <c r="R1" s="2010"/>
      <c r="S1" s="2010"/>
      <c r="T1" s="2010"/>
      <c r="U1" s="2010"/>
      <c r="V1" s="2010"/>
    </row>
    <row r="2" spans="1:22" ht="21.75" customHeight="1" thickBot="1">
      <c r="A2" s="3370" t="str">
        <f>项目基本情况!K2</f>
        <v>出让国有建设用地使用权</v>
      </c>
      <c r="B2" s="3371"/>
      <c r="C2" s="3372"/>
      <c r="D2" s="3372"/>
      <c r="E2" s="3372"/>
      <c r="F2" s="3372"/>
      <c r="G2" s="3371"/>
      <c r="H2" s="3371"/>
      <c r="I2" s="3373"/>
      <c r="J2" s="2011"/>
      <c r="K2" s="2010"/>
      <c r="L2" s="2010"/>
      <c r="M2" s="2010"/>
      <c r="N2" s="2010"/>
      <c r="O2" s="2010"/>
      <c r="P2" s="2010"/>
      <c r="Q2" s="2010"/>
      <c r="R2" s="2010"/>
      <c r="S2" s="2010"/>
      <c r="T2" s="2010"/>
      <c r="U2" s="2010"/>
      <c r="V2" s="2010"/>
    </row>
    <row r="3" spans="1:22" ht="14.25">
      <c r="A3" s="3381" t="s">
        <v>298</v>
      </c>
      <c r="B3" s="3382"/>
      <c r="C3" s="3382"/>
      <c r="D3" s="3382"/>
      <c r="E3" s="3382"/>
      <c r="F3" s="3382"/>
      <c r="G3" s="3382"/>
      <c r="H3" s="3382"/>
      <c r="I3" s="3382"/>
      <c r="J3" s="2011"/>
      <c r="K3" s="2010"/>
      <c r="L3" s="2010"/>
      <c r="M3" s="2010"/>
      <c r="N3" s="2010"/>
      <c r="O3" s="2010"/>
      <c r="P3" s="2010"/>
      <c r="Q3" s="2010"/>
      <c r="R3" s="2010"/>
      <c r="S3" s="2010"/>
      <c r="T3" s="2010"/>
      <c r="U3" s="2010"/>
      <c r="V3" s="2010"/>
    </row>
    <row r="4" spans="1:22" ht="14.25">
      <c r="A4" s="256" t="s">
        <v>299</v>
      </c>
      <c r="B4" s="257" t="s">
        <v>300</v>
      </c>
      <c r="C4" s="258" t="s">
        <v>3056</v>
      </c>
      <c r="D4" s="258" t="s">
        <v>3057</v>
      </c>
      <c r="E4" s="3345" t="s">
        <v>301</v>
      </c>
      <c r="F4" s="3387"/>
      <c r="G4" s="3387"/>
      <c r="H4" s="3387"/>
      <c r="I4" s="3346"/>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74" t="s">
        <v>302</v>
      </c>
      <c r="B5" s="3375">
        <v>25</v>
      </c>
      <c r="C5" s="3383"/>
      <c r="D5" s="3386"/>
      <c r="E5" s="259" t="s">
        <v>303</v>
      </c>
      <c r="F5" s="260"/>
      <c r="G5" s="260"/>
      <c r="H5" s="260"/>
      <c r="I5" s="261"/>
      <c r="J5" s="2011"/>
      <c r="K5" s="2010"/>
      <c r="L5" s="2010"/>
      <c r="M5" s="2010"/>
      <c r="N5" s="2010"/>
      <c r="O5" s="2010"/>
      <c r="P5" s="2010"/>
      <c r="Q5" s="2010"/>
      <c r="R5" s="2010"/>
      <c r="S5" s="2010"/>
      <c r="T5" s="2010"/>
      <c r="U5" s="2010"/>
      <c r="V5" s="2010"/>
    </row>
    <row r="6" spans="1:22" ht="14.25">
      <c r="A6" s="3374"/>
      <c r="B6" s="3375"/>
      <c r="C6" s="3384"/>
      <c r="D6" s="3386"/>
      <c r="E6" s="259" t="s">
        <v>304</v>
      </c>
      <c r="F6" s="260"/>
      <c r="G6" s="260"/>
      <c r="H6" s="260"/>
      <c r="I6" s="261"/>
      <c r="J6" s="2011"/>
      <c r="K6" s="2010"/>
      <c r="L6" s="2010"/>
      <c r="M6" s="2010"/>
      <c r="N6" s="2010"/>
      <c r="O6" s="2010"/>
      <c r="P6" s="2010"/>
      <c r="Q6" s="2010"/>
      <c r="R6" s="2010"/>
      <c r="S6" s="2010"/>
      <c r="T6" s="2010"/>
      <c r="U6" s="2010"/>
      <c r="V6" s="2010"/>
    </row>
    <row r="7" spans="1:22" ht="14.25">
      <c r="A7" s="3374"/>
      <c r="B7" s="3375"/>
      <c r="C7" s="3385"/>
      <c r="D7" s="3386"/>
      <c r="E7" s="259" t="s">
        <v>305</v>
      </c>
      <c r="F7" s="260"/>
      <c r="G7" s="260"/>
      <c r="H7" s="260"/>
      <c r="I7" s="261"/>
      <c r="J7" s="2011"/>
      <c r="K7" s="2010"/>
      <c r="L7" s="2010"/>
      <c r="M7" s="2010"/>
      <c r="N7" s="2010"/>
      <c r="O7" s="2010"/>
      <c r="P7" s="2010"/>
      <c r="Q7" s="2010"/>
      <c r="R7" s="2010"/>
      <c r="S7" s="2010"/>
      <c r="T7" s="2010"/>
      <c r="U7" s="2010"/>
      <c r="V7" s="2010"/>
    </row>
    <row r="8" spans="1:22" ht="14.25">
      <c r="A8" s="3374" t="s">
        <v>306</v>
      </c>
      <c r="B8" s="3375">
        <v>15</v>
      </c>
      <c r="C8" s="3383"/>
      <c r="D8" s="3386"/>
      <c r="E8" s="259" t="s">
        <v>307</v>
      </c>
      <c r="F8" s="260"/>
      <c r="G8" s="260"/>
      <c r="H8" s="260"/>
      <c r="I8" s="261"/>
      <c r="J8" s="2011"/>
      <c r="K8" s="2010"/>
      <c r="L8" s="2010"/>
      <c r="M8" s="2010"/>
      <c r="N8" s="2010"/>
      <c r="O8" s="2010"/>
      <c r="P8" s="2010"/>
      <c r="Q8" s="2010"/>
      <c r="R8" s="2010"/>
      <c r="S8" s="2010"/>
      <c r="T8" s="2010"/>
      <c r="U8" s="2010"/>
      <c r="V8" s="2010"/>
    </row>
    <row r="9" spans="1:22" ht="14.25">
      <c r="A9" s="3374"/>
      <c r="B9" s="3375"/>
      <c r="C9" s="3385"/>
      <c r="D9" s="3386"/>
      <c r="E9" s="259" t="s">
        <v>308</v>
      </c>
      <c r="F9" s="260"/>
      <c r="G9" s="260"/>
      <c r="H9" s="260"/>
      <c r="I9" s="261"/>
      <c r="J9" s="2011"/>
      <c r="K9" s="2010"/>
      <c r="L9" s="2010"/>
      <c r="M9" s="2010"/>
      <c r="N9" s="2010"/>
      <c r="O9" s="2010"/>
      <c r="P9" s="2010"/>
      <c r="Q9" s="2010"/>
      <c r="R9" s="2010"/>
      <c r="S9" s="2010"/>
      <c r="T9" s="2010"/>
      <c r="U9" s="2010"/>
      <c r="V9" s="2010"/>
    </row>
    <row r="10" spans="1:22" ht="14.25">
      <c r="A10" s="3374" t="s">
        <v>309</v>
      </c>
      <c r="B10" s="3375">
        <v>15</v>
      </c>
      <c r="C10" s="3383"/>
      <c r="D10" s="3386"/>
      <c r="E10" s="259" t="s">
        <v>310</v>
      </c>
      <c r="F10" s="260"/>
      <c r="G10" s="260"/>
      <c r="H10" s="260"/>
      <c r="I10" s="261"/>
      <c r="J10" s="2011"/>
      <c r="K10" s="2010"/>
      <c r="L10" s="2010"/>
      <c r="M10" s="2010"/>
      <c r="N10" s="2010"/>
      <c r="O10" s="2010"/>
      <c r="P10" s="2010"/>
      <c r="Q10" s="2010"/>
      <c r="R10" s="2010"/>
      <c r="S10" s="2010"/>
      <c r="T10" s="2010"/>
      <c r="U10" s="2010"/>
      <c r="V10" s="2010"/>
    </row>
    <row r="11" spans="1:22" ht="14.25">
      <c r="A11" s="3374"/>
      <c r="B11" s="3375"/>
      <c r="C11" s="3385"/>
      <c r="D11" s="3386"/>
      <c r="E11" s="259" t="s">
        <v>311</v>
      </c>
      <c r="F11" s="260"/>
      <c r="G11" s="260"/>
      <c r="H11" s="260"/>
      <c r="I11" s="261"/>
      <c r="J11" s="2011"/>
      <c r="K11" s="2010"/>
      <c r="L11" s="2010"/>
      <c r="M11" s="2010"/>
      <c r="N11" s="2010"/>
      <c r="O11" s="2010"/>
      <c r="P11" s="2010"/>
      <c r="Q11" s="2010"/>
      <c r="R11" s="2010"/>
      <c r="S11" s="2010"/>
      <c r="T11" s="2010"/>
      <c r="U11" s="2010"/>
      <c r="V11" s="2010"/>
    </row>
    <row r="12" spans="1:22" ht="14.25">
      <c r="A12" s="3374" t="s">
        <v>312</v>
      </c>
      <c r="B12" s="3375">
        <v>15</v>
      </c>
      <c r="C12" s="3383"/>
      <c r="D12" s="3386"/>
      <c r="E12" s="259" t="s">
        <v>313</v>
      </c>
      <c r="F12" s="260"/>
      <c r="G12" s="260"/>
      <c r="H12" s="260"/>
      <c r="I12" s="261"/>
      <c r="J12" s="2011"/>
      <c r="K12" s="2010"/>
      <c r="L12" s="2010"/>
      <c r="M12" s="2010"/>
      <c r="N12" s="2010"/>
      <c r="O12" s="2010"/>
      <c r="P12" s="2010"/>
      <c r="Q12" s="2010"/>
      <c r="R12" s="2010"/>
      <c r="S12" s="2010"/>
      <c r="T12" s="2010"/>
      <c r="U12" s="2010"/>
      <c r="V12" s="2010"/>
    </row>
    <row r="13" spans="1:22" ht="14.25">
      <c r="A13" s="3374"/>
      <c r="B13" s="3375"/>
      <c r="C13" s="3385"/>
      <c r="D13" s="3386"/>
      <c r="E13" s="259" t="s">
        <v>314</v>
      </c>
      <c r="F13" s="260"/>
      <c r="G13" s="260"/>
      <c r="H13" s="260"/>
      <c r="I13" s="261"/>
      <c r="J13" s="2011"/>
      <c r="K13" s="2010"/>
      <c r="L13" s="2010"/>
      <c r="M13" s="2010"/>
      <c r="N13" s="2010"/>
      <c r="O13" s="2010"/>
      <c r="P13" s="2010"/>
      <c r="Q13" s="2010"/>
      <c r="R13" s="2010"/>
      <c r="S13" s="2010"/>
      <c r="T13" s="2010"/>
      <c r="U13" s="2010"/>
      <c r="V13" s="2010"/>
    </row>
    <row r="14" spans="1:22" ht="14.25">
      <c r="A14" s="3374" t="s">
        <v>315</v>
      </c>
      <c r="B14" s="3375">
        <v>30</v>
      </c>
      <c r="C14" s="3383">
        <v>4</v>
      </c>
      <c r="D14" s="3386">
        <v>6</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74"/>
      <c r="B15" s="3375"/>
      <c r="C15" s="3384"/>
      <c r="D15" s="3386"/>
      <c r="E15" s="259" t="s">
        <v>317</v>
      </c>
      <c r="F15" s="260"/>
      <c r="G15" s="260"/>
      <c r="H15" s="260"/>
      <c r="I15" s="261"/>
      <c r="J15" s="2011"/>
      <c r="K15" s="2010"/>
      <c r="L15" s="2010"/>
      <c r="M15" s="2010"/>
      <c r="N15" s="2010"/>
      <c r="O15" s="2010"/>
      <c r="P15" s="2010"/>
      <c r="Q15" s="2010"/>
      <c r="R15" s="2010"/>
      <c r="S15" s="2010"/>
      <c r="T15" s="2010"/>
      <c r="U15" s="2010"/>
      <c r="V15" s="2010"/>
    </row>
    <row r="16" spans="1:22" ht="14.25">
      <c r="A16" s="3374"/>
      <c r="B16" s="3375"/>
      <c r="C16" s="3385"/>
      <c r="D16" s="3386"/>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4</v>
      </c>
      <c r="D17" s="263">
        <f>SUM(D5:D16)</f>
        <v>6</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0.4</v>
      </c>
      <c r="D18" s="265">
        <f>1-C18</f>
        <v>0.6</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79558</v>
      </c>
      <c r="D19" s="269">
        <f ca="1">SUMIF(INDIRECT("'"&amp;D4&amp;"'"&amp;"!A:A"),结果表!B19,INDIRECT("'"&amp;D4&amp;"'"&amp;"!B:B"))</f>
        <v>35544</v>
      </c>
      <c r="E19" s="266" t="s">
        <v>323</v>
      </c>
      <c r="F19" s="267" t="s">
        <v>322</v>
      </c>
      <c r="G19" s="270">
        <f ca="1">ROUND(C19*$C$18+D19*$D$18,0)</f>
        <v>53150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895</v>
      </c>
      <c r="D20" s="275">
        <f ca="1">SUMIF(INDIRECT("'"&amp;D4&amp;"'"&amp;"!A:A"),结果表!B20,INDIRECT("'"&amp;D4&amp;"'"&amp;"!B:B"))</f>
        <v>400</v>
      </c>
      <c r="E20" s="272"/>
      <c r="F20" s="273" t="s">
        <v>325</v>
      </c>
      <c r="G20" s="276">
        <f ca="1">ROUND(C20*$C$18+D20*$D$18,0)</f>
        <v>598</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4028</v>
      </c>
      <c r="D21" s="150">
        <f ca="1">SUMIF(INDIRECT("'"&amp;D4&amp;"'"&amp;"!A:A"),结果表!B21,INDIRECT("'"&amp;D4&amp;"'"&amp;"!B:B"))</f>
        <v>1799</v>
      </c>
      <c r="E21" s="272"/>
      <c r="F21" s="278" t="s">
        <v>327</v>
      </c>
      <c r="G21" s="280">
        <f ca="1">ROUND(C21*$C$18+D21*$D$18,0)</f>
        <v>2691</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1.2382961962637857</v>
      </c>
      <c r="E22" s="282"/>
      <c r="F22" s="283"/>
      <c r="G22" s="284">
        <f ca="1">ROUND(G19/('数据-汇总表'!D3/666.67),0)</f>
        <v>179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47"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89"/>
      <c r="B25" s="1314" t="s">
        <v>331</v>
      </c>
      <c r="C25" s="288">
        <f>IF(B30=0,0,C30)</f>
        <v>0</v>
      </c>
      <c r="D25" s="289"/>
      <c r="E25" s="309"/>
      <c r="F25" s="309"/>
      <c r="G25" s="309"/>
      <c r="H25" s="309"/>
      <c r="I25" s="309"/>
      <c r="J25" s="2010"/>
      <c r="K25" s="1248" t="str">
        <f ca="1">项目基本情况!B16&amp;"国有建设用地使用权价格："&amp;O38&amp;"万元"</f>
        <v>出让国有建设用地使用权价格：53150万元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大写金额：人民币伍亿叁仟壹佰伍拾万元整</v>
      </c>
      <c r="L26" s="1245"/>
      <c r="M26" s="1245"/>
      <c r="N26" s="1245"/>
      <c r="O26" s="1244"/>
      <c r="P26" s="2010"/>
      <c r="Q26" s="2010"/>
      <c r="R26" s="2010"/>
      <c r="S26" s="2010"/>
      <c r="T26" s="2010"/>
      <c r="U26" s="2010"/>
      <c r="V26" s="2010"/>
      <c r="W26" s="290"/>
      <c r="X26" s="290"/>
      <c r="Y26" s="290"/>
      <c r="Z26" s="290"/>
    </row>
    <row r="27" spans="1:26" ht="18">
      <c r="A27" s="291">
        <f ca="1">G19/'数据-汇总表'!F27*10000</f>
        <v>597.92013789399596</v>
      </c>
      <c r="B27" s="292"/>
      <c r="C27" s="292"/>
      <c r="D27" s="293"/>
      <c r="E27" s="309"/>
      <c r="F27" s="309"/>
      <c r="G27" s="309"/>
      <c r="H27" s="309"/>
      <c r="I27" s="309"/>
      <c r="J27" s="2010"/>
      <c r="K27" s="1251" t="str">
        <f ca="1">"单位面积地价："&amp;M38&amp;"元/平方米"</f>
        <v>单位面积地价：2691元/平方米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楼面地价：598元/平方米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抵押价格：53150万元</v>
      </c>
      <c r="L29" s="1245"/>
      <c r="M29" s="1245"/>
      <c r="N29" s="1245"/>
      <c r="O29" s="1244"/>
      <c r="P29" s="2010"/>
      <c r="V29" s="2010"/>
    </row>
    <row r="30" spans="1:26" ht="18.75" thickBot="1">
      <c r="A30" s="3071" t="s">
        <v>336</v>
      </c>
      <c r="B30" s="307"/>
      <c r="C30" s="307"/>
      <c r="D30" s="308"/>
      <c r="E30" s="3072" t="s">
        <v>2955</v>
      </c>
      <c r="F30" s="309"/>
      <c r="G30" s="309"/>
      <c r="H30" s="309"/>
      <c r="I30" s="309"/>
      <c r="J30" s="2010"/>
      <c r="K30" s="1251" t="str">
        <f ca="1">IF(K29="——","——","大写金额：人民币"&amp;NUMBERSTRING(INT(O39*10000),2)&amp;"元整")</f>
        <v>大写金额：人民币伍亿叁仟壹佰伍拾万元整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53150</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598</v>
      </c>
      <c r="D33" s="1378" t="s">
        <v>1690</v>
      </c>
      <c r="E33" s="3347"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2691</v>
      </c>
      <c r="D34" s="1380" t="s">
        <v>1690</v>
      </c>
      <c r="E34" s="3348"/>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179</v>
      </c>
      <c r="D35" s="1383" t="s">
        <v>1692</v>
      </c>
      <c r="E35" s="3349"/>
      <c r="F35" s="299" t="s">
        <v>342</v>
      </c>
      <c r="G35" s="979"/>
      <c r="H35" s="978" t="s">
        <v>343</v>
      </c>
      <c r="I35" s="309"/>
      <c r="J35" s="2010"/>
      <c r="K35" s="3353" t="s">
        <v>350</v>
      </c>
      <c r="L35" s="3353" t="s">
        <v>351</v>
      </c>
      <c r="M35" s="1257" t="s">
        <v>352</v>
      </c>
      <c r="N35" s="3353" t="s">
        <v>353</v>
      </c>
      <c r="O35" s="3353" t="s">
        <v>354</v>
      </c>
      <c r="P35" s="2010"/>
      <c r="V35" s="2010"/>
    </row>
    <row r="36" spans="1:26" ht="16.5" customHeight="1">
      <c r="A36" s="301" t="s">
        <v>344</v>
      </c>
      <c r="B36" s="302" t="s">
        <v>333</v>
      </c>
      <c r="C36" s="303" t="s">
        <v>345</v>
      </c>
      <c r="D36" s="303" t="s">
        <v>346</v>
      </c>
      <c r="E36" s="304" t="s">
        <v>347</v>
      </c>
      <c r="F36" s="309"/>
      <c r="G36" s="309"/>
      <c r="H36" s="309"/>
      <c r="I36" s="309"/>
      <c r="J36" s="2012"/>
      <c r="K36" s="3354"/>
      <c r="L36" s="3354"/>
      <c r="M36" s="1259" t="s">
        <v>355</v>
      </c>
      <c r="N36" s="3354"/>
      <c r="O36" s="3354"/>
      <c r="P36" s="2010"/>
      <c r="V36" s="2010"/>
    </row>
    <row r="37" spans="1:26" ht="16.5" customHeight="1" thickBot="1">
      <c r="A37" s="1253" t="s">
        <v>348</v>
      </c>
      <c r="B37" s="305"/>
      <c r="C37" s="292"/>
      <c r="D37" s="292"/>
      <c r="E37" s="293"/>
      <c r="F37" s="309"/>
      <c r="G37" s="309"/>
      <c r="H37" s="309"/>
      <c r="I37" s="309"/>
      <c r="J37" s="2012"/>
      <c r="K37" s="3355"/>
      <c r="L37" s="3355"/>
      <c r="M37" s="1260"/>
      <c r="N37" s="3355"/>
      <c r="O37" s="3355"/>
      <c r="P37" s="2010"/>
      <c r="V37" s="2010"/>
    </row>
    <row r="38" spans="1:26" ht="16.5" customHeight="1" thickBot="1">
      <c r="A38" s="1253" t="s">
        <v>349</v>
      </c>
      <c r="B38" s="305"/>
      <c r="C38" s="292"/>
      <c r="D38" s="292"/>
      <c r="E38" s="293"/>
      <c r="F38" s="309"/>
      <c r="G38" s="309"/>
      <c r="H38" s="309"/>
      <c r="I38" s="309"/>
      <c r="J38" s="2012"/>
      <c r="K38" s="1261">
        <f>'数据-汇总表'!D3</f>
        <v>197536.6</v>
      </c>
      <c r="L38" s="1262">
        <f>'数据-汇总表'!E3</f>
        <v>888914.7</v>
      </c>
      <c r="M38" s="1262">
        <f ca="1">C34</f>
        <v>2691</v>
      </c>
      <c r="N38" s="1262">
        <f ca="1">C33</f>
        <v>598</v>
      </c>
      <c r="O38" s="1263">
        <f ca="1">C32</f>
        <v>53150</v>
      </c>
      <c r="P38" s="2010"/>
      <c r="V38" s="2010"/>
    </row>
    <row r="39" spans="1:26" ht="16.5" customHeight="1" thickBot="1">
      <c r="A39" s="1258"/>
      <c r="B39" s="306"/>
      <c r="C39" s="307"/>
      <c r="D39" s="307"/>
      <c r="E39" s="308"/>
      <c r="F39" s="309"/>
      <c r="G39" s="309"/>
      <c r="H39" s="309"/>
      <c r="I39" s="309"/>
      <c r="J39" s="2012"/>
      <c r="K39" s="3330" t="str">
        <f>MID(A44,3,LEN(A44)-2)</f>
        <v>抵押价格</v>
      </c>
      <c r="L39" s="3331"/>
      <c r="M39" s="3331"/>
      <c r="N39" s="3332"/>
      <c r="O39" s="1385">
        <f ca="1">C44</f>
        <v>53150</v>
      </c>
      <c r="P39" s="2010"/>
      <c r="V39" s="2010"/>
    </row>
    <row r="40" spans="1:26" ht="19.5" thickBot="1">
      <c r="A40" s="103" t="s">
        <v>872</v>
      </c>
      <c r="B40" s="309"/>
      <c r="C40" s="309"/>
      <c r="D40" s="309"/>
      <c r="E40" s="309"/>
      <c r="F40" s="309"/>
      <c r="G40" s="309"/>
      <c r="H40" s="309"/>
      <c r="I40" s="309"/>
      <c r="J40" s="2012"/>
      <c r="K40" s="3330" t="str">
        <f t="shared" ref="K40:K41" si="0">MID(A45,3,LEN(A45)-2)</f>
        <v/>
      </c>
      <c r="L40" s="3331"/>
      <c r="M40" s="3331"/>
      <c r="N40" s="3332"/>
      <c r="O40" s="1385" t="str">
        <f>C45</f>
        <v>——</v>
      </c>
      <c r="P40" s="2010"/>
      <c r="V40" s="2010"/>
    </row>
    <row r="41" spans="1:26" ht="16.5" thickBot="1">
      <c r="A41" s="310" t="s">
        <v>356</v>
      </c>
      <c r="B41" s="311"/>
      <c r="C41" s="312" t="s">
        <v>357</v>
      </c>
      <c r="D41" s="313" t="s">
        <v>358</v>
      </c>
      <c r="E41" s="313" t="s">
        <v>359</v>
      </c>
      <c r="F41" s="314" t="s">
        <v>360</v>
      </c>
      <c r="G41" s="309"/>
      <c r="H41" s="309"/>
      <c r="I41" s="309"/>
      <c r="J41" s="2012"/>
      <c r="K41" s="3330" t="str">
        <f t="shared" si="0"/>
        <v/>
      </c>
      <c r="L41" s="3331"/>
      <c r="M41" s="3331"/>
      <c r="N41" s="3332"/>
      <c r="O41" s="1385" t="str">
        <f>C46</f>
        <v>——</v>
      </c>
      <c r="P41" s="2010"/>
      <c r="V41" s="2010"/>
    </row>
    <row r="42" spans="1:26" ht="29.25">
      <c r="A42" s="3390" t="s">
        <v>2064</v>
      </c>
      <c r="B42" s="3391"/>
      <c r="C42" s="262">
        <f ca="1">C32</f>
        <v>53150</v>
      </c>
      <c r="D42" s="315">
        <f ca="1">C33</f>
        <v>598</v>
      </c>
      <c r="E42" s="315">
        <f ca="1">C34</f>
        <v>2691</v>
      </c>
      <c r="F42" s="316">
        <f ca="1">C35</f>
        <v>179</v>
      </c>
      <c r="G42" s="309"/>
      <c r="H42" s="309"/>
      <c r="I42" s="317"/>
      <c r="J42" s="2012"/>
      <c r="K42" s="1264" t="s">
        <v>361</v>
      </c>
      <c r="L42" s="2029" t="s">
        <v>362</v>
      </c>
      <c r="M42" s="1265" t="s">
        <v>363</v>
      </c>
      <c r="N42" s="2030" t="s">
        <v>364</v>
      </c>
      <c r="O42" s="2031" t="s">
        <v>365</v>
      </c>
      <c r="P42" s="2010"/>
      <c r="V42" s="2010"/>
    </row>
    <row r="43" spans="1:26" ht="30">
      <c r="A43" s="3400" t="s">
        <v>2725</v>
      </c>
      <c r="B43" s="3401"/>
      <c r="C43" s="262">
        <f>IF(H33="正常操作",G33+G34+G35,G34+G35)</f>
        <v>0</v>
      </c>
      <c r="D43" s="315" t="s">
        <v>43</v>
      </c>
      <c r="E43" s="315" t="s">
        <v>44</v>
      </c>
      <c r="F43" s="316" t="s">
        <v>44</v>
      </c>
      <c r="G43" s="2817" t="s">
        <v>951</v>
      </c>
      <c r="H43" s="309"/>
      <c r="I43" s="317"/>
      <c r="J43" s="2012"/>
      <c r="K43" s="1266" t="str">
        <f>C4</f>
        <v>比较法-住宅、综合</v>
      </c>
      <c r="L43" s="1267">
        <f ca="1">IF(L42="估价结果/万元",C19,C20)</f>
        <v>79558</v>
      </c>
      <c r="M43" s="1268">
        <f>C18</f>
        <v>0.4</v>
      </c>
      <c r="N43" s="1269">
        <f ca="1">IF(N42="测算结果/万元",G19,G20)</f>
        <v>53150</v>
      </c>
      <c r="O43" s="1270">
        <f ca="1">IF(O42="最终结果/万元",C32,C33)</f>
        <v>53150</v>
      </c>
      <c r="P43" s="2010"/>
      <c r="V43" s="2010"/>
    </row>
    <row r="44" spans="1:26" ht="30.75" thickBot="1">
      <c r="A44" s="3390" t="str">
        <f>IF(OR(项目基本情况!E8="抵押价格",项目基本情况!E8="已注销及未注销"),"3.抵押价格","——")</f>
        <v>3.抵押价格</v>
      </c>
      <c r="B44" s="3391"/>
      <c r="C44" s="262">
        <f ca="1">IF(A44="——","——",C42-C43)</f>
        <v>53150</v>
      </c>
      <c r="D44" s="315">
        <f ca="1">ROUND(C44*10000/'数据-汇总表'!E3,0)</f>
        <v>598</v>
      </c>
      <c r="E44" s="315">
        <f ca="1">ROUND(C44*10000/'数据-汇总表'!D3,0)</f>
        <v>2691</v>
      </c>
      <c r="F44" s="316">
        <f ca="1">ROUND(C44/('数据-汇总表'!D3/666.67),0)</f>
        <v>179</v>
      </c>
      <c r="G44" s="309"/>
      <c r="H44" s="309"/>
      <c r="I44" s="317"/>
      <c r="J44" s="2012"/>
      <c r="K44" s="1271" t="str">
        <f>D4</f>
        <v>剩余法-待开发</v>
      </c>
      <c r="L44" s="1272">
        <f ca="1">IF(L42="估价结果/万元",D19,D20)</f>
        <v>35544</v>
      </c>
      <c r="M44" s="1273">
        <f>D18</f>
        <v>0.6</v>
      </c>
      <c r="N44" s="1274"/>
      <c r="O44" s="1275"/>
      <c r="P44" s="2010"/>
      <c r="V44" s="2010"/>
    </row>
    <row r="45" spans="1:26" ht="15">
      <c r="A45" s="3395" t="str">
        <f>IF(项目基本情况!E8="已注销及未注销","4.抵押担保权已注销时的抵押价格",IF(项目基本情况!E8="已注销","3.抵押担保权已注销时的抵押价格","——"))</f>
        <v>——</v>
      </c>
      <c r="B45" s="3396"/>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92" t="str">
        <f>IF(项目基本情况!E9="抵押净值",IF(A45="——","4.抵押净值","5.抵押净值"),"——")</f>
        <v>——</v>
      </c>
      <c r="B46" s="3393"/>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8" t="s">
        <v>374</v>
      </c>
      <c r="B63" s="3359"/>
      <c r="C63" s="3360"/>
      <c r="D63" s="339">
        <f ca="1">ROUND(C42*F63,0)</f>
        <v>31890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97" t="s">
        <v>378</v>
      </c>
      <c r="B64" s="3398"/>
      <c r="C64" s="3398"/>
      <c r="D64" s="3398"/>
      <c r="E64" s="3398"/>
      <c r="F64" s="3398"/>
      <c r="G64" s="3399"/>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94" t="s">
        <v>386</v>
      </c>
      <c r="B66" s="3365"/>
      <c r="C66" s="3365"/>
      <c r="D66" s="259">
        <f ca="1">IF(H66="情况1",0,IF(H66="情况2",D70,IF(H66="情况3",D71,IF(H66="情况4",D72))))</f>
        <v>1670</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34" t="s">
        <v>385</v>
      </c>
      <c r="M66" s="3335"/>
      <c r="N66" s="2419"/>
      <c r="O66" s="2420"/>
      <c r="P66" s="2421"/>
      <c r="Q66" s="2010"/>
      <c r="R66" s="2010"/>
      <c r="S66" s="2010"/>
      <c r="T66" s="2010"/>
      <c r="U66" s="2010"/>
      <c r="V66" s="2010"/>
    </row>
    <row r="67" spans="1:22" ht="25.5" customHeight="1">
      <c r="A67" s="350" t="s">
        <v>390</v>
      </c>
      <c r="B67" s="3377" t="s">
        <v>391</v>
      </c>
      <c r="C67" s="3377"/>
      <c r="D67" s="351">
        <v>0</v>
      </c>
      <c r="E67" s="40" t="s">
        <v>392</v>
      </c>
      <c r="F67" s="61" t="s">
        <v>21</v>
      </c>
      <c r="G67" s="3361"/>
      <c r="H67" s="309"/>
      <c r="I67" s="1285"/>
      <c r="J67" s="2017"/>
      <c r="K67" s="1958">
        <v>2</v>
      </c>
      <c r="L67" s="3333" t="s">
        <v>389</v>
      </c>
      <c r="M67" s="3333"/>
      <c r="N67" s="1318">
        <f>'数据-取费表'!B2</f>
        <v>43805</v>
      </c>
      <c r="O67" s="1318"/>
      <c r="P67" s="1318"/>
      <c r="Q67" s="2010"/>
      <c r="R67" s="2010"/>
      <c r="S67" s="2010"/>
      <c r="T67" s="2010"/>
      <c r="U67" s="2010"/>
      <c r="V67" s="2010"/>
    </row>
    <row r="68" spans="1:22" ht="25.5" customHeight="1">
      <c r="A68" s="352"/>
      <c r="B68" s="3377" t="s">
        <v>394</v>
      </c>
      <c r="C68" s="3377"/>
      <c r="D68" s="353"/>
      <c r="E68" s="76"/>
      <c r="F68" s="354"/>
      <c r="G68" s="3362"/>
      <c r="H68" s="309"/>
      <c r="I68" s="1285"/>
      <c r="J68" s="2017"/>
      <c r="K68" s="1958">
        <v>3</v>
      </c>
      <c r="L68" s="3333" t="s">
        <v>393</v>
      </c>
      <c r="M68" s="3333"/>
      <c r="N68" s="1286">
        <f ca="1">C42</f>
        <v>53150</v>
      </c>
      <c r="O68" s="1286"/>
      <c r="P68" s="1286"/>
      <c r="Q68" s="2010"/>
      <c r="R68" s="2010"/>
      <c r="S68" s="2010"/>
      <c r="T68" s="2010"/>
      <c r="U68" s="2010"/>
      <c r="V68" s="2010"/>
    </row>
    <row r="69" spans="1:22" ht="12" customHeight="1">
      <c r="A69" s="355"/>
      <c r="B69" s="3377" t="s">
        <v>395</v>
      </c>
      <c r="C69" s="3377"/>
      <c r="D69" s="356"/>
      <c r="E69" s="72"/>
      <c r="F69" s="354"/>
      <c r="G69" s="3363"/>
      <c r="H69" s="309"/>
      <c r="I69" s="1285"/>
      <c r="J69" s="2017"/>
      <c r="K69" s="1287">
        <v>4</v>
      </c>
      <c r="L69" s="3339" t="s">
        <v>2878</v>
      </c>
      <c r="M69" s="3340"/>
      <c r="N69" s="1288">
        <f ca="1">C44</f>
        <v>53150</v>
      </c>
      <c r="O69" s="1288"/>
      <c r="P69" s="1288"/>
      <c r="Q69" s="2010"/>
      <c r="R69" s="2010"/>
      <c r="S69" s="2010"/>
      <c r="T69" s="2010"/>
      <c r="U69" s="2010"/>
      <c r="V69" s="2010"/>
    </row>
    <row r="70" spans="1:22" ht="24" customHeight="1">
      <c r="A70" s="357" t="s">
        <v>396</v>
      </c>
      <c r="B70" s="3377" t="s">
        <v>397</v>
      </c>
      <c r="C70" s="3377"/>
      <c r="D70" s="356">
        <f ca="1">ROUND(D63*'数据-取费表'!B41/(1+'数据-取费表'!C42),0)</f>
        <v>1670</v>
      </c>
      <c r="E70" s="17" t="s">
        <v>398</v>
      </c>
      <c r="F70" s="358">
        <f>'数据-取费表'!B41</f>
        <v>5.5000000000000007E-2</v>
      </c>
      <c r="G70" s="359"/>
      <c r="H70" s="309"/>
      <c r="I70" s="1285"/>
      <c r="J70" s="2017"/>
      <c r="K70" s="3006"/>
      <c r="L70" s="3007"/>
      <c r="M70" s="3007"/>
      <c r="N70" s="3008" t="s">
        <v>2883</v>
      </c>
      <c r="O70" s="3007"/>
      <c r="P70" s="3009"/>
      <c r="Q70" s="2010"/>
      <c r="R70" s="2010"/>
      <c r="S70" s="2010"/>
      <c r="T70" s="2010"/>
      <c r="U70" s="2010"/>
      <c r="V70" s="2010"/>
    </row>
    <row r="71" spans="1:22" ht="12" customHeight="1">
      <c r="A71" s="357" t="s">
        <v>404</v>
      </c>
      <c r="B71" s="3376" t="s">
        <v>405</v>
      </c>
      <c r="C71" s="3388"/>
      <c r="D71" s="356">
        <f ca="1">ROUND(D63*'数据-取费表'!B41/(1+'数据-取费表'!C42),0)</f>
        <v>1670</v>
      </c>
      <c r="E71" s="17" t="s">
        <v>398</v>
      </c>
      <c r="F71" s="358">
        <f>'数据-取费表'!B41</f>
        <v>5.5000000000000007E-2</v>
      </c>
      <c r="G71" s="359"/>
      <c r="H71" s="309"/>
      <c r="I71" s="1285"/>
      <c r="J71" s="2017"/>
      <c r="K71" s="3005" t="s">
        <v>399</v>
      </c>
      <c r="L71" s="3341" t="s">
        <v>400</v>
      </c>
      <c r="M71" s="3341"/>
      <c r="N71" s="3005" t="s">
        <v>401</v>
      </c>
      <c r="O71" s="3005" t="s">
        <v>402</v>
      </c>
      <c r="P71" s="3005" t="s">
        <v>403</v>
      </c>
      <c r="Q71" s="2010"/>
      <c r="R71" s="2010"/>
      <c r="S71" s="2010"/>
      <c r="T71" s="2010"/>
      <c r="U71" s="2010"/>
      <c r="V71" s="2010"/>
    </row>
    <row r="72" spans="1:22" ht="12" customHeight="1">
      <c r="A72" s="357" t="s">
        <v>407</v>
      </c>
      <c r="B72" s="3376" t="s">
        <v>408</v>
      </c>
      <c r="C72" s="3388"/>
      <c r="D72" s="356">
        <f ca="1">C86</f>
        <v>1560</v>
      </c>
      <c r="E72" s="72" t="s">
        <v>409</v>
      </c>
      <c r="F72" s="358">
        <f>'数据-取费表'!B41</f>
        <v>5.5000000000000007E-2</v>
      </c>
      <c r="G72" s="359"/>
      <c r="H72" s="1291"/>
      <c r="I72" s="1285"/>
      <c r="J72" s="2017"/>
      <c r="K72" s="1958">
        <v>1</v>
      </c>
      <c r="L72" s="3338" t="s">
        <v>406</v>
      </c>
      <c r="M72" s="3338"/>
      <c r="N72" s="1289">
        <f ca="1">D66</f>
        <v>1670</v>
      </c>
      <c r="O72" s="1841" t="str">
        <f>E66</f>
        <v>销售额×税（费）率</v>
      </c>
      <c r="P72" s="1290">
        <f>F66</f>
        <v>5.5000000000000007E-2</v>
      </c>
      <c r="Q72" s="2010"/>
      <c r="R72" s="2010"/>
      <c r="S72" s="2010"/>
      <c r="T72" s="2010"/>
      <c r="U72" s="2010"/>
      <c r="V72" s="2010"/>
    </row>
    <row r="73" spans="1:22" ht="24" customHeight="1">
      <c r="A73" s="3364" t="s">
        <v>411</v>
      </c>
      <c r="B73" s="3365"/>
      <c r="C73" s="3365"/>
      <c r="D73" s="360">
        <f>IF(H73="个人住宅",0,ROUND(D63*I73,0))</f>
        <v>0</v>
      </c>
      <c r="E73" s="17" t="s">
        <v>412</v>
      </c>
      <c r="F73" s="358" t="str">
        <f>IF(H73="正常",I73,"免征")</f>
        <v>免征</v>
      </c>
      <c r="G73" s="359"/>
      <c r="H73" s="190" t="s">
        <v>2451</v>
      </c>
      <c r="I73" s="358">
        <f>'数据-取费表'!B49</f>
        <v>5.0000000000000001E-4</v>
      </c>
      <c r="J73" s="2017"/>
      <c r="K73" s="1958">
        <v>2</v>
      </c>
      <c r="L73" s="3338" t="s">
        <v>410</v>
      </c>
      <c r="M73" s="3338"/>
      <c r="N73" s="1289">
        <f t="shared" ref="N73:P74" si="1">D73</f>
        <v>0</v>
      </c>
      <c r="O73" s="1841" t="str">
        <f t="shared" si="1"/>
        <v>销售额×税（费）率</v>
      </c>
      <c r="P73" s="1290" t="str">
        <f t="shared" si="1"/>
        <v>免征</v>
      </c>
      <c r="Q73" s="2010"/>
      <c r="R73" s="2010"/>
      <c r="S73" s="2010"/>
      <c r="T73" s="2010"/>
      <c r="U73" s="2010"/>
      <c r="V73" s="2010"/>
    </row>
    <row r="74" spans="1:22" ht="24.75">
      <c r="A74" s="3364" t="s">
        <v>415</v>
      </c>
      <c r="B74" s="3365"/>
      <c r="C74" s="3365"/>
      <c r="D74" s="360">
        <f ca="1">IF(H74="个人住宅",D75,D76)</f>
        <v>17423</v>
      </c>
      <c r="E74" s="17" t="s">
        <v>416</v>
      </c>
      <c r="F74" s="358" t="str">
        <f>IF(H74="正常",F76,"免征")</f>
        <v>——</v>
      </c>
      <c r="G74" s="980" t="s">
        <v>417</v>
      </c>
      <c r="H74" s="361" t="s">
        <v>413</v>
      </c>
      <c r="I74" s="41"/>
      <c r="J74" s="2017"/>
      <c r="K74" s="1958">
        <v>3</v>
      </c>
      <c r="L74" s="3338" t="s">
        <v>414</v>
      </c>
      <c r="M74" s="3338"/>
      <c r="N74" s="1289">
        <f t="shared" ca="1" si="1"/>
        <v>17423</v>
      </c>
      <c r="O74" s="1841" t="str">
        <f t="shared" si="1"/>
        <v>增值额×税（费）率</v>
      </c>
      <c r="P74" s="1292" t="str">
        <f t="shared" si="1"/>
        <v>——</v>
      </c>
      <c r="Q74" s="2010"/>
      <c r="R74" s="2010"/>
      <c r="S74" s="2010"/>
      <c r="T74" s="2010"/>
      <c r="U74" s="2010"/>
      <c r="V74" s="2010"/>
    </row>
    <row r="75" spans="1:22" ht="24">
      <c r="A75" s="357" t="s">
        <v>418</v>
      </c>
      <c r="B75" s="3345" t="s">
        <v>419</v>
      </c>
      <c r="C75" s="3346"/>
      <c r="D75" s="362">
        <v>0</v>
      </c>
      <c r="E75" s="40" t="s">
        <v>420</v>
      </c>
      <c r="F75" s="363"/>
      <c r="G75" s="359"/>
      <c r="H75" s="41"/>
      <c r="I75" s="41"/>
      <c r="J75" s="2017"/>
      <c r="K75" s="2998">
        <f>IF(H77="非个人房产","",4)</f>
        <v>4</v>
      </c>
      <c r="L75" s="3338" t="str">
        <f>IF(H77="非个人房产","——","个人所得税")</f>
        <v>个人所得税</v>
      </c>
      <c r="M75" s="3338"/>
      <c r="N75" s="1293">
        <f ca="1">D77</f>
        <v>319</v>
      </c>
      <c r="O75" s="1854" t="str">
        <f>E77</f>
        <v>销售额×税（费）率</v>
      </c>
      <c r="P75" s="1294">
        <f>F77</f>
        <v>0.01</v>
      </c>
      <c r="Q75" s="2010"/>
      <c r="R75" s="2010"/>
      <c r="S75" s="2010"/>
      <c r="T75" s="2010"/>
      <c r="U75" s="2010"/>
      <c r="V75" s="2010"/>
    </row>
    <row r="76" spans="1:22" ht="24.75">
      <c r="A76" s="357" t="s">
        <v>396</v>
      </c>
      <c r="B76" s="3345" t="s">
        <v>422</v>
      </c>
      <c r="C76" s="3387"/>
      <c r="D76" s="360">
        <f ca="1">IF(H76="转让取得",C99,C115)</f>
        <v>17423</v>
      </c>
      <c r="E76" s="17" t="s">
        <v>423</v>
      </c>
      <c r="F76" s="52" t="s">
        <v>21</v>
      </c>
      <c r="G76" s="359"/>
      <c r="H76" s="361" t="s">
        <v>424</v>
      </c>
      <c r="I76" s="41"/>
      <c r="J76" s="2017"/>
      <c r="K76" s="2998" t="str">
        <f>IF(项目基本情况!K6="上海银行",IF(K75="",4,K75+1),"")</f>
        <v/>
      </c>
      <c r="L76" s="3326" t="str">
        <f>IF(项目基本情况!K6="上海银行","其他处置费用","")</f>
        <v/>
      </c>
      <c r="M76" s="3327"/>
      <c r="N76" s="1289" t="str">
        <f>IF(项目基本情况!K6="上海银行",N89,"")</f>
        <v/>
      </c>
      <c r="O76" s="3328" t="str">
        <f>IF(项目基本情况!K6="上海银行","包含处置中涉及的律师、诉讼、拍卖、评估等费用","")</f>
        <v/>
      </c>
      <c r="P76" s="3329"/>
      <c r="Q76" s="2010"/>
      <c r="R76" s="2010"/>
      <c r="S76" s="2010"/>
      <c r="T76" s="2010"/>
      <c r="U76" s="2010"/>
      <c r="V76" s="2010"/>
    </row>
    <row r="77" spans="1:22" ht="26.25" thickBot="1">
      <c r="A77" s="3356" t="s">
        <v>426</v>
      </c>
      <c r="B77" s="3357"/>
      <c r="C77" s="3357"/>
      <c r="D77" s="364">
        <f ca="1">IF(H77="非个人房产","——",IF(H77="个人住宅",0,ROUND(D63*I77,0)))</f>
        <v>319</v>
      </c>
      <c r="E77" s="365" t="str">
        <f>IF(H77="非个人房产","——","销售额×税（费）率")</f>
        <v>销售额×税（费）率</v>
      </c>
      <c r="F77" s="366">
        <f>IF(H77="非个人房产","——",IF(H77="个人住宅","免征",I77))</f>
        <v>0.01</v>
      </c>
      <c r="G77" s="981" t="s">
        <v>417</v>
      </c>
      <c r="H77" s="361" t="s">
        <v>2879</v>
      </c>
      <c r="I77" s="367">
        <v>0.01</v>
      </c>
      <c r="J77" s="2017"/>
      <c r="K77" s="3352">
        <f>IF(AND(K75="",K76=""),4,IF(项目基本情况!K6="上海银行",K76+1,K75+1))</f>
        <v>5</v>
      </c>
      <c r="L77" s="3338" t="s">
        <v>2880</v>
      </c>
      <c r="M77" s="3004" t="s">
        <v>421</v>
      </c>
      <c r="N77" s="1295"/>
      <c r="O77" s="1296">
        <f ca="1">SUMIF(N72:N76,"&lt;9e307")</f>
        <v>19412</v>
      </c>
      <c r="P77" s="1297"/>
      <c r="Q77" s="3002">
        <f ca="1">O77/N69</f>
        <v>0.3652304797742239</v>
      </c>
      <c r="R77" s="2010"/>
      <c r="S77" s="2010"/>
      <c r="T77" s="2010"/>
      <c r="U77" s="2010"/>
      <c r="V77" s="2010"/>
    </row>
    <row r="78" spans="1:22" ht="12" customHeight="1">
      <c r="A78" s="1298"/>
      <c r="B78" s="309"/>
      <c r="C78" s="309"/>
      <c r="D78" s="309"/>
      <c r="E78" s="41"/>
      <c r="F78" s="41"/>
      <c r="G78" s="41"/>
      <c r="H78" s="1000"/>
      <c r="I78" s="309"/>
      <c r="J78" s="2017"/>
      <c r="K78" s="3352"/>
      <c r="L78" s="3338"/>
      <c r="M78" s="3004" t="s">
        <v>425</v>
      </c>
      <c r="N78" s="1295"/>
      <c r="O78" s="1296" t="str">
        <f ca="1">NUMBERSTRING(INT(O77*10000),2)&amp;"元整"</f>
        <v>壹亿玖仟肆佰壹拾贰万元整</v>
      </c>
      <c r="P78" s="1297"/>
      <c r="Q78" s="2010"/>
      <c r="R78" s="2010"/>
      <c r="S78" s="2010"/>
      <c r="T78" s="2010"/>
      <c r="U78" s="2010"/>
      <c r="V78" s="2010"/>
    </row>
    <row r="79" spans="1:22" ht="13.5" thickBot="1">
      <c r="A79" s="3342" t="s">
        <v>427</v>
      </c>
      <c r="B79" s="3342"/>
      <c r="C79" s="3342"/>
      <c r="D79" s="3342"/>
      <c r="E79" s="3342"/>
      <c r="F79" s="41"/>
      <c r="G79" s="41"/>
      <c r="H79" s="1000"/>
      <c r="I79" s="309"/>
      <c r="J79" s="2017"/>
      <c r="K79" s="3336">
        <f>K77+1</f>
        <v>6</v>
      </c>
      <c r="L79" s="3338" t="s">
        <v>2881</v>
      </c>
      <c r="M79" s="3004" t="s">
        <v>421</v>
      </c>
      <c r="N79" s="1295"/>
      <c r="O79" s="1296">
        <f ca="1">N69-O77</f>
        <v>33738</v>
      </c>
      <c r="P79" s="1297"/>
      <c r="Q79" s="2010"/>
      <c r="R79" s="2010"/>
      <c r="S79" s="2010"/>
      <c r="T79" s="2010"/>
      <c r="U79" s="2010"/>
      <c r="V79" s="2010"/>
    </row>
    <row r="80" spans="1:22" ht="25.5">
      <c r="A80" s="3343" t="s">
        <v>428</v>
      </c>
      <c r="B80" s="3344"/>
      <c r="C80" s="991"/>
      <c r="D80" s="991" t="s">
        <v>429</v>
      </c>
      <c r="E80" s="368" t="s">
        <v>430</v>
      </c>
      <c r="F80" s="41"/>
      <c r="G80" s="41"/>
      <c r="H80" s="1000"/>
      <c r="I80" s="309"/>
      <c r="J80" s="2010"/>
      <c r="K80" s="3337"/>
      <c r="L80" s="3338"/>
      <c r="M80" s="3004" t="s">
        <v>425</v>
      </c>
      <c r="N80" s="1295"/>
      <c r="O80" s="1296" t="str">
        <f ca="1">NUMBERSTRING(INT(O79*10000),2)&amp;"元整"</f>
        <v>叁亿叁仟柒佰叁拾捌万元整</v>
      </c>
      <c r="P80" s="1297"/>
      <c r="Q80" s="2010"/>
      <c r="R80" s="2010"/>
      <c r="S80" s="2010"/>
      <c r="T80" s="2010"/>
      <c r="U80" s="2010"/>
      <c r="V80" s="2010"/>
    </row>
    <row r="81" spans="1:26" ht="13.5" thickBot="1">
      <c r="A81" s="379" t="s">
        <v>1822</v>
      </c>
      <c r="B81" s="369" t="s">
        <v>431</v>
      </c>
      <c r="C81" s="370">
        <f ca="1">ROUND((C82+C83)/(1+'数据-取费表'!C42),0)</f>
        <v>30371</v>
      </c>
      <c r="D81" s="371"/>
      <c r="E81" s="372"/>
      <c r="F81" s="41"/>
      <c r="G81" s="41"/>
      <c r="H81" s="1000"/>
      <c r="I81" s="309"/>
      <c r="J81" s="2010"/>
      <c r="K81" s="2998">
        <f>K79+1</f>
        <v>7</v>
      </c>
      <c r="L81" s="3350" t="s">
        <v>2882</v>
      </c>
      <c r="M81" s="3351"/>
      <c r="N81" s="1299"/>
      <c r="O81" s="1300">
        <f ca="1">ROUND(O79*10000/'数据-汇总表'!E3,0)</f>
        <v>380</v>
      </c>
      <c r="P81" s="1301"/>
      <c r="Q81" s="2010"/>
      <c r="R81" s="2010"/>
      <c r="S81" s="2010"/>
      <c r="T81" s="2010"/>
      <c r="U81" s="2010"/>
      <c r="V81" s="2010"/>
    </row>
    <row r="82" spans="1:26" ht="13.5" thickTop="1">
      <c r="A82" s="373" t="s">
        <v>1823</v>
      </c>
      <c r="B82" s="374" t="s">
        <v>432</v>
      </c>
      <c r="C82" s="375">
        <f ca="1">D63</f>
        <v>31890</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1"/>
      <c r="G83" s="41"/>
      <c r="H83" s="1000"/>
      <c r="I83" s="309"/>
      <c r="J83" s="2010"/>
      <c r="K83" s="3325" t="s">
        <v>2869</v>
      </c>
      <c r="L83" s="3010" t="s">
        <v>2870</v>
      </c>
      <c r="M83" s="3000">
        <f ca="1">IF(N69&gt;10000,N69*0.5%,IF(AND(N69&gt;1000,N69&lt;=10000),N69*1%,IF(AND(N69&gt;100,N69&lt;=1000),N69*3%,IF(AND(N69&gt;10,N69&lt;=100),N69*5%,N69*8%))))</f>
        <v>265.75</v>
      </c>
      <c r="N83" s="52">
        <f ca="1">ROUND(M83,1)</f>
        <v>265.8</v>
      </c>
      <c r="O83" s="3003"/>
      <c r="P83" s="2010"/>
      <c r="Q83" s="2010"/>
      <c r="R83" s="2010"/>
      <c r="S83" s="2010"/>
      <c r="T83" s="2010"/>
      <c r="U83" s="2010"/>
      <c r="V83" s="2010"/>
    </row>
    <row r="84" spans="1:26" ht="12.75">
      <c r="A84" s="379" t="s">
        <v>1825</v>
      </c>
      <c r="B84" s="380" t="s">
        <v>434</v>
      </c>
      <c r="C84" s="381">
        <v>2000</v>
      </c>
      <c r="D84" s="382" t="s">
        <v>19</v>
      </c>
      <c r="E84" s="3043" t="s">
        <v>2928</v>
      </c>
      <c r="F84" s="41"/>
      <c r="G84" s="41"/>
      <c r="H84" s="1000"/>
      <c r="I84" s="309"/>
      <c r="J84" s="2010"/>
      <c r="K84" s="3325"/>
      <c r="L84" s="3010" t="s">
        <v>2871</v>
      </c>
      <c r="M84" s="3000">
        <f ca="1">IF(N69&gt;2000,N69*0.5%,IF(AND(N69&gt;1000,N69&lt;=2000),N69*0.6%,IF(AND(N69&gt;500,N69&lt;=1000),N69*0.7%,IF(AND(N69&gt;200,N69&lt;=500),N69*0.8%,IF(AND(N69&gt;100,N69&lt;=200),N69*0.9%,IF(AND(N69&gt;50,N69&lt;=100),N69*1%,IF(AND(N69&gt;20,N69&lt;=50),N69*1.5%,IF(AND(N69&gt;10,N69&lt;=20),N69*2%,IF(AND(N69&gt;1,N69&lt;=10),N69*2.5%)))))))))</f>
        <v>265.75</v>
      </c>
      <c r="N84" s="52">
        <f t="shared" ref="N84:N85" ca="1" si="2">ROUND(M84,1)</f>
        <v>265.8</v>
      </c>
      <c r="O84" s="2010" t="s">
        <v>2872</v>
      </c>
      <c r="P84" s="2010"/>
      <c r="Q84" s="2010"/>
      <c r="R84" s="2010"/>
      <c r="S84" s="2010"/>
      <c r="T84" s="2010"/>
      <c r="U84" s="2010"/>
      <c r="V84" s="2010"/>
    </row>
    <row r="85" spans="1:26" ht="12.75">
      <c r="A85" s="379" t="s">
        <v>1826</v>
      </c>
      <c r="B85" s="380" t="s">
        <v>435</v>
      </c>
      <c r="C85" s="383">
        <f ca="1">C81-C84</f>
        <v>28371</v>
      </c>
      <c r="D85" s="376" t="s">
        <v>19</v>
      </c>
      <c r="E85" s="377"/>
      <c r="F85" s="41"/>
      <c r="G85" s="41"/>
      <c r="H85" s="1000"/>
      <c r="I85" s="309"/>
      <c r="J85" s="2010"/>
      <c r="K85" s="3325"/>
      <c r="L85" s="3010" t="s">
        <v>2873</v>
      </c>
      <c r="M85" s="3000">
        <f ca="1">IF(N69&gt;1000,N69*0.1%,IF(AND(N69&gt;500,N69&lt;=1000),N69*0.5%,IF(AND(N69&gt;50,N69&lt;=500),N69*1%,IF(AND(N69&gt;1,N69&lt;=50),N69*1.5%))))</f>
        <v>53.15</v>
      </c>
      <c r="N85" s="52">
        <f t="shared" ca="1" si="2"/>
        <v>53.2</v>
      </c>
      <c r="O85" s="2010" t="s">
        <v>2872</v>
      </c>
      <c r="P85" s="2010"/>
      <c r="Q85" s="2010"/>
      <c r="R85" s="2010"/>
      <c r="S85" s="2010"/>
      <c r="T85" s="2010"/>
      <c r="U85" s="2010"/>
      <c r="V85" s="2010"/>
    </row>
    <row r="86" spans="1:26" ht="13.5" thickBot="1">
      <c r="A86" s="384" t="s">
        <v>1827</v>
      </c>
      <c r="B86" s="385" t="s">
        <v>436</v>
      </c>
      <c r="C86" s="386">
        <f ca="1">IF(C85&lt;=0,0,ROUND(C85*D86,0))</f>
        <v>1560</v>
      </c>
      <c r="D86" s="387">
        <f>'数据-取费表'!B41</f>
        <v>5.5000000000000007E-2</v>
      </c>
      <c r="E86" s="388"/>
      <c r="F86" s="41"/>
      <c r="G86" s="41"/>
      <c r="H86" s="1000"/>
      <c r="I86" s="309"/>
      <c r="J86" s="2010"/>
      <c r="K86" s="3325"/>
      <c r="L86" s="3010" t="s">
        <v>2874</v>
      </c>
      <c r="M86" s="3000">
        <f ca="1">N69*0.5%</f>
        <v>265.75</v>
      </c>
      <c r="N86" s="52">
        <f ca="1">IF(M86&gt;0.5,0.5,ROUND(M86,0))</f>
        <v>0.5</v>
      </c>
      <c r="O86" s="2010" t="s">
        <v>2875</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25"/>
      <c r="L87" s="3010" t="s">
        <v>2876</v>
      </c>
      <c r="M87" s="3000">
        <f ca="1">IF(N69&gt;=10000,(8.25+(N69-10000)*0.01%),IF(AND(N69&gt;=8000,N69&lt;10000),(7.85+(N69-8000)*0.02%),IF(AND(N69&gt;=5000,N69&lt;8000),(6.65+(N69-5000)*0.04%),IF(AND(N69&gt;=2000,N69&lt;5000),(4.25+(PN69-2000)*0.08%),IF(AND(N69&gt;=1000,N69&lt;2000),(2.75+(N69-1000)*0.15%),IF(AND(N69&gt;=100,N69&lt;1000),(0.5+(N69-100)*0.25%),IF(AND(N69&gt;0,N69&lt;100),N69*0.5%)))))))</f>
        <v>12.565000000000001</v>
      </c>
      <c r="N87" s="52">
        <f ca="1">ROUND(M87*0.9,1)</f>
        <v>11.3</v>
      </c>
      <c r="O87" s="3003"/>
      <c r="P87" s="309"/>
      <c r="Q87" s="2010"/>
      <c r="R87" s="2010"/>
      <c r="S87" s="2010"/>
      <c r="T87" s="2010"/>
      <c r="U87" s="2010"/>
      <c r="V87" s="2010"/>
      <c r="W87" s="290"/>
      <c r="X87" s="290"/>
      <c r="Y87" s="290"/>
      <c r="Z87" s="290"/>
    </row>
    <row r="88" spans="1:26" s="1307" customFormat="1" ht="15" thickBot="1">
      <c r="A88" s="3379" t="s">
        <v>437</v>
      </c>
      <c r="B88" s="3380"/>
      <c r="C88" s="3380"/>
      <c r="D88" s="3380"/>
      <c r="E88" s="3380"/>
      <c r="F88" s="3380"/>
      <c r="G88" s="3380"/>
      <c r="H88" s="3380"/>
      <c r="I88" s="1308"/>
      <c r="J88" s="2018"/>
      <c r="K88" s="3325"/>
      <c r="L88" s="3010" t="s">
        <v>2877</v>
      </c>
      <c r="M88" s="3000">
        <f ca="1">IF(N69&gt;10000,N69*0.5%,IF(AND(N69&gt;5000,N69&lt;=10000),N69*1%,IF(AND(N69&gt;1000,N69&lt;=5000),N69*2%,IF(AND(N69&gt;200,N69&lt;=1000),N69*3%,N69*5%))))</f>
        <v>265.75</v>
      </c>
      <c r="N88" s="52">
        <f ca="1">ROUND(M88,1)</f>
        <v>265.8</v>
      </c>
      <c r="O88" s="3003"/>
      <c r="P88" s="11"/>
      <c r="Q88" s="2015"/>
      <c r="R88" s="2015"/>
      <c r="S88" s="2015"/>
      <c r="T88" s="2015"/>
      <c r="U88" s="2015"/>
      <c r="V88" s="2015"/>
      <c r="W88" s="2019"/>
      <c r="X88" s="2019"/>
      <c r="Y88" s="2019"/>
      <c r="Z88" s="2019"/>
    </row>
    <row r="89" spans="1:26" s="1307" customFormat="1" ht="14.25">
      <c r="A89" s="3343" t="s">
        <v>428</v>
      </c>
      <c r="B89" s="3344"/>
      <c r="C89" s="991"/>
      <c r="D89" s="991" t="s">
        <v>429</v>
      </c>
      <c r="E89" s="389" t="s">
        <v>438</v>
      </c>
      <c r="F89" s="390"/>
      <c r="G89" s="390"/>
      <c r="H89" s="391"/>
      <c r="I89" s="1309"/>
      <c r="J89" s="2020"/>
      <c r="K89" s="3325"/>
      <c r="L89" s="3010" t="s">
        <v>27</v>
      </c>
      <c r="M89" s="3001"/>
      <c r="N89" s="52">
        <f ca="1">ROUND(SUM(N83:N88),0)</f>
        <v>862</v>
      </c>
      <c r="O89" s="3011">
        <f ca="1">N89/N69</f>
        <v>1.6218250235183442E-2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30371</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2713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76" t="s">
        <v>447</v>
      </c>
      <c r="F94" s="3377"/>
      <c r="G94" s="3377"/>
      <c r="H94" s="3378"/>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5" t="s">
        <v>449</v>
      </c>
      <c r="F95" s="401"/>
      <c r="G95" s="402" t="s">
        <v>2425</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152</v>
      </c>
      <c r="D96" s="404">
        <f>'数据-取费表'!B43</f>
        <v>5.000000000000001E-3</v>
      </c>
      <c r="E96" s="3366" t="s">
        <v>2424</v>
      </c>
      <c r="F96" s="3367"/>
      <c r="G96" s="3367"/>
      <c r="H96" s="3368"/>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27658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10.194618503501658</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15645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79" t="s">
        <v>454</v>
      </c>
      <c r="B101" s="3380"/>
      <c r="C101" s="3380"/>
      <c r="D101" s="3380"/>
      <c r="E101" s="3380"/>
      <c r="F101" s="3380"/>
      <c r="G101" s="3380"/>
      <c r="H101" s="3380"/>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3" t="s">
        <v>428</v>
      </c>
      <c r="B102" s="3344"/>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30371</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842</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69" t="s">
        <v>462</v>
      </c>
      <c r="F109" s="3367"/>
      <c r="G109" s="3367"/>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69" t="s">
        <v>464</v>
      </c>
      <c r="F110" s="3367"/>
      <c r="G110" s="3367"/>
      <c r="H110" s="3368"/>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152</v>
      </c>
      <c r="D111" s="404">
        <f>'数据-取费表'!B43</f>
        <v>5.000000000000001E-3</v>
      </c>
      <c r="E111" s="3366" t="s">
        <v>2424</v>
      </c>
      <c r="F111" s="3367"/>
      <c r="G111" s="3367"/>
      <c r="H111" s="3368"/>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69" t="s">
        <v>2449</v>
      </c>
      <c r="F112" s="3367"/>
      <c r="G112" s="3367"/>
      <c r="H112" s="3368"/>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29529</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35.070071258907362</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17423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90" zoomScaleNormal="95" zoomScaleSheetLayoutView="90" workbookViewId="0">
      <selection activeCell="H23" sqref="H23"/>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79558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895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4028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269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24" t="s">
        <v>522</v>
      </c>
      <c r="D6" s="3425"/>
      <c r="E6" s="3424" t="s">
        <v>523</v>
      </c>
      <c r="F6" s="3425"/>
      <c r="G6" s="3424" t="s">
        <v>524</v>
      </c>
      <c r="H6" s="3425"/>
      <c r="I6" s="3424" t="s">
        <v>525</v>
      </c>
      <c r="J6" s="3425"/>
      <c r="K6" s="512" t="s">
        <v>526</v>
      </c>
      <c r="L6" s="2115"/>
      <c r="M6" s="2114"/>
      <c r="N6" s="2114"/>
      <c r="O6" s="2116"/>
      <c r="P6" s="3426" t="s">
        <v>527</v>
      </c>
      <c r="Q6" s="3427"/>
      <c r="R6" s="3412" t="s">
        <v>523</v>
      </c>
      <c r="S6" s="3413"/>
      <c r="T6" s="3412" t="s">
        <v>524</v>
      </c>
      <c r="U6" s="3413"/>
      <c r="V6" s="3432" t="s">
        <v>525</v>
      </c>
      <c r="W6" s="3432"/>
      <c r="X6" s="1550"/>
      <c r="Y6" s="3412" t="s">
        <v>527</v>
      </c>
      <c r="Z6" s="3413"/>
      <c r="AA6" s="3407" t="s">
        <v>523</v>
      </c>
      <c r="AB6" s="3408" t="s">
        <v>524</v>
      </c>
      <c r="AC6" s="3407" t="s">
        <v>525</v>
      </c>
    </row>
    <row r="7" spans="1:30" ht="43.5" customHeight="1">
      <c r="A7" s="513"/>
      <c r="B7" s="514"/>
      <c r="C7" s="3435" t="s">
        <v>2917</v>
      </c>
      <c r="D7" s="3436"/>
      <c r="E7" s="3435" t="str">
        <f>土地案例!A6</f>
        <v>易俗河镇杨柳路以东、天马路以南、水竹学校以西地块</v>
      </c>
      <c r="F7" s="3436"/>
      <c r="G7" s="3435" t="str">
        <f>土地案例!A8</f>
        <v>湘潭县易俗河镇大鹏路以北,雪松路以西,紫薇路以东。</v>
      </c>
      <c r="H7" s="3436"/>
      <c r="I7" s="3435" t="str">
        <f>土地案例!A10</f>
        <v>易俗河镇大鹏路以南,洛口大道以西用地</v>
      </c>
      <c r="J7" s="3436"/>
      <c r="K7" s="512"/>
      <c r="L7" s="2115"/>
      <c r="M7" s="2114"/>
      <c r="N7" s="2114"/>
      <c r="O7" s="2116"/>
      <c r="P7" s="3428"/>
      <c r="Q7" s="3429"/>
      <c r="R7" s="3414"/>
      <c r="S7" s="3415"/>
      <c r="T7" s="3414"/>
      <c r="U7" s="3415"/>
      <c r="V7" s="3432"/>
      <c r="W7" s="3432"/>
      <c r="X7" s="1550"/>
      <c r="Y7" s="3414"/>
      <c r="Z7" s="3415"/>
      <c r="AA7" s="3408"/>
      <c r="AB7" s="3408"/>
      <c r="AC7" s="3408"/>
    </row>
    <row r="8" spans="1:30" ht="21" thickBot="1">
      <c r="A8" s="513"/>
      <c r="B8" s="514"/>
      <c r="C8" s="3437" t="s">
        <v>2921</v>
      </c>
      <c r="D8" s="3438"/>
      <c r="E8" s="3437" t="s">
        <v>2921</v>
      </c>
      <c r="F8" s="3438"/>
      <c r="G8" s="3433" t="s">
        <v>2921</v>
      </c>
      <c r="H8" s="3434"/>
      <c r="I8" s="3433" t="s">
        <v>2921</v>
      </c>
      <c r="J8" s="3434"/>
      <c r="K8" s="512" t="s">
        <v>528</v>
      </c>
      <c r="L8" s="2115"/>
      <c r="M8" s="2114"/>
      <c r="N8" s="2114"/>
      <c r="O8" s="2116"/>
      <c r="P8" s="3430"/>
      <c r="Q8" s="3431"/>
      <c r="R8" s="3414"/>
      <c r="S8" s="3415"/>
      <c r="T8" s="3416"/>
      <c r="U8" s="3417"/>
      <c r="V8" s="3432"/>
      <c r="W8" s="3432"/>
      <c r="X8" s="1550"/>
      <c r="Y8" s="3416"/>
      <c r="Z8" s="3417"/>
      <c r="AA8" s="3409"/>
      <c r="AB8" s="3409"/>
      <c r="AC8" s="3409"/>
    </row>
    <row r="9" spans="1:30" s="1213" customFormat="1" ht="21" thickBot="1">
      <c r="A9" s="2862"/>
      <c r="B9" s="2869" t="s">
        <v>529</v>
      </c>
      <c r="C9" s="2861">
        <f>'数据-取费表'!B2</f>
        <v>43805</v>
      </c>
      <c r="D9" s="518">
        <v>100</v>
      </c>
      <c r="E9" s="519" t="str">
        <f>土地案例!H6</f>
        <v>2019-05-08</v>
      </c>
      <c r="F9" s="520">
        <f>SUMIF(72:72,YEAR(E9)&amp;"-"&amp;INT((MONTH(E9)+2)/3),73:73)</f>
        <v>99</v>
      </c>
      <c r="G9" s="521" t="str">
        <f>土地案例!H8</f>
        <v>2018-11-22</v>
      </c>
      <c r="H9" s="518">
        <f>SUMIF(72:72,YEAR(G9)&amp;"-"&amp;INT((MONTH(G9)+2)/3),73:73)</f>
        <v>98</v>
      </c>
      <c r="I9" s="521" t="str">
        <f>土地案例!H10</f>
        <v>2018-08-10</v>
      </c>
      <c r="J9" s="518">
        <f>SUMIF(72:72,YEAR(I9)&amp;"-"&amp;INT((MONTH(I9)+2)/3),73:73)</f>
        <v>97.5</v>
      </c>
      <c r="K9" s="522"/>
      <c r="L9" s="2117"/>
      <c r="M9" s="2114"/>
      <c r="N9" s="2114"/>
      <c r="O9" s="2118"/>
      <c r="P9" s="3410" t="s">
        <v>530</v>
      </c>
      <c r="Q9" s="3419"/>
      <c r="R9" s="1551" t="s">
        <v>8</v>
      </c>
      <c r="S9" s="1552">
        <f t="shared" ref="S9:S17" si="0">F9</f>
        <v>99</v>
      </c>
      <c r="T9" s="1551" t="s">
        <v>8</v>
      </c>
      <c r="U9" s="1552">
        <f t="shared" ref="U9:U17" si="1">H9</f>
        <v>98</v>
      </c>
      <c r="V9" s="1551" t="s">
        <v>8</v>
      </c>
      <c r="W9" s="1552">
        <f t="shared" ref="W9:W17" si="2">J9</f>
        <v>97.5</v>
      </c>
      <c r="X9" s="1553"/>
      <c r="Y9" s="3410" t="s">
        <v>530</v>
      </c>
      <c r="Z9" s="3411"/>
      <c r="AA9" s="1554">
        <f>D9/F9</f>
        <v>1.0101010101010102</v>
      </c>
      <c r="AB9" s="1554">
        <f>D9/H9</f>
        <v>1.0204081632653061</v>
      </c>
      <c r="AC9" s="1554">
        <f>D9/J9</f>
        <v>1.0256410256410255</v>
      </c>
    </row>
    <row r="10" spans="1:30" s="1213" customFormat="1" ht="21" thickBot="1">
      <c r="A10" s="2863"/>
      <c r="B10" s="2870" t="s">
        <v>531</v>
      </c>
      <c r="C10" s="854" t="s">
        <v>532</v>
      </c>
      <c r="D10" s="518">
        <v>100</v>
      </c>
      <c r="E10" s="523" t="s">
        <v>3012</v>
      </c>
      <c r="F10" s="520">
        <f>SUMIF(75:75,E10,76:76)-SUMIF(75:75,C10,76:76)+100</f>
        <v>100</v>
      </c>
      <c r="G10" s="523" t="s">
        <v>3012</v>
      </c>
      <c r="H10" s="518">
        <f>SUMIF(75:75,G10,76:76)-SUMIF(75:75,C10,76:76)+100</f>
        <v>100</v>
      </c>
      <c r="I10" s="523" t="s">
        <v>3012</v>
      </c>
      <c r="J10" s="518">
        <f>SUMIF(75:75,I10,76:76)-SUMIF(75:75,C10,76:76)+100</f>
        <v>100</v>
      </c>
      <c r="K10" s="522"/>
      <c r="L10" s="2117"/>
      <c r="M10" s="2114"/>
      <c r="N10" s="2114"/>
      <c r="O10" s="2118"/>
      <c r="P10" s="3410" t="s">
        <v>533</v>
      </c>
      <c r="Q10" s="3411"/>
      <c r="R10" s="1551" t="s">
        <v>8</v>
      </c>
      <c r="S10" s="1552">
        <f t="shared" si="0"/>
        <v>100</v>
      </c>
      <c r="T10" s="1551" t="s">
        <v>8</v>
      </c>
      <c r="U10" s="1552">
        <f t="shared" si="1"/>
        <v>100</v>
      </c>
      <c r="V10" s="1551" t="s">
        <v>8</v>
      </c>
      <c r="W10" s="1552">
        <f t="shared" si="2"/>
        <v>100</v>
      </c>
      <c r="X10" s="1553"/>
      <c r="Y10" s="3410" t="s">
        <v>533</v>
      </c>
      <c r="Z10" s="3411"/>
      <c r="AA10" s="1554">
        <f t="shared" ref="AA10:AA47" si="3">D10/F10</f>
        <v>1</v>
      </c>
      <c r="AB10" s="1554">
        <f t="shared" ref="AB10:AB47" si="4">D10/H10</f>
        <v>1</v>
      </c>
      <c r="AC10" s="1554">
        <f t="shared" ref="AC10:AC47" si="5">D10/J10</f>
        <v>1</v>
      </c>
    </row>
    <row r="11" spans="1:30" s="1213" customFormat="1" ht="20.25">
      <c r="A11" s="2864"/>
      <c r="B11" s="2871" t="s">
        <v>2751</v>
      </c>
      <c r="C11" s="3212" t="s">
        <v>3165</v>
      </c>
      <c r="D11" s="252">
        <v>100</v>
      </c>
      <c r="E11" s="3212" t="s">
        <v>3165</v>
      </c>
      <c r="F11" s="252">
        <f>SUMIF(77:77,E11,78:78)-SUMIF(77:77,C11,78:78)+100</f>
        <v>100</v>
      </c>
      <c r="G11" s="3212" t="s">
        <v>3165</v>
      </c>
      <c r="H11" s="252">
        <f>SUMIF(77:77,G11,78:78)-SUMIF(77:77,C11,78:78)+100</f>
        <v>100</v>
      </c>
      <c r="I11" s="3212" t="s">
        <v>3165</v>
      </c>
      <c r="J11" s="252">
        <f>SUMIF(77:77,I11,78:78)-SUMIF(77:77,C11,78:78)+100</f>
        <v>100</v>
      </c>
      <c r="K11" s="522"/>
      <c r="L11" s="2117"/>
      <c r="M11" s="2114"/>
      <c r="N11" s="2114"/>
      <c r="O11" s="2119"/>
      <c r="P11" s="3418" t="s">
        <v>535</v>
      </c>
      <c r="Q11" s="1144" t="str">
        <f t="shared" ref="Q11:Q17" si="6">B11</f>
        <v>用途</v>
      </c>
      <c r="R11" s="1551" t="s">
        <v>8</v>
      </c>
      <c r="S11" s="1552">
        <f t="shared" si="0"/>
        <v>100</v>
      </c>
      <c r="T11" s="1551" t="s">
        <v>8</v>
      </c>
      <c r="U11" s="1552">
        <f t="shared" si="1"/>
        <v>100</v>
      </c>
      <c r="V11" s="1551" t="s">
        <v>8</v>
      </c>
      <c r="W11" s="1552">
        <f t="shared" si="2"/>
        <v>100</v>
      </c>
      <c r="X11" s="1553"/>
      <c r="Y11" s="3375" t="s">
        <v>536</v>
      </c>
      <c r="Z11" s="1143" t="str">
        <f t="shared" ref="Z11:Z17" si="7">Q11</f>
        <v>用途</v>
      </c>
      <c r="AA11" s="1554">
        <f t="shared" si="3"/>
        <v>1</v>
      </c>
      <c r="AB11" s="1554">
        <f t="shared" si="4"/>
        <v>1</v>
      </c>
      <c r="AC11" s="1554">
        <f t="shared" si="5"/>
        <v>1</v>
      </c>
    </row>
    <row r="12" spans="1:30" s="1331" customFormat="1" ht="27">
      <c r="A12" s="2865"/>
      <c r="B12" s="2870" t="s">
        <v>2752</v>
      </c>
      <c r="C12" s="907"/>
      <c r="D12" s="253">
        <v>100</v>
      </c>
      <c r="E12" s="527"/>
      <c r="F12" s="253">
        <f>ROUND(100/'数据-取费表'!G16,0)</f>
        <v>103</v>
      </c>
      <c r="G12" s="528"/>
      <c r="H12" s="253">
        <f>ROUND(100/'数据-取费表'!G16,0)</f>
        <v>103</v>
      </c>
      <c r="I12" s="528"/>
      <c r="J12" s="253">
        <f>ROUND(100/'数据-取费表'!G16,0)</f>
        <v>103</v>
      </c>
      <c r="K12" s="529"/>
      <c r="L12" s="2120"/>
      <c r="M12" s="2114"/>
      <c r="N12" s="2114"/>
      <c r="O12" s="2121"/>
      <c r="P12" s="3418"/>
      <c r="Q12" s="1144" t="str">
        <f t="shared" si="6"/>
        <v>土地使用年限（年）</v>
      </c>
      <c r="R12" s="1551" t="s">
        <v>8</v>
      </c>
      <c r="S12" s="1552">
        <f t="shared" si="0"/>
        <v>103</v>
      </c>
      <c r="T12" s="1551" t="s">
        <v>8</v>
      </c>
      <c r="U12" s="1552">
        <f t="shared" si="1"/>
        <v>103</v>
      </c>
      <c r="V12" s="1551" t="s">
        <v>8</v>
      </c>
      <c r="W12" s="1552">
        <f t="shared" si="2"/>
        <v>103</v>
      </c>
      <c r="X12" s="1553"/>
      <c r="Y12" s="3375"/>
      <c r="Z12" s="1143" t="str">
        <f t="shared" si="7"/>
        <v>土地使用年限（年）</v>
      </c>
      <c r="AA12" s="1554">
        <f t="shared" si="3"/>
        <v>0.970873786407767</v>
      </c>
      <c r="AB12" s="1554">
        <f t="shared" si="4"/>
        <v>0.970873786407767</v>
      </c>
      <c r="AC12" s="1554">
        <f t="shared" si="5"/>
        <v>0.970873786407767</v>
      </c>
    </row>
    <row r="13" spans="1:30" ht="20.25">
      <c r="A13" s="2866"/>
      <c r="B13" s="2870" t="s">
        <v>2753</v>
      </c>
      <c r="C13" s="532">
        <v>4.5</v>
      </c>
      <c r="D13" s="253">
        <v>100</v>
      </c>
      <c r="E13" s="531">
        <v>3.5</v>
      </c>
      <c r="F13" s="253">
        <f>LOOKUP(E13,82:82,83:83)-LOOKUP(C13,82:82,83:83)+100</f>
        <v>105</v>
      </c>
      <c r="G13" s="532">
        <v>5</v>
      </c>
      <c r="H13" s="253">
        <f>LOOKUP(G13,82:82,83:83)-LOOKUP(C13,82:82,83:83)+100</f>
        <v>95</v>
      </c>
      <c r="I13" s="531">
        <v>2</v>
      </c>
      <c r="J13" s="253">
        <f>LOOKUP(I13,82:82,83:83)-LOOKUP(C13,82:82,83:83)+100</f>
        <v>110</v>
      </c>
      <c r="K13" s="533">
        <v>5</v>
      </c>
      <c r="L13" s="2122"/>
      <c r="M13" s="2114"/>
      <c r="N13" s="2114"/>
      <c r="O13" s="2123"/>
      <c r="P13" s="3418"/>
      <c r="Q13" s="1144" t="str">
        <f t="shared" si="6"/>
        <v>容积率</v>
      </c>
      <c r="R13" s="1551" t="s">
        <v>8</v>
      </c>
      <c r="S13" s="1552">
        <f t="shared" si="0"/>
        <v>105</v>
      </c>
      <c r="T13" s="1551" t="s">
        <v>8</v>
      </c>
      <c r="U13" s="1552">
        <f t="shared" si="1"/>
        <v>95</v>
      </c>
      <c r="V13" s="1551" t="s">
        <v>8</v>
      </c>
      <c r="W13" s="1552">
        <f t="shared" si="2"/>
        <v>110</v>
      </c>
      <c r="X13" s="1553"/>
      <c r="Y13" s="3375"/>
      <c r="Z13" s="1143" t="str">
        <f t="shared" si="7"/>
        <v>容积率</v>
      </c>
      <c r="AA13" s="1554">
        <f t="shared" si="3"/>
        <v>0.95238095238095233</v>
      </c>
      <c r="AB13" s="1554">
        <f t="shared" si="4"/>
        <v>1.0526315789473684</v>
      </c>
      <c r="AC13" s="1554">
        <f t="shared" si="5"/>
        <v>0.90909090909090906</v>
      </c>
    </row>
    <row r="14" spans="1:30" s="1213" customFormat="1" ht="20.25">
      <c r="A14" s="2863"/>
      <c r="B14" s="3206" t="s">
        <v>2754</v>
      </c>
      <c r="C14" s="2859" t="s">
        <v>3089</v>
      </c>
      <c r="D14" s="536">
        <v>100</v>
      </c>
      <c r="E14" s="1368" t="s">
        <v>3089</v>
      </c>
      <c r="F14" s="253">
        <f>SUMIF(84:84,E14,85:85)-SUMIF(84:84,C14,85:85)+100</f>
        <v>100</v>
      </c>
      <c r="G14" s="3196" t="s">
        <v>3089</v>
      </c>
      <c r="H14" s="253">
        <f>SUMIF(84:84,G14,85:85)-SUMIF(84:84,C14,85:85)+100</f>
        <v>100</v>
      </c>
      <c r="I14" s="3197" t="s">
        <v>3089</v>
      </c>
      <c r="J14" s="253">
        <f>SUMIF(84:84,I14,85:85)-SUMIF(84:84,C14,85:85)+100</f>
        <v>100</v>
      </c>
      <c r="K14" s="529"/>
      <c r="L14" s="2117"/>
      <c r="M14" s="2114"/>
      <c r="N14" s="2114"/>
      <c r="O14" s="2119"/>
      <c r="P14" s="3418"/>
      <c r="Q14" s="1144" t="str">
        <f t="shared" si="6"/>
        <v>配建</v>
      </c>
      <c r="R14" s="1551" t="s">
        <v>8</v>
      </c>
      <c r="S14" s="1552">
        <f t="shared" si="0"/>
        <v>100</v>
      </c>
      <c r="T14" s="1551" t="s">
        <v>8</v>
      </c>
      <c r="U14" s="1552">
        <f t="shared" si="1"/>
        <v>100</v>
      </c>
      <c r="V14" s="1551" t="s">
        <v>8</v>
      </c>
      <c r="W14" s="1552">
        <f t="shared" si="2"/>
        <v>100</v>
      </c>
      <c r="X14" s="1553"/>
      <c r="Y14" s="3375"/>
      <c r="Z14" s="1143" t="str">
        <f t="shared" si="7"/>
        <v>配建</v>
      </c>
      <c r="AA14" s="1554">
        <f>D14/F14</f>
        <v>1</v>
      </c>
      <c r="AB14" s="1554">
        <f>D14/H14</f>
        <v>1</v>
      </c>
      <c r="AC14" s="1554">
        <f>D14/J14</f>
        <v>1</v>
      </c>
    </row>
    <row r="15" spans="1:30" ht="20.25" hidden="1">
      <c r="A15" s="2867"/>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18"/>
      <c r="Q15" s="1144">
        <f t="shared" si="6"/>
        <v>111</v>
      </c>
      <c r="R15" s="1551" t="s">
        <v>8</v>
      </c>
      <c r="S15" s="1552">
        <f t="shared" si="0"/>
        <v>100</v>
      </c>
      <c r="T15" s="1551" t="s">
        <v>8</v>
      </c>
      <c r="U15" s="1552">
        <f t="shared" si="1"/>
        <v>100</v>
      </c>
      <c r="V15" s="1551" t="s">
        <v>8</v>
      </c>
      <c r="W15" s="1552">
        <f t="shared" si="2"/>
        <v>100</v>
      </c>
      <c r="X15" s="1553"/>
      <c r="Y15" s="3375"/>
      <c r="Z15" s="1143">
        <f t="shared" si="7"/>
        <v>111</v>
      </c>
      <c r="AA15" s="1554">
        <f>D15/F15</f>
        <v>1</v>
      </c>
      <c r="AB15" s="1554">
        <f>D15/H15</f>
        <v>1</v>
      </c>
      <c r="AC15" s="1554">
        <f>D15/J15</f>
        <v>1</v>
      </c>
    </row>
    <row r="16" spans="1:30" ht="21" hidden="1" thickBot="1">
      <c r="A16" s="2868"/>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18"/>
      <c r="Q16" s="1144">
        <f t="shared" si="6"/>
        <v>111</v>
      </c>
      <c r="R16" s="1551" t="s">
        <v>8</v>
      </c>
      <c r="S16" s="1552">
        <f t="shared" si="0"/>
        <v>100</v>
      </c>
      <c r="T16" s="1551" t="s">
        <v>8</v>
      </c>
      <c r="U16" s="1552">
        <f t="shared" si="1"/>
        <v>100</v>
      </c>
      <c r="V16" s="1551" t="s">
        <v>8</v>
      </c>
      <c r="W16" s="1552">
        <f t="shared" si="2"/>
        <v>100</v>
      </c>
      <c r="X16" s="1553"/>
      <c r="Y16" s="3375"/>
      <c r="Z16" s="1143">
        <f t="shared" si="7"/>
        <v>111</v>
      </c>
      <c r="AA16" s="1554">
        <f>D16/F16</f>
        <v>1</v>
      </c>
      <c r="AB16" s="1554">
        <f>D16/H16</f>
        <v>1</v>
      </c>
      <c r="AC16" s="1554">
        <f>D16/J16</f>
        <v>1</v>
      </c>
    </row>
    <row r="17" spans="1:29" ht="114" hidden="1">
      <c r="A17" s="2860" t="s">
        <v>2749</v>
      </c>
      <c r="B17" s="576" t="s">
        <v>295</v>
      </c>
      <c r="C17" s="546" t="str">
        <f>估价对象房地状况!C15</f>
        <v>估价对象周边居住用地比例较大，但尚未发展成熟，多为在建建筑物，社区发展一般，综合评价居住社区成熟度一般</v>
      </c>
      <c r="D17" s="549">
        <v>100</v>
      </c>
      <c r="E17" s="3194" t="s">
        <v>3108</v>
      </c>
      <c r="F17" s="547">
        <f>SUMIF(90:90,E18,91:91)-SUMIF(90:90,C18,91:91)+100</f>
        <v>100</v>
      </c>
      <c r="G17" s="3195" t="s">
        <v>3108</v>
      </c>
      <c r="H17" s="547">
        <f>SUMIF(90:90,G18,91:91)-SUMIF(90:90,C18,91:91)+100</f>
        <v>100</v>
      </c>
      <c r="I17" s="3194" t="s">
        <v>3087</v>
      </c>
      <c r="J17" s="547">
        <f>SUMIF(90:90,I18,91:91)-SUMIF(90:90,C18,91:91)+100</f>
        <v>100</v>
      </c>
      <c r="K17" s="533">
        <v>3</v>
      </c>
      <c r="L17" s="2124"/>
      <c r="M17" s="2114"/>
      <c r="N17" s="2114"/>
      <c r="O17" s="2123"/>
      <c r="P17" s="3420" t="s">
        <v>540</v>
      </c>
      <c r="Q17" s="1555" t="str">
        <f t="shared" si="6"/>
        <v>居住社区成熟度</v>
      </c>
      <c r="R17" s="1556" t="s">
        <v>8</v>
      </c>
      <c r="S17" s="1557">
        <f t="shared" si="0"/>
        <v>100</v>
      </c>
      <c r="T17" s="1556" t="s">
        <v>8</v>
      </c>
      <c r="U17" s="1557">
        <f t="shared" si="1"/>
        <v>100</v>
      </c>
      <c r="V17" s="1556" t="s">
        <v>8</v>
      </c>
      <c r="W17" s="1557">
        <f t="shared" si="2"/>
        <v>100</v>
      </c>
      <c r="X17" s="1550"/>
      <c r="Y17" s="3420" t="s">
        <v>540</v>
      </c>
      <c r="Z17" s="1558" t="str">
        <f t="shared" si="7"/>
        <v>居住社区成熟度</v>
      </c>
      <c r="AA17" s="1559">
        <f t="shared" si="3"/>
        <v>1</v>
      </c>
      <c r="AB17" s="1559">
        <f t="shared" si="4"/>
        <v>1</v>
      </c>
      <c r="AC17" s="1559">
        <f t="shared" si="5"/>
        <v>1</v>
      </c>
    </row>
    <row r="18" spans="1:29" ht="20.25" hidden="1">
      <c r="A18" s="530"/>
      <c r="B18" s="551"/>
      <c r="C18" s="552" t="s">
        <v>3030</v>
      </c>
      <c r="D18" s="555"/>
      <c r="E18" s="552" t="s">
        <v>3030</v>
      </c>
      <c r="F18" s="553"/>
      <c r="G18" s="577" t="s">
        <v>3030</v>
      </c>
      <c r="H18" s="557"/>
      <c r="I18" s="577" t="s">
        <v>3030</v>
      </c>
      <c r="J18" s="553"/>
      <c r="K18" s="529"/>
      <c r="L18" s="2124"/>
      <c r="M18" s="2114"/>
      <c r="N18" s="2114"/>
      <c r="O18" s="2123"/>
      <c r="P18" s="3421"/>
      <c r="Q18" s="1555"/>
      <c r="R18" s="1556"/>
      <c r="S18" s="1557"/>
      <c r="T18" s="1556"/>
      <c r="U18" s="1557"/>
      <c r="V18" s="1556"/>
      <c r="W18" s="1557"/>
      <c r="X18" s="1550"/>
      <c r="Y18" s="3421"/>
      <c r="Z18" s="1558"/>
      <c r="AA18" s="1559">
        <v>1</v>
      </c>
      <c r="AB18" s="1559">
        <v>1</v>
      </c>
      <c r="AC18" s="1559">
        <v>1</v>
      </c>
    </row>
    <row r="19" spans="1:29" ht="71.25">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105</v>
      </c>
      <c r="I19" s="562"/>
      <c r="J19" s="563">
        <f>SUMIF(92:92,I20,93:93)-SUMIF(92:92,C20,93:93)+100</f>
        <v>105</v>
      </c>
      <c r="K19" s="533">
        <v>5</v>
      </c>
      <c r="L19" s="2124"/>
      <c r="M19" s="2114"/>
      <c r="N19" s="2114"/>
      <c r="O19" s="2123"/>
      <c r="P19" s="3421"/>
      <c r="Q19" s="1555" t="str">
        <f>B19</f>
        <v>商业繁华度</v>
      </c>
      <c r="R19" s="1556" t="s">
        <v>8</v>
      </c>
      <c r="S19" s="1557">
        <f>F19</f>
        <v>100</v>
      </c>
      <c r="T19" s="1556" t="s">
        <v>8</v>
      </c>
      <c r="U19" s="1557">
        <f>H19</f>
        <v>105</v>
      </c>
      <c r="V19" s="1556" t="s">
        <v>8</v>
      </c>
      <c r="W19" s="1557">
        <f>J19</f>
        <v>105</v>
      </c>
      <c r="X19" s="1550"/>
      <c r="Y19" s="3421"/>
      <c r="Z19" s="1558" t="str">
        <f>Q19</f>
        <v>商业繁华度</v>
      </c>
      <c r="AA19" s="1559">
        <f t="shared" si="3"/>
        <v>1</v>
      </c>
      <c r="AB19" s="1559">
        <f t="shared" si="4"/>
        <v>0.95238095238095233</v>
      </c>
      <c r="AC19" s="1559">
        <f t="shared" si="5"/>
        <v>0.95238095238095233</v>
      </c>
    </row>
    <row r="20" spans="1:29" ht="20.25">
      <c r="A20" s="530"/>
      <c r="B20" s="564"/>
      <c r="C20" s="565" t="s">
        <v>3030</v>
      </c>
      <c r="D20" s="561"/>
      <c r="E20" s="552" t="s">
        <v>3030</v>
      </c>
      <c r="F20" s="557"/>
      <c r="G20" s="577" t="s">
        <v>3029</v>
      </c>
      <c r="H20" s="553"/>
      <c r="I20" s="577" t="s">
        <v>3029</v>
      </c>
      <c r="J20" s="553"/>
      <c r="K20" s="529"/>
      <c r="L20" s="2124"/>
      <c r="M20" s="2114"/>
      <c r="N20" s="2114"/>
      <c r="O20" s="2123"/>
      <c r="P20" s="3421"/>
      <c r="Q20" s="1555"/>
      <c r="R20" s="1556"/>
      <c r="S20" s="1557"/>
      <c r="T20" s="1556"/>
      <c r="U20" s="1557"/>
      <c r="V20" s="1556"/>
      <c r="W20" s="1557"/>
      <c r="X20" s="1550"/>
      <c r="Y20" s="3421"/>
      <c r="Z20" s="1558"/>
      <c r="AA20" s="1559">
        <v>1</v>
      </c>
      <c r="AB20" s="1559">
        <v>1</v>
      </c>
      <c r="AC20" s="1559">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v>2</v>
      </c>
      <c r="L21" s="2124"/>
      <c r="M21" s="2114"/>
      <c r="N21" s="2114"/>
      <c r="O21" s="2123"/>
      <c r="P21" s="3421"/>
      <c r="Q21" s="1555" t="str">
        <f>B21</f>
        <v>办公集聚程度</v>
      </c>
      <c r="R21" s="1556" t="s">
        <v>8</v>
      </c>
      <c r="S21" s="1557">
        <f>F21</f>
        <v>100</v>
      </c>
      <c r="T21" s="1556" t="s">
        <v>8</v>
      </c>
      <c r="U21" s="1557">
        <f>H21</f>
        <v>100</v>
      </c>
      <c r="V21" s="1556" t="s">
        <v>8</v>
      </c>
      <c r="W21" s="1557">
        <f>J21</f>
        <v>100</v>
      </c>
      <c r="X21" s="1550"/>
      <c r="Y21" s="3421"/>
      <c r="Z21" s="1558" t="str">
        <f>Q21</f>
        <v>办公集聚程度</v>
      </c>
      <c r="AA21" s="1559">
        <f t="shared" si="3"/>
        <v>1</v>
      </c>
      <c r="AB21" s="1559">
        <f t="shared" si="4"/>
        <v>1</v>
      </c>
      <c r="AC21" s="1559">
        <f t="shared" si="5"/>
        <v>1</v>
      </c>
    </row>
    <row r="22" spans="1:29" ht="20.25">
      <c r="A22" s="530"/>
      <c r="B22" s="564"/>
      <c r="C22" s="552" t="s">
        <v>3030</v>
      </c>
      <c r="D22" s="555"/>
      <c r="E22" s="552" t="s">
        <v>3030</v>
      </c>
      <c r="F22" s="553"/>
      <c r="G22" s="577" t="s">
        <v>3030</v>
      </c>
      <c r="H22" s="553"/>
      <c r="I22" s="577" t="s">
        <v>3030</v>
      </c>
      <c r="J22" s="553"/>
      <c r="K22" s="529"/>
      <c r="L22" s="2124"/>
      <c r="M22" s="2114"/>
      <c r="N22" s="2114"/>
      <c r="O22" s="2123"/>
      <c r="P22" s="3421"/>
      <c r="Q22" s="1555"/>
      <c r="R22" s="1556"/>
      <c r="S22" s="1557"/>
      <c r="T22" s="1556"/>
      <c r="U22" s="1557"/>
      <c r="V22" s="1556"/>
      <c r="W22" s="1557"/>
      <c r="X22" s="1550"/>
      <c r="Y22" s="3421"/>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78" t="s">
        <v>3098</v>
      </c>
      <c r="F23" s="563">
        <f>SUMIF(96:96,E24,97:97)-SUMIF(96:96,C24,97:97)+100</f>
        <v>100</v>
      </c>
      <c r="G23" s="3179" t="s">
        <v>3098</v>
      </c>
      <c r="H23" s="557">
        <f>SUMIF(96:96,G24,97:97)-SUMIF(96:96,C24,97:97)+100</f>
        <v>102</v>
      </c>
      <c r="I23" s="3178" t="s">
        <v>3098</v>
      </c>
      <c r="J23" s="557">
        <f>SUMIF(96:96,I24,97:97)-SUMIF(96:96,C24,97:97)+100</f>
        <v>102</v>
      </c>
      <c r="K23" s="533">
        <v>2</v>
      </c>
      <c r="L23" s="2124"/>
      <c r="M23" s="2114"/>
      <c r="N23" s="2114"/>
      <c r="O23" s="2123"/>
      <c r="P23" s="3421"/>
      <c r="Q23" s="1555" t="str">
        <f>B23</f>
        <v>交通便捷度</v>
      </c>
      <c r="R23" s="1556" t="s">
        <v>8</v>
      </c>
      <c r="S23" s="1557">
        <f>F23</f>
        <v>100</v>
      </c>
      <c r="T23" s="1556" t="s">
        <v>8</v>
      </c>
      <c r="U23" s="1557">
        <f>H23</f>
        <v>102</v>
      </c>
      <c r="V23" s="1556" t="s">
        <v>8</v>
      </c>
      <c r="W23" s="1557">
        <f>J23</f>
        <v>102</v>
      </c>
      <c r="X23" s="1550"/>
      <c r="Y23" s="3421"/>
      <c r="Z23" s="1558" t="str">
        <f>Q23</f>
        <v>交通便捷度</v>
      </c>
      <c r="AA23" s="1559">
        <f t="shared" si="3"/>
        <v>1</v>
      </c>
      <c r="AB23" s="1559">
        <f t="shared" si="4"/>
        <v>0.98039215686274506</v>
      </c>
      <c r="AC23" s="1559">
        <f t="shared" si="5"/>
        <v>0.98039215686274506</v>
      </c>
    </row>
    <row r="24" spans="1:29" ht="20.25">
      <c r="A24" s="530"/>
      <c r="B24" s="576"/>
      <c r="C24" s="552" t="s">
        <v>3030</v>
      </c>
      <c r="D24" s="555"/>
      <c r="E24" s="552" t="s">
        <v>3030</v>
      </c>
      <c r="F24" s="553"/>
      <c r="G24" s="577" t="s">
        <v>3029</v>
      </c>
      <c r="H24" s="553"/>
      <c r="I24" s="577" t="s">
        <v>3029</v>
      </c>
      <c r="J24" s="553"/>
      <c r="K24" s="529"/>
      <c r="L24" s="2124"/>
      <c r="M24" s="2114"/>
      <c r="N24" s="2114"/>
      <c r="O24" s="2123"/>
      <c r="P24" s="3421"/>
      <c r="Q24" s="1555"/>
      <c r="R24" s="1556"/>
      <c r="S24" s="1557"/>
      <c r="T24" s="1556"/>
      <c r="U24" s="1557"/>
      <c r="V24" s="1556"/>
      <c r="W24" s="1557"/>
      <c r="X24" s="1550"/>
      <c r="Y24" s="3421"/>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102</v>
      </c>
      <c r="G25" s="560"/>
      <c r="H25" s="557">
        <f>SUMIF(98:98,G26,99:99)-SUMIF(98:98,C26,99:99)+100</f>
        <v>102</v>
      </c>
      <c r="I25" s="562"/>
      <c r="J25" s="557">
        <f>SUMIF(98:98,I26,99:99)-SUMIF(98:98,C26,99:99)+100</f>
        <v>102</v>
      </c>
      <c r="K25" s="533">
        <v>2</v>
      </c>
      <c r="L25" s="2124"/>
      <c r="M25" s="2114"/>
      <c r="N25" s="2114"/>
      <c r="O25" s="2123"/>
      <c r="P25" s="3421"/>
      <c r="Q25" s="1555" t="str">
        <f t="shared" ref="Q25:Q39" si="8">B25</f>
        <v>区域土地利用方向</v>
      </c>
      <c r="R25" s="1556" t="s">
        <v>8</v>
      </c>
      <c r="S25" s="1557">
        <f>F25</f>
        <v>102</v>
      </c>
      <c r="T25" s="1556" t="s">
        <v>8</v>
      </c>
      <c r="U25" s="1557">
        <f>H25</f>
        <v>102</v>
      </c>
      <c r="V25" s="1556" t="s">
        <v>8</v>
      </c>
      <c r="W25" s="1557">
        <f>J25</f>
        <v>102</v>
      </c>
      <c r="X25" s="1550"/>
      <c r="Y25" s="3421"/>
      <c r="Z25" s="1558" t="str">
        <f>Q25</f>
        <v>区域土地利用方向</v>
      </c>
      <c r="AA25" s="1559">
        <f t="shared" si="3"/>
        <v>0.98039215686274506</v>
      </c>
      <c r="AB25" s="1559">
        <f t="shared" si="4"/>
        <v>0.98039215686274506</v>
      </c>
      <c r="AC25" s="1559">
        <f t="shared" si="5"/>
        <v>0.98039215686274506</v>
      </c>
    </row>
    <row r="26" spans="1:29" ht="20.25">
      <c r="A26" s="513"/>
      <c r="B26" s="1004"/>
      <c r="C26" s="552" t="s">
        <v>3030</v>
      </c>
      <c r="D26" s="555"/>
      <c r="E26" s="577" t="s">
        <v>3029</v>
      </c>
      <c r="F26" s="553"/>
      <c r="G26" s="577" t="s">
        <v>3029</v>
      </c>
      <c r="H26" s="553"/>
      <c r="I26" s="577" t="s">
        <v>3029</v>
      </c>
      <c r="J26" s="553"/>
      <c r="K26" s="529"/>
      <c r="L26" s="2124"/>
      <c r="M26" s="2114"/>
      <c r="N26" s="2114"/>
      <c r="O26" s="2123"/>
      <c r="P26" s="3421"/>
      <c r="Q26" s="1555"/>
      <c r="R26" s="1556"/>
      <c r="S26" s="1557"/>
      <c r="T26" s="1556"/>
      <c r="U26" s="1557"/>
      <c r="V26" s="1556"/>
      <c r="W26" s="1557"/>
      <c r="X26" s="1550"/>
      <c r="Y26" s="3421"/>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21"/>
      <c r="Q27" s="1555" t="str">
        <f t="shared" si="8"/>
        <v>自然及人文环境状况</v>
      </c>
      <c r="R27" s="1556" t="s">
        <v>8</v>
      </c>
      <c r="S27" s="1557">
        <f>F27</f>
        <v>100</v>
      </c>
      <c r="T27" s="1556" t="s">
        <v>8</v>
      </c>
      <c r="U27" s="1557">
        <f>H27</f>
        <v>100</v>
      </c>
      <c r="V27" s="1556" t="s">
        <v>8</v>
      </c>
      <c r="W27" s="1557">
        <f>J27</f>
        <v>100</v>
      </c>
      <c r="X27" s="1550"/>
      <c r="Y27" s="3421"/>
      <c r="Z27" s="1558" t="str">
        <f>Q27</f>
        <v>自然及人文环境状况</v>
      </c>
      <c r="AA27" s="1559">
        <f t="shared" si="3"/>
        <v>1</v>
      </c>
      <c r="AB27" s="1559">
        <f t="shared" si="4"/>
        <v>1</v>
      </c>
      <c r="AC27" s="1559">
        <f t="shared" si="5"/>
        <v>1</v>
      </c>
    </row>
    <row r="28" spans="1:29" ht="20.25">
      <c r="A28" s="513"/>
      <c r="B28" s="564"/>
      <c r="C28" s="552" t="s">
        <v>3029</v>
      </c>
      <c r="D28" s="555"/>
      <c r="E28" s="577" t="s">
        <v>3029</v>
      </c>
      <c r="F28" s="553"/>
      <c r="G28" s="577" t="s">
        <v>3029</v>
      </c>
      <c r="H28" s="553"/>
      <c r="I28" s="577" t="s">
        <v>3029</v>
      </c>
      <c r="J28" s="553"/>
      <c r="K28" s="529"/>
      <c r="L28" s="2124"/>
      <c r="M28" s="2114"/>
      <c r="N28" s="2114"/>
      <c r="O28" s="2123"/>
      <c r="P28" s="3421"/>
      <c r="Q28" s="1555"/>
      <c r="R28" s="1556"/>
      <c r="S28" s="1557"/>
      <c r="T28" s="1556"/>
      <c r="U28" s="1557"/>
      <c r="V28" s="1556"/>
      <c r="W28" s="1557"/>
      <c r="X28" s="1550"/>
      <c r="Y28" s="3421"/>
      <c r="Z28" s="1558"/>
      <c r="AA28" s="1559">
        <v>1</v>
      </c>
      <c r="AB28" s="1559">
        <v>1</v>
      </c>
      <c r="AC28" s="1559">
        <v>1</v>
      </c>
    </row>
    <row r="29" spans="1:29" s="1213" customFormat="1" ht="42.75">
      <c r="A29" s="575"/>
      <c r="B29" s="2552" t="s">
        <v>2544</v>
      </c>
      <c r="C29" s="571" t="str">
        <f>估价对象房地状况!C21</f>
        <v>估价对象所在区域公共配套设施齐备情况一般</v>
      </c>
      <c r="D29" s="561">
        <v>100</v>
      </c>
      <c r="E29" s="562"/>
      <c r="F29" s="557">
        <f>SUMIF(102:102,E30,103:103)-SUMIF(102:102,C30,103:103)+100</f>
        <v>105</v>
      </c>
      <c r="G29" s="560"/>
      <c r="H29" s="557">
        <f>SUMIF(102:102,G30,103:103)-SUMIF(102:102,C30,103:103)+100</f>
        <v>110</v>
      </c>
      <c r="I29" s="562"/>
      <c r="J29" s="557">
        <f>SUMIF(102:102,I30,103:103)-SUMIF(102:102,C30,103:103)+100</f>
        <v>110</v>
      </c>
      <c r="K29" s="533">
        <v>5</v>
      </c>
      <c r="L29" s="2117"/>
      <c r="M29" s="2114"/>
      <c r="N29" s="2114"/>
      <c r="O29" s="2119"/>
      <c r="P29" s="3421"/>
      <c r="Q29" s="1144" t="str">
        <f t="shared" si="8"/>
        <v>公共配套设施</v>
      </c>
      <c r="R29" s="1551" t="s">
        <v>8</v>
      </c>
      <c r="S29" s="1552">
        <f>F29</f>
        <v>105</v>
      </c>
      <c r="T29" s="1551" t="s">
        <v>8</v>
      </c>
      <c r="U29" s="1552">
        <f>H29</f>
        <v>110</v>
      </c>
      <c r="V29" s="1551" t="s">
        <v>8</v>
      </c>
      <c r="W29" s="1552">
        <f>J29</f>
        <v>110</v>
      </c>
      <c r="X29" s="1553"/>
      <c r="Y29" s="3421"/>
      <c r="Z29" s="1143" t="str">
        <f>Q29</f>
        <v>公共配套设施</v>
      </c>
      <c r="AA29" s="1559">
        <f>D29/F29</f>
        <v>0.95238095238095233</v>
      </c>
      <c r="AB29" s="1559">
        <f>D29/H29</f>
        <v>0.90909090909090906</v>
      </c>
      <c r="AC29" s="1559">
        <f>D29/J29</f>
        <v>0.90909090909090906</v>
      </c>
    </row>
    <row r="30" spans="1:29" s="1213" customFormat="1" ht="20.25">
      <c r="A30" s="575"/>
      <c r="B30" s="564"/>
      <c r="C30" s="577" t="s">
        <v>3175</v>
      </c>
      <c r="D30" s="555"/>
      <c r="E30" s="552" t="s">
        <v>3030</v>
      </c>
      <c r="F30" s="553"/>
      <c r="G30" s="577" t="s">
        <v>3029</v>
      </c>
      <c r="H30" s="553"/>
      <c r="I30" s="552" t="s">
        <v>3029</v>
      </c>
      <c r="J30" s="553"/>
      <c r="K30" s="529"/>
      <c r="L30" s="2117"/>
      <c r="M30" s="2114"/>
      <c r="N30" s="2114"/>
      <c r="O30" s="2119"/>
      <c r="P30" s="3421"/>
      <c r="Q30" s="1144"/>
      <c r="R30" s="1551"/>
      <c r="S30" s="1552"/>
      <c r="T30" s="1551"/>
      <c r="U30" s="1552"/>
      <c r="V30" s="1551"/>
      <c r="W30" s="1552"/>
      <c r="X30" s="1553"/>
      <c r="Y30" s="3421"/>
      <c r="Z30" s="1143"/>
      <c r="AA30" s="1559">
        <v>1</v>
      </c>
      <c r="AB30" s="1559">
        <v>1</v>
      </c>
      <c r="AC30" s="1559">
        <v>1</v>
      </c>
    </row>
    <row r="31" spans="1:29" s="1213" customFormat="1" ht="42.75">
      <c r="A31" s="575"/>
      <c r="B31" s="2552" t="s">
        <v>2545</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21"/>
      <c r="Q31" s="2539" t="str">
        <f t="shared" ref="Q31" si="9">B31</f>
        <v>基础设施水平</v>
      </c>
      <c r="R31" s="1551" t="s">
        <v>8</v>
      </c>
      <c r="S31" s="1552">
        <f>F31</f>
        <v>100</v>
      </c>
      <c r="T31" s="1551" t="s">
        <v>8</v>
      </c>
      <c r="U31" s="1552">
        <f>H31</f>
        <v>100</v>
      </c>
      <c r="V31" s="1551" t="s">
        <v>8</v>
      </c>
      <c r="W31" s="1552">
        <f>J31</f>
        <v>100</v>
      </c>
      <c r="X31" s="1553"/>
      <c r="Y31" s="3421"/>
      <c r="Z31" s="2536" t="str">
        <f>Q31</f>
        <v>基础设施水平</v>
      </c>
      <c r="AA31" s="1559">
        <f>D31/F31</f>
        <v>1</v>
      </c>
      <c r="AB31" s="1559">
        <f>D31/H31</f>
        <v>1</v>
      </c>
      <c r="AC31" s="1559">
        <f>D31/J31</f>
        <v>1</v>
      </c>
    </row>
    <row r="32" spans="1:29" s="1213" customFormat="1" ht="20.25">
      <c r="A32" s="575"/>
      <c r="B32" s="564"/>
      <c r="C32" s="577" t="s">
        <v>3086</v>
      </c>
      <c r="D32" s="555"/>
      <c r="E32" s="577" t="s">
        <v>3086</v>
      </c>
      <c r="F32" s="553"/>
      <c r="G32" s="577" t="s">
        <v>3086</v>
      </c>
      <c r="H32" s="553"/>
      <c r="I32" s="577" t="s">
        <v>3086</v>
      </c>
      <c r="J32" s="553"/>
      <c r="K32" s="529"/>
      <c r="L32" s="2117"/>
      <c r="M32" s="2114"/>
      <c r="N32" s="2114"/>
      <c r="O32" s="2119"/>
      <c r="P32" s="3421"/>
      <c r="Q32" s="2539"/>
      <c r="R32" s="1551"/>
      <c r="S32" s="1552"/>
      <c r="T32" s="1551"/>
      <c r="U32" s="1552"/>
      <c r="V32" s="1551"/>
      <c r="W32" s="1552"/>
      <c r="X32" s="1553"/>
      <c r="Y32" s="3421"/>
      <c r="Z32" s="2536"/>
      <c r="AA32" s="1559">
        <v>1</v>
      </c>
      <c r="AB32" s="1559">
        <v>1</v>
      </c>
      <c r="AC32" s="1559">
        <v>1</v>
      </c>
    </row>
    <row r="33" spans="1:29" ht="20.25">
      <c r="A33" s="530"/>
      <c r="B33" s="564" t="s">
        <v>547</v>
      </c>
      <c r="C33" s="578" t="s">
        <v>3085</v>
      </c>
      <c r="D33" s="573">
        <v>100</v>
      </c>
      <c r="E33" s="581" t="s">
        <v>3085</v>
      </c>
      <c r="F33" s="538">
        <f>SUMIF(106:106,E33,107:107)-SUMIF(106:106,C33,107:107)+100</f>
        <v>100</v>
      </c>
      <c r="G33" s="578" t="s">
        <v>3085</v>
      </c>
      <c r="H33" s="538">
        <f>SUMIF(106:106,G33,107:107)-SUMIF(106:106,C33,107:107)+100</f>
        <v>100</v>
      </c>
      <c r="I33" s="578" t="s">
        <v>3085</v>
      </c>
      <c r="J33" s="538">
        <f>SUMIF(106:106,I33,107:107)-SUMIF(106:106,C33,107:107)+100</f>
        <v>100</v>
      </c>
      <c r="K33" s="533">
        <v>2</v>
      </c>
      <c r="L33" s="2124"/>
      <c r="M33" s="2114"/>
      <c r="N33" s="2114"/>
      <c r="O33" s="2123"/>
      <c r="P33" s="342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1"/>
      <c r="Z33" s="1558" t="str">
        <f t="shared" ref="Z33:Z47" si="13">Q33</f>
        <v>临街状况</v>
      </c>
      <c r="AA33" s="1559">
        <f t="shared" si="3"/>
        <v>1</v>
      </c>
      <c r="AB33" s="1559">
        <f t="shared" si="4"/>
        <v>1</v>
      </c>
      <c r="AC33" s="1559">
        <f t="shared" si="5"/>
        <v>1</v>
      </c>
    </row>
    <row r="34" spans="1:29" ht="27">
      <c r="A34" s="530"/>
      <c r="B34" s="576" t="s">
        <v>548</v>
      </c>
      <c r="C34" s="3179" t="s">
        <v>3110</v>
      </c>
      <c r="D34" s="561">
        <v>100</v>
      </c>
      <c r="E34" s="3178" t="s">
        <v>3109</v>
      </c>
      <c r="F34" s="557">
        <f>SUMIF(108:108,E35,109:109)-SUMIF(108:108,C35,109:109)+100</f>
        <v>100</v>
      </c>
      <c r="G34" s="3179" t="s">
        <v>3084</v>
      </c>
      <c r="H34" s="557">
        <f>SUMIF(108:108,G35,109:109)-SUMIF(108:108,C35,109:109)+100</f>
        <v>100</v>
      </c>
      <c r="I34" s="3178" t="s">
        <v>3084</v>
      </c>
      <c r="J34" s="557">
        <f>SUMIF(108:108,I35,109:109)-SUMIF(108:108,C35,109:109)+100</f>
        <v>100</v>
      </c>
      <c r="K34" s="533">
        <v>2</v>
      </c>
      <c r="L34" s="2124"/>
      <c r="M34" s="2114"/>
      <c r="N34" s="2114"/>
      <c r="O34" s="2123"/>
      <c r="P34" s="3421"/>
      <c r="Q34" s="1555" t="str">
        <f t="shared" si="8"/>
        <v>毗邻道路的类型与等级</v>
      </c>
      <c r="R34" s="1556" t="s">
        <v>8</v>
      </c>
      <c r="S34" s="1557">
        <f t="shared" si="10"/>
        <v>100</v>
      </c>
      <c r="T34" s="1556" t="s">
        <v>8</v>
      </c>
      <c r="U34" s="1557">
        <f t="shared" si="11"/>
        <v>100</v>
      </c>
      <c r="V34" s="1556" t="s">
        <v>8</v>
      </c>
      <c r="W34" s="1557">
        <f t="shared" si="12"/>
        <v>100</v>
      </c>
      <c r="X34" s="1550"/>
      <c r="Y34" s="3421"/>
      <c r="Z34" s="1558" t="str">
        <f t="shared" si="13"/>
        <v>毗邻道路的类型与等级</v>
      </c>
      <c r="AA34" s="1559">
        <f t="shared" si="3"/>
        <v>1</v>
      </c>
      <c r="AB34" s="1559">
        <f t="shared" si="4"/>
        <v>1</v>
      </c>
      <c r="AC34" s="1559">
        <f t="shared" si="5"/>
        <v>1</v>
      </c>
    </row>
    <row r="35" spans="1:29" ht="21" thickBot="1">
      <c r="A35" s="530"/>
      <c r="B35" s="564"/>
      <c r="C35" s="552" t="s">
        <v>3032</v>
      </c>
      <c r="D35" s="555"/>
      <c r="E35" s="574" t="s">
        <v>3032</v>
      </c>
      <c r="F35" s="553"/>
      <c r="G35" s="552" t="s">
        <v>3032</v>
      </c>
      <c r="H35" s="553"/>
      <c r="I35" s="574" t="s">
        <v>3032</v>
      </c>
      <c r="J35" s="553"/>
      <c r="K35" s="579"/>
      <c r="L35" s="2124"/>
      <c r="M35" s="2114"/>
      <c r="N35" s="2114"/>
      <c r="O35" s="2123"/>
      <c r="P35" s="3421"/>
      <c r="Q35" s="1555"/>
      <c r="R35" s="1556"/>
      <c r="S35" s="1557"/>
      <c r="T35" s="1556"/>
      <c r="U35" s="1557"/>
      <c r="V35" s="1556"/>
      <c r="W35" s="1557"/>
      <c r="X35" s="1550"/>
      <c r="Y35" s="3421"/>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1"/>
      <c r="Q36" s="1555" t="str">
        <f t="shared" si="8"/>
        <v>土地级别</v>
      </c>
      <c r="R36" s="1556" t="s">
        <v>8</v>
      </c>
      <c r="S36" s="1557">
        <f t="shared" si="10"/>
        <v>100</v>
      </c>
      <c r="T36" s="1556" t="s">
        <v>8</v>
      </c>
      <c r="U36" s="1557">
        <f t="shared" si="11"/>
        <v>100</v>
      </c>
      <c r="V36" s="1556" t="s">
        <v>8</v>
      </c>
      <c r="W36" s="1557">
        <f t="shared" si="12"/>
        <v>100</v>
      </c>
      <c r="X36" s="1550"/>
      <c r="Y36" s="3421"/>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1"/>
      <c r="Q37" s="1555">
        <f t="shared" si="8"/>
        <v>111</v>
      </c>
      <c r="R37" s="1556" t="s">
        <v>8</v>
      </c>
      <c r="S37" s="1557">
        <f t="shared" si="10"/>
        <v>100</v>
      </c>
      <c r="T37" s="1556" t="s">
        <v>8</v>
      </c>
      <c r="U37" s="1557">
        <f t="shared" si="11"/>
        <v>100</v>
      </c>
      <c r="V37" s="1556" t="s">
        <v>8</v>
      </c>
      <c r="W37" s="1557">
        <f t="shared" si="12"/>
        <v>100</v>
      </c>
      <c r="X37" s="1550"/>
      <c r="Y37" s="3421"/>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2" t="s">
        <v>550</v>
      </c>
      <c r="Q38" s="1555">
        <f t="shared" si="8"/>
        <v>111</v>
      </c>
      <c r="R38" s="1556" t="s">
        <v>8</v>
      </c>
      <c r="S38" s="1557">
        <f t="shared" si="10"/>
        <v>100</v>
      </c>
      <c r="T38" s="1556" t="s">
        <v>8</v>
      </c>
      <c r="U38" s="1557">
        <f t="shared" si="11"/>
        <v>100</v>
      </c>
      <c r="V38" s="1556" t="s">
        <v>8</v>
      </c>
      <c r="W38" s="1557">
        <f t="shared" si="12"/>
        <v>100</v>
      </c>
      <c r="X38" s="1550"/>
      <c r="Y38" s="3423"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3"/>
      <c r="Q39" s="1555">
        <f t="shared" si="8"/>
        <v>111</v>
      </c>
      <c r="R39" s="1560" t="s">
        <v>8</v>
      </c>
      <c r="S39" s="1561">
        <f t="shared" si="10"/>
        <v>100</v>
      </c>
      <c r="T39" s="1560" t="s">
        <v>8</v>
      </c>
      <c r="U39" s="1561">
        <f t="shared" si="11"/>
        <v>100</v>
      </c>
      <c r="V39" s="1560" t="s">
        <v>8</v>
      </c>
      <c r="W39" s="1561">
        <f t="shared" si="12"/>
        <v>100</v>
      </c>
      <c r="X39" s="1562"/>
      <c r="Y39" s="3423"/>
      <c r="Z39" s="1563">
        <f t="shared" si="13"/>
        <v>111</v>
      </c>
      <c r="AA39" s="1559">
        <f t="shared" si="3"/>
        <v>1</v>
      </c>
      <c r="AB39" s="1559">
        <f t="shared" si="4"/>
        <v>1</v>
      </c>
      <c r="AC39" s="1559">
        <f t="shared" si="5"/>
        <v>1</v>
      </c>
    </row>
    <row r="40" spans="1:29" ht="20.25">
      <c r="A40" s="2858" t="s">
        <v>2750</v>
      </c>
      <c r="B40" s="593" t="s">
        <v>552</v>
      </c>
      <c r="C40" s="594">
        <v>197536.6</v>
      </c>
      <c r="D40" s="595">
        <v>100</v>
      </c>
      <c r="E40" s="594">
        <f>土地案例!D6</f>
        <v>37066.01</v>
      </c>
      <c r="F40" s="595">
        <f>LOOKUP(E40,119:119,120:120)-LOOKUP(C40,119:119,120:120)+100</f>
        <v>110</v>
      </c>
      <c r="G40" s="594">
        <f>土地案例!D8</f>
        <v>92995.36</v>
      </c>
      <c r="H40" s="595">
        <f>LOOKUP(G40,119:119,120:120)-LOOKUP(C40,119:119,120:120)+100</f>
        <v>106</v>
      </c>
      <c r="I40" s="596">
        <f>土地案例!D10</f>
        <v>79887</v>
      </c>
      <c r="J40" s="595">
        <f>LOOKUP(I40,119:119,120:120)-LOOKUP(C40,119:119,120:120)+100</f>
        <v>108</v>
      </c>
      <c r="K40" s="579"/>
      <c r="L40" s="2124"/>
      <c r="M40" s="2114"/>
      <c r="N40" s="2114"/>
      <c r="O40" s="2123"/>
      <c r="P40" s="3423"/>
      <c r="Q40" s="1555" t="str">
        <f>B40</f>
        <v>宗地面积</v>
      </c>
      <c r="R40" s="1556" t="s">
        <v>8</v>
      </c>
      <c r="S40" s="1557">
        <f t="shared" si="10"/>
        <v>110</v>
      </c>
      <c r="T40" s="1556" t="s">
        <v>8</v>
      </c>
      <c r="U40" s="1557">
        <f t="shared" si="11"/>
        <v>106</v>
      </c>
      <c r="V40" s="1556" t="s">
        <v>8</v>
      </c>
      <c r="W40" s="1557">
        <f t="shared" si="12"/>
        <v>108</v>
      </c>
      <c r="X40" s="1550"/>
      <c r="Y40" s="3423"/>
      <c r="Z40" s="1558" t="str">
        <f t="shared" si="13"/>
        <v>宗地面积</v>
      </c>
      <c r="AA40" s="1559">
        <f t="shared" si="3"/>
        <v>0.90909090909090906</v>
      </c>
      <c r="AB40" s="1559">
        <f t="shared" si="4"/>
        <v>0.94339622641509435</v>
      </c>
      <c r="AC40" s="1559">
        <f t="shared" si="5"/>
        <v>0.92592592592592593</v>
      </c>
    </row>
    <row r="41" spans="1:29" ht="20.25">
      <c r="A41" s="592"/>
      <c r="B41" s="525" t="s">
        <v>553</v>
      </c>
      <c r="C41" s="597" t="s">
        <v>3033</v>
      </c>
      <c r="D41" s="538">
        <v>100</v>
      </c>
      <c r="E41" s="597" t="s">
        <v>3033</v>
      </c>
      <c r="F41" s="538">
        <f>SUMIF(121:121,E41,122:122)-SUMIF(121:121,C41,122:122)+100</f>
        <v>100</v>
      </c>
      <c r="G41" s="597" t="s">
        <v>3033</v>
      </c>
      <c r="H41" s="538">
        <f>SUMIF(121:121,G41,122:122)-SUMIF(121:121,C41,122:122)+100</f>
        <v>100</v>
      </c>
      <c r="I41" s="597" t="s">
        <v>3033</v>
      </c>
      <c r="J41" s="538">
        <f>SUMIF(121:121,I41,122:122)-SUMIF(121:121,C41,122:122)+100</f>
        <v>100</v>
      </c>
      <c r="K41" s="582">
        <v>2</v>
      </c>
      <c r="L41" s="2124"/>
      <c r="M41" s="2114"/>
      <c r="N41" s="2114"/>
      <c r="O41" s="2123"/>
      <c r="P41" s="3423"/>
      <c r="Q41" s="1555" t="str">
        <f t="shared" ref="Q41:Q47" si="14">B41</f>
        <v>宗地形状</v>
      </c>
      <c r="R41" s="1556" t="s">
        <v>8</v>
      </c>
      <c r="S41" s="1557">
        <f t="shared" si="10"/>
        <v>100</v>
      </c>
      <c r="T41" s="1556" t="s">
        <v>8</v>
      </c>
      <c r="U41" s="1557">
        <f t="shared" si="11"/>
        <v>100</v>
      </c>
      <c r="V41" s="1556" t="s">
        <v>8</v>
      </c>
      <c r="W41" s="1557">
        <f t="shared" si="12"/>
        <v>100</v>
      </c>
      <c r="X41" s="1550"/>
      <c r="Y41" s="3423"/>
      <c r="Z41" s="1558" t="str">
        <f t="shared" si="13"/>
        <v>宗地形状</v>
      </c>
      <c r="AA41" s="1559">
        <f t="shared" si="3"/>
        <v>1</v>
      </c>
      <c r="AB41" s="1559">
        <f t="shared" si="4"/>
        <v>1</v>
      </c>
      <c r="AC41" s="1559">
        <f t="shared" si="5"/>
        <v>1</v>
      </c>
    </row>
    <row r="42" spans="1:29" ht="20.25">
      <c r="A42" s="592"/>
      <c r="B42" s="525" t="s">
        <v>554</v>
      </c>
      <c r="C42" s="597" t="s">
        <v>3034</v>
      </c>
      <c r="D42" s="538">
        <v>100</v>
      </c>
      <c r="E42" s="597" t="s">
        <v>3034</v>
      </c>
      <c r="F42" s="538">
        <f>SUMIF(123:123,E42,124:124)-SUMIF(123:123,C42,124:124)+100</f>
        <v>100</v>
      </c>
      <c r="G42" s="597" t="s">
        <v>3034</v>
      </c>
      <c r="H42" s="538">
        <f>SUMIF(123:123,G42,124:124)-SUMIF(123:123,C42,124:124)+100</f>
        <v>100</v>
      </c>
      <c r="I42" s="597" t="s">
        <v>3034</v>
      </c>
      <c r="J42" s="538">
        <f>SUMIF(123:123,I42,124:124)-SUMIF(123:123,C42,124:124)+100</f>
        <v>100</v>
      </c>
      <c r="K42" s="582">
        <v>1</v>
      </c>
      <c r="L42" s="2124"/>
      <c r="M42" s="2114"/>
      <c r="N42" s="2114"/>
      <c r="O42" s="2123"/>
      <c r="P42" s="3423"/>
      <c r="Q42" s="1555" t="str">
        <f t="shared" si="14"/>
        <v>临街宽度及深度</v>
      </c>
      <c r="R42" s="1556" t="s">
        <v>8</v>
      </c>
      <c r="S42" s="1557">
        <f t="shared" si="10"/>
        <v>100</v>
      </c>
      <c r="T42" s="1556" t="s">
        <v>8</v>
      </c>
      <c r="U42" s="1557">
        <f t="shared" si="11"/>
        <v>100</v>
      </c>
      <c r="V42" s="1556" t="s">
        <v>8</v>
      </c>
      <c r="W42" s="1557">
        <f t="shared" si="12"/>
        <v>100</v>
      </c>
      <c r="X42" s="1550"/>
      <c r="Y42" s="3423"/>
      <c r="Z42" s="1558" t="str">
        <f t="shared" si="13"/>
        <v>临街宽度及深度</v>
      </c>
      <c r="AA42" s="1559">
        <f t="shared" si="3"/>
        <v>1</v>
      </c>
      <c r="AB42" s="1559">
        <f t="shared" si="4"/>
        <v>1</v>
      </c>
      <c r="AC42" s="1559">
        <f t="shared" si="5"/>
        <v>1</v>
      </c>
    </row>
    <row r="43" spans="1:29" s="1213" customFormat="1" ht="20.25">
      <c r="A43" s="598"/>
      <c r="B43" s="1877" t="s">
        <v>2420</v>
      </c>
      <c r="C43" s="599" t="s">
        <v>3083</v>
      </c>
      <c r="D43" s="253">
        <v>100</v>
      </c>
      <c r="E43" s="599" t="s">
        <v>3083</v>
      </c>
      <c r="F43" s="538">
        <f>SUMIF(125:125,E43,126:126)-SUMIF(125:125,C43,126:126)+100</f>
        <v>100</v>
      </c>
      <c r="G43" s="599" t="s">
        <v>3083</v>
      </c>
      <c r="H43" s="538">
        <f>SUMIF(125:125,G43,126:126)-SUMIF(125:125,C43,126:126)+100</f>
        <v>100</v>
      </c>
      <c r="I43" s="599" t="s">
        <v>3083</v>
      </c>
      <c r="J43" s="538">
        <f>SUMIF(125:125,I43,126:126)-SUMIF(125:125,C43,126:126)+100</f>
        <v>100</v>
      </c>
      <c r="K43" s="582">
        <v>2</v>
      </c>
      <c r="L43" s="2117"/>
      <c r="M43" s="2114"/>
      <c r="N43" s="2114"/>
      <c r="O43" s="2119"/>
      <c r="P43" s="3423"/>
      <c r="Q43" s="1555" t="str">
        <f t="shared" si="14"/>
        <v>宗地开发程度</v>
      </c>
      <c r="R43" s="1551" t="s">
        <v>8</v>
      </c>
      <c r="S43" s="1552">
        <f t="shared" si="10"/>
        <v>100</v>
      </c>
      <c r="T43" s="1551" t="s">
        <v>8</v>
      </c>
      <c r="U43" s="1552">
        <f t="shared" si="11"/>
        <v>100</v>
      </c>
      <c r="V43" s="1551" t="s">
        <v>8</v>
      </c>
      <c r="W43" s="1552">
        <f t="shared" si="12"/>
        <v>100</v>
      </c>
      <c r="X43" s="1553"/>
      <c r="Y43" s="3423"/>
      <c r="Z43" s="1143" t="str">
        <f t="shared" si="13"/>
        <v>宗地开发程度</v>
      </c>
      <c r="AA43" s="1554">
        <f t="shared" si="3"/>
        <v>1</v>
      </c>
      <c r="AB43" s="1554">
        <f t="shared" si="4"/>
        <v>1</v>
      </c>
      <c r="AC43" s="1554">
        <f t="shared" si="5"/>
        <v>1</v>
      </c>
    </row>
    <row r="44" spans="1:29" ht="21" thickBot="1">
      <c r="A44" s="592"/>
      <c r="B44" s="525" t="s">
        <v>555</v>
      </c>
      <c r="C44" s="597" t="s">
        <v>3029</v>
      </c>
      <c r="D44" s="538">
        <v>100</v>
      </c>
      <c r="E44" s="597" t="s">
        <v>3029</v>
      </c>
      <c r="F44" s="538">
        <f>SUMIF(127:127,E44,128:128)-SUMIF(127:127,C44,128:128)+100</f>
        <v>100</v>
      </c>
      <c r="G44" s="597" t="s">
        <v>3029</v>
      </c>
      <c r="H44" s="538">
        <f>SUMIF(127:127,G44,128:128)-SUMIF(127:127,C44,128:128)+100</f>
        <v>100</v>
      </c>
      <c r="I44" s="597" t="s">
        <v>3029</v>
      </c>
      <c r="J44" s="538">
        <f>SUMIF(127:127,I44,128:128)-SUMIF(127:127,C44,128:128)+100</f>
        <v>100</v>
      </c>
      <c r="K44" s="582">
        <v>1</v>
      </c>
      <c r="L44" s="2124"/>
      <c r="M44" s="2114"/>
      <c r="N44" s="2114"/>
      <c r="O44" s="2123"/>
      <c r="P44" s="3423" t="s">
        <v>550</v>
      </c>
      <c r="Q44" s="1555" t="str">
        <f t="shared" si="14"/>
        <v>工程地质条件</v>
      </c>
      <c r="R44" s="1556" t="s">
        <v>8</v>
      </c>
      <c r="S44" s="1557">
        <f t="shared" si="10"/>
        <v>100</v>
      </c>
      <c r="T44" s="1556" t="s">
        <v>8</v>
      </c>
      <c r="U44" s="1557">
        <f t="shared" si="11"/>
        <v>100</v>
      </c>
      <c r="V44" s="1556" t="s">
        <v>8</v>
      </c>
      <c r="W44" s="1557">
        <f t="shared" si="12"/>
        <v>100</v>
      </c>
      <c r="X44" s="1550"/>
      <c r="Y44" s="3423"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3"/>
      <c r="Q45" s="1555">
        <f t="shared" si="14"/>
        <v>111</v>
      </c>
      <c r="R45" s="1556" t="s">
        <v>8</v>
      </c>
      <c r="S45" s="1557">
        <f t="shared" si="10"/>
        <v>100</v>
      </c>
      <c r="T45" s="1556" t="s">
        <v>8</v>
      </c>
      <c r="U45" s="1557">
        <f t="shared" si="11"/>
        <v>100</v>
      </c>
      <c r="V45" s="1556" t="s">
        <v>8</v>
      </c>
      <c r="W45" s="1557">
        <f t="shared" si="12"/>
        <v>100</v>
      </c>
      <c r="X45" s="1550"/>
      <c r="Y45" s="3423"/>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3"/>
      <c r="Q46" s="1555">
        <f t="shared" si="14"/>
        <v>111</v>
      </c>
      <c r="R46" s="1556" t="s">
        <v>8</v>
      </c>
      <c r="S46" s="1557">
        <f t="shared" si="10"/>
        <v>100</v>
      </c>
      <c r="T46" s="1556" t="s">
        <v>8</v>
      </c>
      <c r="U46" s="1557">
        <f t="shared" si="11"/>
        <v>100</v>
      </c>
      <c r="V46" s="1556" t="s">
        <v>8</v>
      </c>
      <c r="W46" s="1557">
        <f t="shared" si="12"/>
        <v>100</v>
      </c>
      <c r="X46" s="1550"/>
      <c r="Y46" s="3423"/>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3"/>
      <c r="Q47" s="1555">
        <f t="shared" si="14"/>
        <v>111</v>
      </c>
      <c r="R47" s="1560" t="s">
        <v>8</v>
      </c>
      <c r="S47" s="1561">
        <f t="shared" si="10"/>
        <v>100</v>
      </c>
      <c r="T47" s="1560" t="s">
        <v>8</v>
      </c>
      <c r="U47" s="1561">
        <f t="shared" si="11"/>
        <v>100</v>
      </c>
      <c r="V47" s="1560" t="s">
        <v>8</v>
      </c>
      <c r="W47" s="1561">
        <f t="shared" si="12"/>
        <v>100</v>
      </c>
      <c r="X47" s="1562"/>
      <c r="Y47" s="3423"/>
      <c r="Z47" s="1563">
        <f t="shared" si="13"/>
        <v>111</v>
      </c>
      <c r="AA47" s="1559">
        <f t="shared" si="3"/>
        <v>1</v>
      </c>
      <c r="AB47" s="1559">
        <f t="shared" si="4"/>
        <v>1</v>
      </c>
      <c r="AC47" s="1559">
        <f t="shared" si="5"/>
        <v>1</v>
      </c>
    </row>
    <row r="48" spans="1:29" ht="20.25">
      <c r="A48" s="605" t="s">
        <v>556</v>
      </c>
      <c r="B48" s="606" t="s">
        <v>3031</v>
      </c>
      <c r="C48" s="607" t="s">
        <v>1</v>
      </c>
      <c r="D48" s="608"/>
      <c r="E48" s="3188">
        <v>1286</v>
      </c>
      <c r="F48" s="610"/>
      <c r="G48" s="611">
        <v>1075</v>
      </c>
      <c r="H48" s="612"/>
      <c r="I48" s="609">
        <v>1126</v>
      </c>
      <c r="J48" s="612"/>
      <c r="K48" s="1333"/>
      <c r="L48" s="2126"/>
      <c r="M48" s="2114"/>
      <c r="N48" s="2114"/>
      <c r="O48" s="2127"/>
      <c r="P48" s="3418" t="str">
        <f>A48</f>
        <v>成交单价</v>
      </c>
      <c r="Q48" s="3418"/>
      <c r="R48" s="3432">
        <f>E48</f>
        <v>1286</v>
      </c>
      <c r="S48" s="3432"/>
      <c r="T48" s="3432">
        <f>G48</f>
        <v>1075</v>
      </c>
      <c r="U48" s="3432"/>
      <c r="V48" s="3432">
        <f>I48</f>
        <v>1126</v>
      </c>
      <c r="W48" s="3432"/>
      <c r="X48" s="1542"/>
      <c r="Y48" s="1564"/>
      <c r="Z48" s="1542"/>
      <c r="AA48" s="1542"/>
      <c r="AB48" s="1542"/>
      <c r="AC48" s="1542"/>
    </row>
    <row r="49" spans="1:29" ht="21" thickBot="1">
      <c r="A49" s="613" t="s">
        <v>2688</v>
      </c>
      <c r="B49" s="614"/>
      <c r="C49" s="615">
        <f>R50</f>
        <v>895</v>
      </c>
      <c r="D49" s="616"/>
      <c r="E49" s="615">
        <f>R49</f>
        <v>1020</v>
      </c>
      <c r="F49" s="617"/>
      <c r="G49" s="618">
        <f>T49</f>
        <v>880</v>
      </c>
      <c r="H49" s="616"/>
      <c r="I49" s="615">
        <f>V49</f>
        <v>785</v>
      </c>
      <c r="J49" s="616"/>
      <c r="K49" s="1334"/>
      <c r="L49" s="2126"/>
      <c r="M49" s="2114"/>
      <c r="N49" s="2114"/>
      <c r="O49" s="2127"/>
      <c r="P49" s="3418" t="str">
        <f>A49</f>
        <v>比较价格（元/平方米）</v>
      </c>
      <c r="Q49" s="3418"/>
      <c r="R49" s="3442">
        <f>ROUND(PRODUCT(R48,AA9:AA47),0)</f>
        <v>1020</v>
      </c>
      <c r="S49" s="3442"/>
      <c r="T49" s="3442">
        <f>ROUND(PRODUCT(T48,AB9:AB47),0)</f>
        <v>880</v>
      </c>
      <c r="U49" s="3442"/>
      <c r="V49" s="3442">
        <f>ROUND(PRODUCT(V48,AC9:AC47),0)</f>
        <v>785</v>
      </c>
      <c r="W49" s="3442"/>
      <c r="X49" s="1542"/>
      <c r="Y49" s="1542"/>
      <c r="Z49" s="1542"/>
      <c r="AA49" s="1542"/>
      <c r="AB49" s="1542"/>
      <c r="AC49" s="1542"/>
    </row>
    <row r="50" spans="1:29" ht="21" thickBot="1">
      <c r="A50" s="619" t="s">
        <v>2923</v>
      </c>
      <c r="B50" s="620"/>
      <c r="C50" s="621">
        <f>R50</f>
        <v>895</v>
      </c>
      <c r="D50" s="621"/>
      <c r="E50" s="621"/>
      <c r="F50" s="621"/>
      <c r="G50" s="621"/>
      <c r="H50" s="621"/>
      <c r="I50" s="621"/>
      <c r="J50" s="621"/>
      <c r="K50" s="1335"/>
      <c r="L50" s="2126"/>
      <c r="M50" s="2114"/>
      <c r="N50" s="2114"/>
      <c r="O50" s="2127"/>
      <c r="P50" s="3439" t="str">
        <f>A50</f>
        <v>估价对象XX用房的比较价格（楼面单价，元/平方米）</v>
      </c>
      <c r="Q50" s="3440"/>
      <c r="R50" s="3441">
        <f>ROUND(AVERAGE(R49:V49),0)</f>
        <v>895</v>
      </c>
      <c r="S50" s="3441"/>
      <c r="T50" s="3441"/>
      <c r="U50" s="3441"/>
      <c r="V50" s="3441"/>
      <c r="W50" s="3441"/>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0.26078431372549016</v>
      </c>
      <c r="F53" s="625" t="str">
        <f>IF(OR(E53&gt;=0.3,E53&lt;=-0.3),"超过30%","")</f>
        <v/>
      </c>
      <c r="G53" s="624">
        <f>IF(G48&lt;G49,G49/G48-1,G48/G49-1)</f>
        <v>0.22159090909090917</v>
      </c>
      <c r="H53" s="625" t="str">
        <f>IF(OR(G53&gt;=0.3,G53&lt;=-0.3),"超过30%","")</f>
        <v/>
      </c>
      <c r="I53" s="624">
        <f>IF(I48&lt;I49,I49/I48-1,I48/I49-1)</f>
        <v>0.43439490445859863</v>
      </c>
      <c r="J53" s="625" t="str">
        <f>IF(OR(I53&gt;=0.3,I53&lt;=-0.3),"超过30%","")</f>
        <v>超过30%</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0.15909090909090917</v>
      </c>
      <c r="F54" s="625" t="str">
        <f>IF(OR(E54&gt;=0.2,E54&lt;=-0.2),"超过20%","")</f>
        <v/>
      </c>
      <c r="G54" s="624">
        <f>IF(G49&lt;I49,I49/G49-1,G49/I49-1)</f>
        <v>0.12101910828025475</v>
      </c>
      <c r="H54" s="625" t="str">
        <f>IF(OR(G54&gt;=0.2,G54&lt;=-0.2),"超过20%","")</f>
        <v/>
      </c>
      <c r="I54" s="624">
        <f>IF(I49&lt;E49,E49/I49-1,I49/E49-1)</f>
        <v>0.2993630573248407</v>
      </c>
      <c r="J54" s="625"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0.19627906976744192</v>
      </c>
      <c r="F55" s="625" t="str">
        <f>IF(OR(E55&gt;=0.3,E55&lt;=-0.3),"超过30%","")</f>
        <v/>
      </c>
      <c r="G55" s="624">
        <f>IF(G48&lt;I48,I48/G48-1,G48/I48-1)</f>
        <v>4.7441860465116337E-2</v>
      </c>
      <c r="H55" s="625" t="str">
        <f>IF(OR(G55&gt;=0.3,G55&lt;=-0.3),"超过30%","")</f>
        <v/>
      </c>
      <c r="I55" s="624">
        <f>IF(I48&lt;E48,E48/I48-1,I48/E48-1)</f>
        <v>0.1420959147424512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02" t="s">
        <v>2278</v>
      </c>
      <c r="H57" s="3403"/>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895</v>
      </c>
      <c r="C58" s="633">
        <v>1</v>
      </c>
      <c r="D58" s="2210">
        <v>1</v>
      </c>
      <c r="E58" s="633">
        <f>'数据-汇总表'!E8+'数据-汇总表'!E9</f>
        <v>888914.7</v>
      </c>
      <c r="F58" s="634">
        <f t="shared" ref="F58:F67" si="15">ROUND(B58*E58/10000,0)</f>
        <v>79558</v>
      </c>
      <c r="G58" s="3404"/>
      <c r="H58" s="3405"/>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06"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06"/>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06"/>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06"/>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2324</v>
      </c>
      <c r="B63" s="636">
        <f t="shared" si="17"/>
        <v>0</v>
      </c>
      <c r="C63" s="376">
        <f t="shared" si="16"/>
        <v>0</v>
      </c>
      <c r="D63" s="2211">
        <v>0.25</v>
      </c>
      <c r="E63" s="639">
        <f>'数据-汇总表'!E11</f>
        <v>0</v>
      </c>
      <c r="F63" s="634">
        <f t="shared" si="15"/>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888914.7</v>
      </c>
      <c r="F68" s="642">
        <f>IF(B48="楼面地价",SUM(F58:F67),ROUND(C50*E68/10000,0))</f>
        <v>79558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2019-12-1</v>
      </c>
      <c r="D70" s="2750">
        <f>EDATE(C70,-3)</f>
        <v>43709</v>
      </c>
      <c r="E70" s="2750">
        <f t="shared" ref="E70:N70" si="18">EDATE(D70,-3)</f>
        <v>43617</v>
      </c>
      <c r="F70" s="2750">
        <f t="shared" si="18"/>
        <v>43525</v>
      </c>
      <c r="G70" s="2750">
        <f t="shared" si="18"/>
        <v>43435</v>
      </c>
      <c r="H70" s="2750">
        <f t="shared" si="18"/>
        <v>43344</v>
      </c>
      <c r="I70" s="2750">
        <f t="shared" si="18"/>
        <v>43252</v>
      </c>
      <c r="J70" s="2750">
        <f t="shared" si="18"/>
        <v>43160</v>
      </c>
      <c r="K70" s="2750">
        <f t="shared" si="18"/>
        <v>43070</v>
      </c>
      <c r="L70" s="2750">
        <f t="shared" si="18"/>
        <v>42979</v>
      </c>
      <c r="M70" s="2750">
        <f t="shared" si="18"/>
        <v>42887</v>
      </c>
      <c r="N70" s="2750">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2528</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922</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2642</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4" t="s">
        <v>3013</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5" t="s">
        <v>3088</v>
      </c>
      <c r="D84" s="1369" t="s">
        <v>3089</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95</v>
      </c>
      <c r="E93" s="677">
        <f>D93-$K19</f>
        <v>90</v>
      </c>
      <c r="F93" s="677">
        <f>E93-$K19</f>
        <v>85</v>
      </c>
      <c r="G93" s="677">
        <f>F93-$K19</f>
        <v>80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98</v>
      </c>
      <c r="E95" s="677">
        <f>D95-$K21</f>
        <v>96</v>
      </c>
      <c r="F95" s="677">
        <f>E95-$K21</f>
        <v>94</v>
      </c>
      <c r="G95" s="677">
        <f>F95-$K21</f>
        <v>92</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5" t="s">
        <v>3014</v>
      </c>
      <c r="D108" s="3175" t="s">
        <v>3015</v>
      </c>
      <c r="E108" s="3175" t="s">
        <v>3016</v>
      </c>
      <c r="F108" s="3175" t="s">
        <v>3017</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120000(含)-150000</v>
      </c>
      <c r="H118" s="702" t="str">
        <f t="shared" si="25"/>
        <v>150000(含)-200000</v>
      </c>
      <c r="I118" s="702" t="str">
        <f t="shared" si="25"/>
        <v>200000(含)-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30000</v>
      </c>
      <c r="E119" s="728">
        <v>60000</v>
      </c>
      <c r="F119" s="728">
        <v>90000</v>
      </c>
      <c r="G119" s="728">
        <v>120000</v>
      </c>
      <c r="H119" s="728">
        <v>150000</v>
      </c>
      <c r="I119" s="728">
        <v>200000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98</v>
      </c>
      <c r="D120" s="724">
        <v>100</v>
      </c>
      <c r="E120" s="724">
        <v>98</v>
      </c>
      <c r="F120" s="724">
        <v>96</v>
      </c>
      <c r="G120" s="724">
        <v>94</v>
      </c>
      <c r="H120" s="724">
        <v>90</v>
      </c>
      <c r="I120" s="724">
        <v>88</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6" t="s">
        <v>3018</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5" t="s">
        <v>3019</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2421</v>
      </c>
      <c r="C125" s="1369" t="s">
        <v>3020</v>
      </c>
      <c r="D125" s="1369" t="s">
        <v>3021</v>
      </c>
      <c r="E125" s="1369" t="s">
        <v>3022</v>
      </c>
      <c r="F125" s="1369" t="s">
        <v>3023</v>
      </c>
      <c r="G125" s="1369" t="s">
        <v>3024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5" t="s">
        <v>3025</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topLeftCell="A100" zoomScale="70" zoomScaleNormal="70" workbookViewId="0">
      <selection activeCell="F165" sqref="F165"/>
    </sheetView>
  </sheetViews>
  <sheetFormatPr defaultRowHeight="12.75"/>
  <cols>
    <col min="1" max="1" width="39.875" style="3208" customWidth="1"/>
    <col min="2" max="2" width="6.25" style="3208" customWidth="1"/>
    <col min="3" max="3" width="11.75" style="3208" customWidth="1"/>
    <col min="4" max="4" width="8.375" style="3208" customWidth="1"/>
    <col min="5" max="5" width="10.125" style="3208" customWidth="1"/>
    <col min="6" max="6" width="12.75" style="3218" customWidth="1"/>
    <col min="7" max="7" width="7.875" style="3208" customWidth="1"/>
    <col min="8" max="8" width="9" style="3208" customWidth="1"/>
    <col min="9" max="9" width="10.625" style="3208" hidden="1" customWidth="1"/>
    <col min="10" max="10" width="10.625" style="3208" customWidth="1"/>
    <col min="11" max="11" width="13.75" style="3208" customWidth="1"/>
    <col min="12" max="12" width="13.125" style="3208" customWidth="1"/>
    <col min="13" max="13" width="6.25" style="3208" customWidth="1"/>
    <col min="14" max="14" width="16.5" style="3208" customWidth="1"/>
    <col min="15" max="15" width="7.875" style="3208" customWidth="1"/>
    <col min="16" max="16" width="9" style="3222"/>
    <col min="17" max="256" width="9" style="3208"/>
    <col min="257" max="257" width="39.875" style="3208" customWidth="1"/>
    <col min="258" max="258" width="6.25" style="3208" customWidth="1"/>
    <col min="259" max="259" width="11.75" style="3208" customWidth="1"/>
    <col min="260" max="260" width="8.375" style="3208" customWidth="1"/>
    <col min="261" max="261" width="10.125" style="3208" customWidth="1"/>
    <col min="262" max="262" width="11.625" style="3208" customWidth="1"/>
    <col min="263" max="263" width="7.875" style="3208" customWidth="1"/>
    <col min="264" max="264" width="9" style="3208" customWidth="1"/>
    <col min="265" max="265" width="0" style="3208" hidden="1" customWidth="1"/>
    <col min="266" max="266" width="10.625" style="3208" customWidth="1"/>
    <col min="267" max="268" width="14.375" style="3208" customWidth="1"/>
    <col min="269" max="269" width="6.25" style="3208" customWidth="1"/>
    <col min="270" max="270" width="166.5" style="3208" customWidth="1"/>
    <col min="271" max="271" width="7.875" style="3208" customWidth="1"/>
    <col min="272" max="512" width="9" style="3208"/>
    <col min="513" max="513" width="39.875" style="3208" customWidth="1"/>
    <col min="514" max="514" width="6.25" style="3208" customWidth="1"/>
    <col min="515" max="515" width="11.75" style="3208" customWidth="1"/>
    <col min="516" max="516" width="8.375" style="3208" customWidth="1"/>
    <col min="517" max="517" width="10.125" style="3208" customWidth="1"/>
    <col min="518" max="518" width="11.625" style="3208" customWidth="1"/>
    <col min="519" max="519" width="7.875" style="3208" customWidth="1"/>
    <col min="520" max="520" width="9" style="3208" customWidth="1"/>
    <col min="521" max="521" width="0" style="3208" hidden="1" customWidth="1"/>
    <col min="522" max="522" width="10.625" style="3208" customWidth="1"/>
    <col min="523" max="524" width="14.375" style="3208" customWidth="1"/>
    <col min="525" max="525" width="6.25" style="3208" customWidth="1"/>
    <col min="526" max="526" width="166.5" style="3208" customWidth="1"/>
    <col min="527" max="527" width="7.875" style="3208" customWidth="1"/>
    <col min="528" max="768" width="9" style="3208"/>
    <col min="769" max="769" width="39.875" style="3208" customWidth="1"/>
    <col min="770" max="770" width="6.25" style="3208" customWidth="1"/>
    <col min="771" max="771" width="11.75" style="3208" customWidth="1"/>
    <col min="772" max="772" width="8.375" style="3208" customWidth="1"/>
    <col min="773" max="773" width="10.125" style="3208" customWidth="1"/>
    <col min="774" max="774" width="11.625" style="3208" customWidth="1"/>
    <col min="775" max="775" width="7.875" style="3208" customWidth="1"/>
    <col min="776" max="776" width="9" style="3208" customWidth="1"/>
    <col min="777" max="777" width="0" style="3208" hidden="1" customWidth="1"/>
    <col min="778" max="778" width="10.625" style="3208" customWidth="1"/>
    <col min="779" max="780" width="14.375" style="3208" customWidth="1"/>
    <col min="781" max="781" width="6.25" style="3208" customWidth="1"/>
    <col min="782" max="782" width="166.5" style="3208" customWidth="1"/>
    <col min="783" max="783" width="7.875" style="3208" customWidth="1"/>
    <col min="784" max="1024" width="9" style="3208"/>
    <col min="1025" max="1025" width="39.875" style="3208" customWidth="1"/>
    <col min="1026" max="1026" width="6.25" style="3208" customWidth="1"/>
    <col min="1027" max="1027" width="11.75" style="3208" customWidth="1"/>
    <col min="1028" max="1028" width="8.375" style="3208" customWidth="1"/>
    <col min="1029" max="1029" width="10.125" style="3208" customWidth="1"/>
    <col min="1030" max="1030" width="11.625" style="3208" customWidth="1"/>
    <col min="1031" max="1031" width="7.875" style="3208" customWidth="1"/>
    <col min="1032" max="1032" width="9" style="3208" customWidth="1"/>
    <col min="1033" max="1033" width="0" style="3208" hidden="1" customWidth="1"/>
    <col min="1034" max="1034" width="10.625" style="3208" customWidth="1"/>
    <col min="1035" max="1036" width="14.375" style="3208" customWidth="1"/>
    <col min="1037" max="1037" width="6.25" style="3208" customWidth="1"/>
    <col min="1038" max="1038" width="166.5" style="3208" customWidth="1"/>
    <col min="1039" max="1039" width="7.875" style="3208" customWidth="1"/>
    <col min="1040" max="1280" width="9" style="3208"/>
    <col min="1281" max="1281" width="39.875" style="3208" customWidth="1"/>
    <col min="1282" max="1282" width="6.25" style="3208" customWidth="1"/>
    <col min="1283" max="1283" width="11.75" style="3208" customWidth="1"/>
    <col min="1284" max="1284" width="8.375" style="3208" customWidth="1"/>
    <col min="1285" max="1285" width="10.125" style="3208" customWidth="1"/>
    <col min="1286" max="1286" width="11.625" style="3208" customWidth="1"/>
    <col min="1287" max="1287" width="7.875" style="3208" customWidth="1"/>
    <col min="1288" max="1288" width="9" style="3208" customWidth="1"/>
    <col min="1289" max="1289" width="0" style="3208" hidden="1" customWidth="1"/>
    <col min="1290" max="1290" width="10.625" style="3208" customWidth="1"/>
    <col min="1291" max="1292" width="14.375" style="3208" customWidth="1"/>
    <col min="1293" max="1293" width="6.25" style="3208" customWidth="1"/>
    <col min="1294" max="1294" width="166.5" style="3208" customWidth="1"/>
    <col min="1295" max="1295" width="7.875" style="3208" customWidth="1"/>
    <col min="1296" max="1536" width="9" style="3208"/>
    <col min="1537" max="1537" width="39.875" style="3208" customWidth="1"/>
    <col min="1538" max="1538" width="6.25" style="3208" customWidth="1"/>
    <col min="1539" max="1539" width="11.75" style="3208" customWidth="1"/>
    <col min="1540" max="1540" width="8.375" style="3208" customWidth="1"/>
    <col min="1541" max="1541" width="10.125" style="3208" customWidth="1"/>
    <col min="1542" max="1542" width="11.625" style="3208" customWidth="1"/>
    <col min="1543" max="1543" width="7.875" style="3208" customWidth="1"/>
    <col min="1544" max="1544" width="9" style="3208" customWidth="1"/>
    <col min="1545" max="1545" width="0" style="3208" hidden="1" customWidth="1"/>
    <col min="1546" max="1546" width="10.625" style="3208" customWidth="1"/>
    <col min="1547" max="1548" width="14.375" style="3208" customWidth="1"/>
    <col min="1549" max="1549" width="6.25" style="3208" customWidth="1"/>
    <col min="1550" max="1550" width="166.5" style="3208" customWidth="1"/>
    <col min="1551" max="1551" width="7.875" style="3208" customWidth="1"/>
    <col min="1552" max="1792" width="9" style="3208"/>
    <col min="1793" max="1793" width="39.875" style="3208" customWidth="1"/>
    <col min="1794" max="1794" width="6.25" style="3208" customWidth="1"/>
    <col min="1795" max="1795" width="11.75" style="3208" customWidth="1"/>
    <col min="1796" max="1796" width="8.375" style="3208" customWidth="1"/>
    <col min="1797" max="1797" width="10.125" style="3208" customWidth="1"/>
    <col min="1798" max="1798" width="11.625" style="3208" customWidth="1"/>
    <col min="1799" max="1799" width="7.875" style="3208" customWidth="1"/>
    <col min="1800" max="1800" width="9" style="3208" customWidth="1"/>
    <col min="1801" max="1801" width="0" style="3208" hidden="1" customWidth="1"/>
    <col min="1802" max="1802" width="10.625" style="3208" customWidth="1"/>
    <col min="1803" max="1804" width="14.375" style="3208" customWidth="1"/>
    <col min="1805" max="1805" width="6.25" style="3208" customWidth="1"/>
    <col min="1806" max="1806" width="166.5" style="3208" customWidth="1"/>
    <col min="1807" max="1807" width="7.875" style="3208" customWidth="1"/>
    <col min="1808" max="2048" width="9" style="3208"/>
    <col min="2049" max="2049" width="39.875" style="3208" customWidth="1"/>
    <col min="2050" max="2050" width="6.25" style="3208" customWidth="1"/>
    <col min="2051" max="2051" width="11.75" style="3208" customWidth="1"/>
    <col min="2052" max="2052" width="8.375" style="3208" customWidth="1"/>
    <col min="2053" max="2053" width="10.125" style="3208" customWidth="1"/>
    <col min="2054" max="2054" width="11.625" style="3208" customWidth="1"/>
    <col min="2055" max="2055" width="7.875" style="3208" customWidth="1"/>
    <col min="2056" max="2056" width="9" style="3208" customWidth="1"/>
    <col min="2057" max="2057" width="0" style="3208" hidden="1" customWidth="1"/>
    <col min="2058" max="2058" width="10.625" style="3208" customWidth="1"/>
    <col min="2059" max="2060" width="14.375" style="3208" customWidth="1"/>
    <col min="2061" max="2061" width="6.25" style="3208" customWidth="1"/>
    <col min="2062" max="2062" width="166.5" style="3208" customWidth="1"/>
    <col min="2063" max="2063" width="7.875" style="3208" customWidth="1"/>
    <col min="2064" max="2304" width="9" style="3208"/>
    <col min="2305" max="2305" width="39.875" style="3208" customWidth="1"/>
    <col min="2306" max="2306" width="6.25" style="3208" customWidth="1"/>
    <col min="2307" max="2307" width="11.75" style="3208" customWidth="1"/>
    <col min="2308" max="2308" width="8.375" style="3208" customWidth="1"/>
    <col min="2309" max="2309" width="10.125" style="3208" customWidth="1"/>
    <col min="2310" max="2310" width="11.625" style="3208" customWidth="1"/>
    <col min="2311" max="2311" width="7.875" style="3208" customWidth="1"/>
    <col min="2312" max="2312" width="9" style="3208" customWidth="1"/>
    <col min="2313" max="2313" width="0" style="3208" hidden="1" customWidth="1"/>
    <col min="2314" max="2314" width="10.625" style="3208" customWidth="1"/>
    <col min="2315" max="2316" width="14.375" style="3208" customWidth="1"/>
    <col min="2317" max="2317" width="6.25" style="3208" customWidth="1"/>
    <col min="2318" max="2318" width="166.5" style="3208" customWidth="1"/>
    <col min="2319" max="2319" width="7.875" style="3208" customWidth="1"/>
    <col min="2320" max="2560" width="9" style="3208"/>
    <col min="2561" max="2561" width="39.875" style="3208" customWidth="1"/>
    <col min="2562" max="2562" width="6.25" style="3208" customWidth="1"/>
    <col min="2563" max="2563" width="11.75" style="3208" customWidth="1"/>
    <col min="2564" max="2564" width="8.375" style="3208" customWidth="1"/>
    <col min="2565" max="2565" width="10.125" style="3208" customWidth="1"/>
    <col min="2566" max="2566" width="11.625" style="3208" customWidth="1"/>
    <col min="2567" max="2567" width="7.875" style="3208" customWidth="1"/>
    <col min="2568" max="2568" width="9" style="3208" customWidth="1"/>
    <col min="2569" max="2569" width="0" style="3208" hidden="1" customWidth="1"/>
    <col min="2570" max="2570" width="10.625" style="3208" customWidth="1"/>
    <col min="2571" max="2572" width="14.375" style="3208" customWidth="1"/>
    <col min="2573" max="2573" width="6.25" style="3208" customWidth="1"/>
    <col min="2574" max="2574" width="166.5" style="3208" customWidth="1"/>
    <col min="2575" max="2575" width="7.875" style="3208" customWidth="1"/>
    <col min="2576" max="2816" width="9" style="3208"/>
    <col min="2817" max="2817" width="39.875" style="3208" customWidth="1"/>
    <col min="2818" max="2818" width="6.25" style="3208" customWidth="1"/>
    <col min="2819" max="2819" width="11.75" style="3208" customWidth="1"/>
    <col min="2820" max="2820" width="8.375" style="3208" customWidth="1"/>
    <col min="2821" max="2821" width="10.125" style="3208" customWidth="1"/>
    <col min="2822" max="2822" width="11.625" style="3208" customWidth="1"/>
    <col min="2823" max="2823" width="7.875" style="3208" customWidth="1"/>
    <col min="2824" max="2824" width="9" style="3208" customWidth="1"/>
    <col min="2825" max="2825" width="0" style="3208" hidden="1" customWidth="1"/>
    <col min="2826" max="2826" width="10.625" style="3208" customWidth="1"/>
    <col min="2827" max="2828" width="14.375" style="3208" customWidth="1"/>
    <col min="2829" max="2829" width="6.25" style="3208" customWidth="1"/>
    <col min="2830" max="2830" width="166.5" style="3208" customWidth="1"/>
    <col min="2831" max="2831" width="7.875" style="3208" customWidth="1"/>
    <col min="2832" max="3072" width="9" style="3208"/>
    <col min="3073" max="3073" width="39.875" style="3208" customWidth="1"/>
    <col min="3074" max="3074" width="6.25" style="3208" customWidth="1"/>
    <col min="3075" max="3075" width="11.75" style="3208" customWidth="1"/>
    <col min="3076" max="3076" width="8.375" style="3208" customWidth="1"/>
    <col min="3077" max="3077" width="10.125" style="3208" customWidth="1"/>
    <col min="3078" max="3078" width="11.625" style="3208" customWidth="1"/>
    <col min="3079" max="3079" width="7.875" style="3208" customWidth="1"/>
    <col min="3080" max="3080" width="9" style="3208" customWidth="1"/>
    <col min="3081" max="3081" width="0" style="3208" hidden="1" customWidth="1"/>
    <col min="3082" max="3082" width="10.625" style="3208" customWidth="1"/>
    <col min="3083" max="3084" width="14.375" style="3208" customWidth="1"/>
    <col min="3085" max="3085" width="6.25" style="3208" customWidth="1"/>
    <col min="3086" max="3086" width="166.5" style="3208" customWidth="1"/>
    <col min="3087" max="3087" width="7.875" style="3208" customWidth="1"/>
    <col min="3088" max="3328" width="9" style="3208"/>
    <col min="3329" max="3329" width="39.875" style="3208" customWidth="1"/>
    <col min="3330" max="3330" width="6.25" style="3208" customWidth="1"/>
    <col min="3331" max="3331" width="11.75" style="3208" customWidth="1"/>
    <col min="3332" max="3332" width="8.375" style="3208" customWidth="1"/>
    <col min="3333" max="3333" width="10.125" style="3208" customWidth="1"/>
    <col min="3334" max="3334" width="11.625" style="3208" customWidth="1"/>
    <col min="3335" max="3335" width="7.875" style="3208" customWidth="1"/>
    <col min="3336" max="3336" width="9" style="3208" customWidth="1"/>
    <col min="3337" max="3337" width="0" style="3208" hidden="1" customWidth="1"/>
    <col min="3338" max="3338" width="10.625" style="3208" customWidth="1"/>
    <col min="3339" max="3340" width="14.375" style="3208" customWidth="1"/>
    <col min="3341" max="3341" width="6.25" style="3208" customWidth="1"/>
    <col min="3342" max="3342" width="166.5" style="3208" customWidth="1"/>
    <col min="3343" max="3343" width="7.875" style="3208" customWidth="1"/>
    <col min="3344" max="3584" width="9" style="3208"/>
    <col min="3585" max="3585" width="39.875" style="3208" customWidth="1"/>
    <col min="3586" max="3586" width="6.25" style="3208" customWidth="1"/>
    <col min="3587" max="3587" width="11.75" style="3208" customWidth="1"/>
    <col min="3588" max="3588" width="8.375" style="3208" customWidth="1"/>
    <col min="3589" max="3589" width="10.125" style="3208" customWidth="1"/>
    <col min="3590" max="3590" width="11.625" style="3208" customWidth="1"/>
    <col min="3591" max="3591" width="7.875" style="3208" customWidth="1"/>
    <col min="3592" max="3592" width="9" style="3208" customWidth="1"/>
    <col min="3593" max="3593" width="0" style="3208" hidden="1" customWidth="1"/>
    <col min="3594" max="3594" width="10.625" style="3208" customWidth="1"/>
    <col min="3595" max="3596" width="14.375" style="3208" customWidth="1"/>
    <col min="3597" max="3597" width="6.25" style="3208" customWidth="1"/>
    <col min="3598" max="3598" width="166.5" style="3208" customWidth="1"/>
    <col min="3599" max="3599" width="7.875" style="3208" customWidth="1"/>
    <col min="3600" max="3840" width="9" style="3208"/>
    <col min="3841" max="3841" width="39.875" style="3208" customWidth="1"/>
    <col min="3842" max="3842" width="6.25" style="3208" customWidth="1"/>
    <col min="3843" max="3843" width="11.75" style="3208" customWidth="1"/>
    <col min="3844" max="3844" width="8.375" style="3208" customWidth="1"/>
    <col min="3845" max="3845" width="10.125" style="3208" customWidth="1"/>
    <col min="3846" max="3846" width="11.625" style="3208" customWidth="1"/>
    <col min="3847" max="3847" width="7.875" style="3208" customWidth="1"/>
    <col min="3848" max="3848" width="9" style="3208" customWidth="1"/>
    <col min="3849" max="3849" width="0" style="3208" hidden="1" customWidth="1"/>
    <col min="3850" max="3850" width="10.625" style="3208" customWidth="1"/>
    <col min="3851" max="3852" width="14.375" style="3208" customWidth="1"/>
    <col min="3853" max="3853" width="6.25" style="3208" customWidth="1"/>
    <col min="3854" max="3854" width="166.5" style="3208" customWidth="1"/>
    <col min="3855" max="3855" width="7.875" style="3208" customWidth="1"/>
    <col min="3856" max="4096" width="9" style="3208"/>
    <col min="4097" max="4097" width="39.875" style="3208" customWidth="1"/>
    <col min="4098" max="4098" width="6.25" style="3208" customWidth="1"/>
    <col min="4099" max="4099" width="11.75" style="3208" customWidth="1"/>
    <col min="4100" max="4100" width="8.375" style="3208" customWidth="1"/>
    <col min="4101" max="4101" width="10.125" style="3208" customWidth="1"/>
    <col min="4102" max="4102" width="11.625" style="3208" customWidth="1"/>
    <col min="4103" max="4103" width="7.875" style="3208" customWidth="1"/>
    <col min="4104" max="4104" width="9" style="3208" customWidth="1"/>
    <col min="4105" max="4105" width="0" style="3208" hidden="1" customWidth="1"/>
    <col min="4106" max="4106" width="10.625" style="3208" customWidth="1"/>
    <col min="4107" max="4108" width="14.375" style="3208" customWidth="1"/>
    <col min="4109" max="4109" width="6.25" style="3208" customWidth="1"/>
    <col min="4110" max="4110" width="166.5" style="3208" customWidth="1"/>
    <col min="4111" max="4111" width="7.875" style="3208" customWidth="1"/>
    <col min="4112" max="4352" width="9" style="3208"/>
    <col min="4353" max="4353" width="39.875" style="3208" customWidth="1"/>
    <col min="4354" max="4354" width="6.25" style="3208" customWidth="1"/>
    <col min="4355" max="4355" width="11.75" style="3208" customWidth="1"/>
    <col min="4356" max="4356" width="8.375" style="3208" customWidth="1"/>
    <col min="4357" max="4357" width="10.125" style="3208" customWidth="1"/>
    <col min="4358" max="4358" width="11.625" style="3208" customWidth="1"/>
    <col min="4359" max="4359" width="7.875" style="3208" customWidth="1"/>
    <col min="4360" max="4360" width="9" style="3208" customWidth="1"/>
    <col min="4361" max="4361" width="0" style="3208" hidden="1" customWidth="1"/>
    <col min="4362" max="4362" width="10.625" style="3208" customWidth="1"/>
    <col min="4363" max="4364" width="14.375" style="3208" customWidth="1"/>
    <col min="4365" max="4365" width="6.25" style="3208" customWidth="1"/>
    <col min="4366" max="4366" width="166.5" style="3208" customWidth="1"/>
    <col min="4367" max="4367" width="7.875" style="3208" customWidth="1"/>
    <col min="4368" max="4608" width="9" style="3208"/>
    <col min="4609" max="4609" width="39.875" style="3208" customWidth="1"/>
    <col min="4610" max="4610" width="6.25" style="3208" customWidth="1"/>
    <col min="4611" max="4611" width="11.75" style="3208" customWidth="1"/>
    <col min="4612" max="4612" width="8.375" style="3208" customWidth="1"/>
    <col min="4613" max="4613" width="10.125" style="3208" customWidth="1"/>
    <col min="4614" max="4614" width="11.625" style="3208" customWidth="1"/>
    <col min="4615" max="4615" width="7.875" style="3208" customWidth="1"/>
    <col min="4616" max="4616" width="9" style="3208" customWidth="1"/>
    <col min="4617" max="4617" width="0" style="3208" hidden="1" customWidth="1"/>
    <col min="4618" max="4618" width="10.625" style="3208" customWidth="1"/>
    <col min="4619" max="4620" width="14.375" style="3208" customWidth="1"/>
    <col min="4621" max="4621" width="6.25" style="3208" customWidth="1"/>
    <col min="4622" max="4622" width="166.5" style="3208" customWidth="1"/>
    <col min="4623" max="4623" width="7.875" style="3208" customWidth="1"/>
    <col min="4624" max="4864" width="9" style="3208"/>
    <col min="4865" max="4865" width="39.875" style="3208" customWidth="1"/>
    <col min="4866" max="4866" width="6.25" style="3208" customWidth="1"/>
    <col min="4867" max="4867" width="11.75" style="3208" customWidth="1"/>
    <col min="4868" max="4868" width="8.375" style="3208" customWidth="1"/>
    <col min="4869" max="4869" width="10.125" style="3208" customWidth="1"/>
    <col min="4870" max="4870" width="11.625" style="3208" customWidth="1"/>
    <col min="4871" max="4871" width="7.875" style="3208" customWidth="1"/>
    <col min="4872" max="4872" width="9" style="3208" customWidth="1"/>
    <col min="4873" max="4873" width="0" style="3208" hidden="1" customWidth="1"/>
    <col min="4874" max="4874" width="10.625" style="3208" customWidth="1"/>
    <col min="4875" max="4876" width="14.375" style="3208" customWidth="1"/>
    <col min="4877" max="4877" width="6.25" style="3208" customWidth="1"/>
    <col min="4878" max="4878" width="166.5" style="3208" customWidth="1"/>
    <col min="4879" max="4879" width="7.875" style="3208" customWidth="1"/>
    <col min="4880" max="5120" width="9" style="3208"/>
    <col min="5121" max="5121" width="39.875" style="3208" customWidth="1"/>
    <col min="5122" max="5122" width="6.25" style="3208" customWidth="1"/>
    <col min="5123" max="5123" width="11.75" style="3208" customWidth="1"/>
    <col min="5124" max="5124" width="8.375" style="3208" customWidth="1"/>
    <col min="5125" max="5125" width="10.125" style="3208" customWidth="1"/>
    <col min="5126" max="5126" width="11.625" style="3208" customWidth="1"/>
    <col min="5127" max="5127" width="7.875" style="3208" customWidth="1"/>
    <col min="5128" max="5128" width="9" style="3208" customWidth="1"/>
    <col min="5129" max="5129" width="0" style="3208" hidden="1" customWidth="1"/>
    <col min="5130" max="5130" width="10.625" style="3208" customWidth="1"/>
    <col min="5131" max="5132" width="14.375" style="3208" customWidth="1"/>
    <col min="5133" max="5133" width="6.25" style="3208" customWidth="1"/>
    <col min="5134" max="5134" width="166.5" style="3208" customWidth="1"/>
    <col min="5135" max="5135" width="7.875" style="3208" customWidth="1"/>
    <col min="5136" max="5376" width="9" style="3208"/>
    <col min="5377" max="5377" width="39.875" style="3208" customWidth="1"/>
    <col min="5378" max="5378" width="6.25" style="3208" customWidth="1"/>
    <col min="5379" max="5379" width="11.75" style="3208" customWidth="1"/>
    <col min="5380" max="5380" width="8.375" style="3208" customWidth="1"/>
    <col min="5381" max="5381" width="10.125" style="3208" customWidth="1"/>
    <col min="5382" max="5382" width="11.625" style="3208" customWidth="1"/>
    <col min="5383" max="5383" width="7.875" style="3208" customWidth="1"/>
    <col min="5384" max="5384" width="9" style="3208" customWidth="1"/>
    <col min="5385" max="5385" width="0" style="3208" hidden="1" customWidth="1"/>
    <col min="5386" max="5386" width="10.625" style="3208" customWidth="1"/>
    <col min="5387" max="5388" width="14.375" style="3208" customWidth="1"/>
    <col min="5389" max="5389" width="6.25" style="3208" customWidth="1"/>
    <col min="5390" max="5390" width="166.5" style="3208" customWidth="1"/>
    <col min="5391" max="5391" width="7.875" style="3208" customWidth="1"/>
    <col min="5392" max="5632" width="9" style="3208"/>
    <col min="5633" max="5633" width="39.875" style="3208" customWidth="1"/>
    <col min="5634" max="5634" width="6.25" style="3208" customWidth="1"/>
    <col min="5635" max="5635" width="11.75" style="3208" customWidth="1"/>
    <col min="5636" max="5636" width="8.375" style="3208" customWidth="1"/>
    <col min="5637" max="5637" width="10.125" style="3208" customWidth="1"/>
    <col min="5638" max="5638" width="11.625" style="3208" customWidth="1"/>
    <col min="5639" max="5639" width="7.875" style="3208" customWidth="1"/>
    <col min="5640" max="5640" width="9" style="3208" customWidth="1"/>
    <col min="5641" max="5641" width="0" style="3208" hidden="1" customWidth="1"/>
    <col min="5642" max="5642" width="10.625" style="3208" customWidth="1"/>
    <col min="5643" max="5644" width="14.375" style="3208" customWidth="1"/>
    <col min="5645" max="5645" width="6.25" style="3208" customWidth="1"/>
    <col min="5646" max="5646" width="166.5" style="3208" customWidth="1"/>
    <col min="5647" max="5647" width="7.875" style="3208" customWidth="1"/>
    <col min="5648" max="5888" width="9" style="3208"/>
    <col min="5889" max="5889" width="39.875" style="3208" customWidth="1"/>
    <col min="5890" max="5890" width="6.25" style="3208" customWidth="1"/>
    <col min="5891" max="5891" width="11.75" style="3208" customWidth="1"/>
    <col min="5892" max="5892" width="8.375" style="3208" customWidth="1"/>
    <col min="5893" max="5893" width="10.125" style="3208" customWidth="1"/>
    <col min="5894" max="5894" width="11.625" style="3208" customWidth="1"/>
    <col min="5895" max="5895" width="7.875" style="3208" customWidth="1"/>
    <col min="5896" max="5896" width="9" style="3208" customWidth="1"/>
    <col min="5897" max="5897" width="0" style="3208" hidden="1" customWidth="1"/>
    <col min="5898" max="5898" width="10.625" style="3208" customWidth="1"/>
    <col min="5899" max="5900" width="14.375" style="3208" customWidth="1"/>
    <col min="5901" max="5901" width="6.25" style="3208" customWidth="1"/>
    <col min="5902" max="5902" width="166.5" style="3208" customWidth="1"/>
    <col min="5903" max="5903" width="7.875" style="3208" customWidth="1"/>
    <col min="5904" max="6144" width="9" style="3208"/>
    <col min="6145" max="6145" width="39.875" style="3208" customWidth="1"/>
    <col min="6146" max="6146" width="6.25" style="3208" customWidth="1"/>
    <col min="6147" max="6147" width="11.75" style="3208" customWidth="1"/>
    <col min="6148" max="6148" width="8.375" style="3208" customWidth="1"/>
    <col min="6149" max="6149" width="10.125" style="3208" customWidth="1"/>
    <col min="6150" max="6150" width="11.625" style="3208" customWidth="1"/>
    <col min="6151" max="6151" width="7.875" style="3208" customWidth="1"/>
    <col min="6152" max="6152" width="9" style="3208" customWidth="1"/>
    <col min="6153" max="6153" width="0" style="3208" hidden="1" customWidth="1"/>
    <col min="6154" max="6154" width="10.625" style="3208" customWidth="1"/>
    <col min="6155" max="6156" width="14.375" style="3208" customWidth="1"/>
    <col min="6157" max="6157" width="6.25" style="3208" customWidth="1"/>
    <col min="6158" max="6158" width="166.5" style="3208" customWidth="1"/>
    <col min="6159" max="6159" width="7.875" style="3208" customWidth="1"/>
    <col min="6160" max="6400" width="9" style="3208"/>
    <col min="6401" max="6401" width="39.875" style="3208" customWidth="1"/>
    <col min="6402" max="6402" width="6.25" style="3208" customWidth="1"/>
    <col min="6403" max="6403" width="11.75" style="3208" customWidth="1"/>
    <col min="6404" max="6404" width="8.375" style="3208" customWidth="1"/>
    <col min="6405" max="6405" width="10.125" style="3208" customWidth="1"/>
    <col min="6406" max="6406" width="11.625" style="3208" customWidth="1"/>
    <col min="6407" max="6407" width="7.875" style="3208" customWidth="1"/>
    <col min="6408" max="6408" width="9" style="3208" customWidth="1"/>
    <col min="6409" max="6409" width="0" style="3208" hidden="1" customWidth="1"/>
    <col min="6410" max="6410" width="10.625" style="3208" customWidth="1"/>
    <col min="6411" max="6412" width="14.375" style="3208" customWidth="1"/>
    <col min="6413" max="6413" width="6.25" style="3208" customWidth="1"/>
    <col min="6414" max="6414" width="166.5" style="3208" customWidth="1"/>
    <col min="6415" max="6415" width="7.875" style="3208" customWidth="1"/>
    <col min="6416" max="6656" width="9" style="3208"/>
    <col min="6657" max="6657" width="39.875" style="3208" customWidth="1"/>
    <col min="6658" max="6658" width="6.25" style="3208" customWidth="1"/>
    <col min="6659" max="6659" width="11.75" style="3208" customWidth="1"/>
    <col min="6660" max="6660" width="8.375" style="3208" customWidth="1"/>
    <col min="6661" max="6661" width="10.125" style="3208" customWidth="1"/>
    <col min="6662" max="6662" width="11.625" style="3208" customWidth="1"/>
    <col min="6663" max="6663" width="7.875" style="3208" customWidth="1"/>
    <col min="6664" max="6664" width="9" style="3208" customWidth="1"/>
    <col min="6665" max="6665" width="0" style="3208" hidden="1" customWidth="1"/>
    <col min="6666" max="6666" width="10.625" style="3208" customWidth="1"/>
    <col min="6667" max="6668" width="14.375" style="3208" customWidth="1"/>
    <col min="6669" max="6669" width="6.25" style="3208" customWidth="1"/>
    <col min="6670" max="6670" width="166.5" style="3208" customWidth="1"/>
    <col min="6671" max="6671" width="7.875" style="3208" customWidth="1"/>
    <col min="6672" max="6912" width="9" style="3208"/>
    <col min="6913" max="6913" width="39.875" style="3208" customWidth="1"/>
    <col min="6914" max="6914" width="6.25" style="3208" customWidth="1"/>
    <col min="6915" max="6915" width="11.75" style="3208" customWidth="1"/>
    <col min="6916" max="6916" width="8.375" style="3208" customWidth="1"/>
    <col min="6917" max="6917" width="10.125" style="3208" customWidth="1"/>
    <col min="6918" max="6918" width="11.625" style="3208" customWidth="1"/>
    <col min="6919" max="6919" width="7.875" style="3208" customWidth="1"/>
    <col min="6920" max="6920" width="9" style="3208" customWidth="1"/>
    <col min="6921" max="6921" width="0" style="3208" hidden="1" customWidth="1"/>
    <col min="6922" max="6922" width="10.625" style="3208" customWidth="1"/>
    <col min="6923" max="6924" width="14.375" style="3208" customWidth="1"/>
    <col min="6925" max="6925" width="6.25" style="3208" customWidth="1"/>
    <col min="6926" max="6926" width="166.5" style="3208" customWidth="1"/>
    <col min="6927" max="6927" width="7.875" style="3208" customWidth="1"/>
    <col min="6928" max="7168" width="9" style="3208"/>
    <col min="7169" max="7169" width="39.875" style="3208" customWidth="1"/>
    <col min="7170" max="7170" width="6.25" style="3208" customWidth="1"/>
    <col min="7171" max="7171" width="11.75" style="3208" customWidth="1"/>
    <col min="7172" max="7172" width="8.375" style="3208" customWidth="1"/>
    <col min="7173" max="7173" width="10.125" style="3208" customWidth="1"/>
    <col min="7174" max="7174" width="11.625" style="3208" customWidth="1"/>
    <col min="7175" max="7175" width="7.875" style="3208" customWidth="1"/>
    <col min="7176" max="7176" width="9" style="3208" customWidth="1"/>
    <col min="7177" max="7177" width="0" style="3208" hidden="1" customWidth="1"/>
    <col min="7178" max="7178" width="10.625" style="3208" customWidth="1"/>
    <col min="7179" max="7180" width="14.375" style="3208" customWidth="1"/>
    <col min="7181" max="7181" width="6.25" style="3208" customWidth="1"/>
    <col min="7182" max="7182" width="166.5" style="3208" customWidth="1"/>
    <col min="7183" max="7183" width="7.875" style="3208" customWidth="1"/>
    <col min="7184" max="7424" width="9" style="3208"/>
    <col min="7425" max="7425" width="39.875" style="3208" customWidth="1"/>
    <col min="7426" max="7426" width="6.25" style="3208" customWidth="1"/>
    <col min="7427" max="7427" width="11.75" style="3208" customWidth="1"/>
    <col min="7428" max="7428" width="8.375" style="3208" customWidth="1"/>
    <col min="7429" max="7429" width="10.125" style="3208" customWidth="1"/>
    <col min="7430" max="7430" width="11.625" style="3208" customWidth="1"/>
    <col min="7431" max="7431" width="7.875" style="3208" customWidth="1"/>
    <col min="7432" max="7432" width="9" style="3208" customWidth="1"/>
    <col min="7433" max="7433" width="0" style="3208" hidden="1" customWidth="1"/>
    <col min="7434" max="7434" width="10.625" style="3208" customWidth="1"/>
    <col min="7435" max="7436" width="14.375" style="3208" customWidth="1"/>
    <col min="7437" max="7437" width="6.25" style="3208" customWidth="1"/>
    <col min="7438" max="7438" width="166.5" style="3208" customWidth="1"/>
    <col min="7439" max="7439" width="7.875" style="3208" customWidth="1"/>
    <col min="7440" max="7680" width="9" style="3208"/>
    <col min="7681" max="7681" width="39.875" style="3208" customWidth="1"/>
    <col min="7682" max="7682" width="6.25" style="3208" customWidth="1"/>
    <col min="7683" max="7683" width="11.75" style="3208" customWidth="1"/>
    <col min="7684" max="7684" width="8.375" style="3208" customWidth="1"/>
    <col min="7685" max="7685" width="10.125" style="3208" customWidth="1"/>
    <col min="7686" max="7686" width="11.625" style="3208" customWidth="1"/>
    <col min="7687" max="7687" width="7.875" style="3208" customWidth="1"/>
    <col min="7688" max="7688" width="9" style="3208" customWidth="1"/>
    <col min="7689" max="7689" width="0" style="3208" hidden="1" customWidth="1"/>
    <col min="7690" max="7690" width="10.625" style="3208" customWidth="1"/>
    <col min="7691" max="7692" width="14.375" style="3208" customWidth="1"/>
    <col min="7693" max="7693" width="6.25" style="3208" customWidth="1"/>
    <col min="7694" max="7694" width="166.5" style="3208" customWidth="1"/>
    <col min="7695" max="7695" width="7.875" style="3208" customWidth="1"/>
    <col min="7696" max="7936" width="9" style="3208"/>
    <col min="7937" max="7937" width="39.875" style="3208" customWidth="1"/>
    <col min="7938" max="7938" width="6.25" style="3208" customWidth="1"/>
    <col min="7939" max="7939" width="11.75" style="3208" customWidth="1"/>
    <col min="7940" max="7940" width="8.375" style="3208" customWidth="1"/>
    <col min="7941" max="7941" width="10.125" style="3208" customWidth="1"/>
    <col min="7942" max="7942" width="11.625" style="3208" customWidth="1"/>
    <col min="7943" max="7943" width="7.875" style="3208" customWidth="1"/>
    <col min="7944" max="7944" width="9" style="3208" customWidth="1"/>
    <col min="7945" max="7945" width="0" style="3208" hidden="1" customWidth="1"/>
    <col min="7946" max="7946" width="10.625" style="3208" customWidth="1"/>
    <col min="7947" max="7948" width="14.375" style="3208" customWidth="1"/>
    <col min="7949" max="7949" width="6.25" style="3208" customWidth="1"/>
    <col min="7950" max="7950" width="166.5" style="3208" customWidth="1"/>
    <col min="7951" max="7951" width="7.875" style="3208" customWidth="1"/>
    <col min="7952" max="8192" width="9" style="3208"/>
    <col min="8193" max="8193" width="39.875" style="3208" customWidth="1"/>
    <col min="8194" max="8194" width="6.25" style="3208" customWidth="1"/>
    <col min="8195" max="8195" width="11.75" style="3208" customWidth="1"/>
    <col min="8196" max="8196" width="8.375" style="3208" customWidth="1"/>
    <col min="8197" max="8197" width="10.125" style="3208" customWidth="1"/>
    <col min="8198" max="8198" width="11.625" style="3208" customWidth="1"/>
    <col min="8199" max="8199" width="7.875" style="3208" customWidth="1"/>
    <col min="8200" max="8200" width="9" style="3208" customWidth="1"/>
    <col min="8201" max="8201" width="0" style="3208" hidden="1" customWidth="1"/>
    <col min="8202" max="8202" width="10.625" style="3208" customWidth="1"/>
    <col min="8203" max="8204" width="14.375" style="3208" customWidth="1"/>
    <col min="8205" max="8205" width="6.25" style="3208" customWidth="1"/>
    <col min="8206" max="8206" width="166.5" style="3208" customWidth="1"/>
    <col min="8207" max="8207" width="7.875" style="3208" customWidth="1"/>
    <col min="8208" max="8448" width="9" style="3208"/>
    <col min="8449" max="8449" width="39.875" style="3208" customWidth="1"/>
    <col min="8450" max="8450" width="6.25" style="3208" customWidth="1"/>
    <col min="8451" max="8451" width="11.75" style="3208" customWidth="1"/>
    <col min="8452" max="8452" width="8.375" style="3208" customWidth="1"/>
    <col min="8453" max="8453" width="10.125" style="3208" customWidth="1"/>
    <col min="8454" max="8454" width="11.625" style="3208" customWidth="1"/>
    <col min="8455" max="8455" width="7.875" style="3208" customWidth="1"/>
    <col min="8456" max="8456" width="9" style="3208" customWidth="1"/>
    <col min="8457" max="8457" width="0" style="3208" hidden="1" customWidth="1"/>
    <col min="8458" max="8458" width="10.625" style="3208" customWidth="1"/>
    <col min="8459" max="8460" width="14.375" style="3208" customWidth="1"/>
    <col min="8461" max="8461" width="6.25" style="3208" customWidth="1"/>
    <col min="8462" max="8462" width="166.5" style="3208" customWidth="1"/>
    <col min="8463" max="8463" width="7.875" style="3208" customWidth="1"/>
    <col min="8464" max="8704" width="9" style="3208"/>
    <col min="8705" max="8705" width="39.875" style="3208" customWidth="1"/>
    <col min="8706" max="8706" width="6.25" style="3208" customWidth="1"/>
    <col min="8707" max="8707" width="11.75" style="3208" customWidth="1"/>
    <col min="8708" max="8708" width="8.375" style="3208" customWidth="1"/>
    <col min="8709" max="8709" width="10.125" style="3208" customWidth="1"/>
    <col min="8710" max="8710" width="11.625" style="3208" customWidth="1"/>
    <col min="8711" max="8711" width="7.875" style="3208" customWidth="1"/>
    <col min="8712" max="8712" width="9" style="3208" customWidth="1"/>
    <col min="8713" max="8713" width="0" style="3208" hidden="1" customWidth="1"/>
    <col min="8714" max="8714" width="10.625" style="3208" customWidth="1"/>
    <col min="8715" max="8716" width="14.375" style="3208" customWidth="1"/>
    <col min="8717" max="8717" width="6.25" style="3208" customWidth="1"/>
    <col min="8718" max="8718" width="166.5" style="3208" customWidth="1"/>
    <col min="8719" max="8719" width="7.875" style="3208" customWidth="1"/>
    <col min="8720" max="8960" width="9" style="3208"/>
    <col min="8961" max="8961" width="39.875" style="3208" customWidth="1"/>
    <col min="8962" max="8962" width="6.25" style="3208" customWidth="1"/>
    <col min="8963" max="8963" width="11.75" style="3208" customWidth="1"/>
    <col min="8964" max="8964" width="8.375" style="3208" customWidth="1"/>
    <col min="8965" max="8965" width="10.125" style="3208" customWidth="1"/>
    <col min="8966" max="8966" width="11.625" style="3208" customWidth="1"/>
    <col min="8967" max="8967" width="7.875" style="3208" customWidth="1"/>
    <col min="8968" max="8968" width="9" style="3208" customWidth="1"/>
    <col min="8969" max="8969" width="0" style="3208" hidden="1" customWidth="1"/>
    <col min="8970" max="8970" width="10.625" style="3208" customWidth="1"/>
    <col min="8971" max="8972" width="14.375" style="3208" customWidth="1"/>
    <col min="8973" max="8973" width="6.25" style="3208" customWidth="1"/>
    <col min="8974" max="8974" width="166.5" style="3208" customWidth="1"/>
    <col min="8975" max="8975" width="7.875" style="3208" customWidth="1"/>
    <col min="8976" max="9216" width="9" style="3208"/>
    <col min="9217" max="9217" width="39.875" style="3208" customWidth="1"/>
    <col min="9218" max="9218" width="6.25" style="3208" customWidth="1"/>
    <col min="9219" max="9219" width="11.75" style="3208" customWidth="1"/>
    <col min="9220" max="9220" width="8.375" style="3208" customWidth="1"/>
    <col min="9221" max="9221" width="10.125" style="3208" customWidth="1"/>
    <col min="9222" max="9222" width="11.625" style="3208" customWidth="1"/>
    <col min="9223" max="9223" width="7.875" style="3208" customWidth="1"/>
    <col min="9224" max="9224" width="9" style="3208" customWidth="1"/>
    <col min="9225" max="9225" width="0" style="3208" hidden="1" customWidth="1"/>
    <col min="9226" max="9226" width="10.625" style="3208" customWidth="1"/>
    <col min="9227" max="9228" width="14.375" style="3208" customWidth="1"/>
    <col min="9229" max="9229" width="6.25" style="3208" customWidth="1"/>
    <col min="9230" max="9230" width="166.5" style="3208" customWidth="1"/>
    <col min="9231" max="9231" width="7.875" style="3208" customWidth="1"/>
    <col min="9232" max="9472" width="9" style="3208"/>
    <col min="9473" max="9473" width="39.875" style="3208" customWidth="1"/>
    <col min="9474" max="9474" width="6.25" style="3208" customWidth="1"/>
    <col min="9475" max="9475" width="11.75" style="3208" customWidth="1"/>
    <col min="9476" max="9476" width="8.375" style="3208" customWidth="1"/>
    <col min="9477" max="9477" width="10.125" style="3208" customWidth="1"/>
    <col min="9478" max="9478" width="11.625" style="3208" customWidth="1"/>
    <col min="9479" max="9479" width="7.875" style="3208" customWidth="1"/>
    <col min="9480" max="9480" width="9" style="3208" customWidth="1"/>
    <col min="9481" max="9481" width="0" style="3208" hidden="1" customWidth="1"/>
    <col min="9482" max="9482" width="10.625" style="3208" customWidth="1"/>
    <col min="9483" max="9484" width="14.375" style="3208" customWidth="1"/>
    <col min="9485" max="9485" width="6.25" style="3208" customWidth="1"/>
    <col min="9486" max="9486" width="166.5" style="3208" customWidth="1"/>
    <col min="9487" max="9487" width="7.875" style="3208" customWidth="1"/>
    <col min="9488" max="9728" width="9" style="3208"/>
    <col min="9729" max="9729" width="39.875" style="3208" customWidth="1"/>
    <col min="9730" max="9730" width="6.25" style="3208" customWidth="1"/>
    <col min="9731" max="9731" width="11.75" style="3208" customWidth="1"/>
    <col min="9732" max="9732" width="8.375" style="3208" customWidth="1"/>
    <col min="9733" max="9733" width="10.125" style="3208" customWidth="1"/>
    <col min="9734" max="9734" width="11.625" style="3208" customWidth="1"/>
    <col min="9735" max="9735" width="7.875" style="3208" customWidth="1"/>
    <col min="9736" max="9736" width="9" style="3208" customWidth="1"/>
    <col min="9737" max="9737" width="0" style="3208" hidden="1" customWidth="1"/>
    <col min="9738" max="9738" width="10.625" style="3208" customWidth="1"/>
    <col min="9739" max="9740" width="14.375" style="3208" customWidth="1"/>
    <col min="9741" max="9741" width="6.25" style="3208" customWidth="1"/>
    <col min="9742" max="9742" width="166.5" style="3208" customWidth="1"/>
    <col min="9743" max="9743" width="7.875" style="3208" customWidth="1"/>
    <col min="9744" max="9984" width="9" style="3208"/>
    <col min="9985" max="9985" width="39.875" style="3208" customWidth="1"/>
    <col min="9986" max="9986" width="6.25" style="3208" customWidth="1"/>
    <col min="9987" max="9987" width="11.75" style="3208" customWidth="1"/>
    <col min="9988" max="9988" width="8.375" style="3208" customWidth="1"/>
    <col min="9989" max="9989" width="10.125" style="3208" customWidth="1"/>
    <col min="9990" max="9990" width="11.625" style="3208" customWidth="1"/>
    <col min="9991" max="9991" width="7.875" style="3208" customWidth="1"/>
    <col min="9992" max="9992" width="9" style="3208" customWidth="1"/>
    <col min="9993" max="9993" width="0" style="3208" hidden="1" customWidth="1"/>
    <col min="9994" max="9994" width="10.625" style="3208" customWidth="1"/>
    <col min="9995" max="9996" width="14.375" style="3208" customWidth="1"/>
    <col min="9997" max="9997" width="6.25" style="3208" customWidth="1"/>
    <col min="9998" max="9998" width="166.5" style="3208" customWidth="1"/>
    <col min="9999" max="9999" width="7.875" style="3208" customWidth="1"/>
    <col min="10000" max="10240" width="9" style="3208"/>
    <col min="10241" max="10241" width="39.875" style="3208" customWidth="1"/>
    <col min="10242" max="10242" width="6.25" style="3208" customWidth="1"/>
    <col min="10243" max="10243" width="11.75" style="3208" customWidth="1"/>
    <col min="10244" max="10244" width="8.375" style="3208" customWidth="1"/>
    <col min="10245" max="10245" width="10.125" style="3208" customWidth="1"/>
    <col min="10246" max="10246" width="11.625" style="3208" customWidth="1"/>
    <col min="10247" max="10247" width="7.875" style="3208" customWidth="1"/>
    <col min="10248" max="10248" width="9" style="3208" customWidth="1"/>
    <col min="10249" max="10249" width="0" style="3208" hidden="1" customWidth="1"/>
    <col min="10250" max="10250" width="10.625" style="3208" customWidth="1"/>
    <col min="10251" max="10252" width="14.375" style="3208" customWidth="1"/>
    <col min="10253" max="10253" width="6.25" style="3208" customWidth="1"/>
    <col min="10254" max="10254" width="166.5" style="3208" customWidth="1"/>
    <col min="10255" max="10255" width="7.875" style="3208" customWidth="1"/>
    <col min="10256" max="10496" width="9" style="3208"/>
    <col min="10497" max="10497" width="39.875" style="3208" customWidth="1"/>
    <col min="10498" max="10498" width="6.25" style="3208" customWidth="1"/>
    <col min="10499" max="10499" width="11.75" style="3208" customWidth="1"/>
    <col min="10500" max="10500" width="8.375" style="3208" customWidth="1"/>
    <col min="10501" max="10501" width="10.125" style="3208" customWidth="1"/>
    <col min="10502" max="10502" width="11.625" style="3208" customWidth="1"/>
    <col min="10503" max="10503" width="7.875" style="3208" customWidth="1"/>
    <col min="10504" max="10504" width="9" style="3208" customWidth="1"/>
    <col min="10505" max="10505" width="0" style="3208" hidden="1" customWidth="1"/>
    <col min="10506" max="10506" width="10.625" style="3208" customWidth="1"/>
    <col min="10507" max="10508" width="14.375" style="3208" customWidth="1"/>
    <col min="10509" max="10509" width="6.25" style="3208" customWidth="1"/>
    <col min="10510" max="10510" width="166.5" style="3208" customWidth="1"/>
    <col min="10511" max="10511" width="7.875" style="3208" customWidth="1"/>
    <col min="10512" max="10752" width="9" style="3208"/>
    <col min="10753" max="10753" width="39.875" style="3208" customWidth="1"/>
    <col min="10754" max="10754" width="6.25" style="3208" customWidth="1"/>
    <col min="10755" max="10755" width="11.75" style="3208" customWidth="1"/>
    <col min="10756" max="10756" width="8.375" style="3208" customWidth="1"/>
    <col min="10757" max="10757" width="10.125" style="3208" customWidth="1"/>
    <col min="10758" max="10758" width="11.625" style="3208" customWidth="1"/>
    <col min="10759" max="10759" width="7.875" style="3208" customWidth="1"/>
    <col min="10760" max="10760" width="9" style="3208" customWidth="1"/>
    <col min="10761" max="10761" width="0" style="3208" hidden="1" customWidth="1"/>
    <col min="10762" max="10762" width="10.625" style="3208" customWidth="1"/>
    <col min="10763" max="10764" width="14.375" style="3208" customWidth="1"/>
    <col min="10765" max="10765" width="6.25" style="3208" customWidth="1"/>
    <col min="10766" max="10766" width="166.5" style="3208" customWidth="1"/>
    <col min="10767" max="10767" width="7.875" style="3208" customWidth="1"/>
    <col min="10768" max="11008" width="9" style="3208"/>
    <col min="11009" max="11009" width="39.875" style="3208" customWidth="1"/>
    <col min="11010" max="11010" width="6.25" style="3208" customWidth="1"/>
    <col min="11011" max="11011" width="11.75" style="3208" customWidth="1"/>
    <col min="11012" max="11012" width="8.375" style="3208" customWidth="1"/>
    <col min="11013" max="11013" width="10.125" style="3208" customWidth="1"/>
    <col min="11014" max="11014" width="11.625" style="3208" customWidth="1"/>
    <col min="11015" max="11015" width="7.875" style="3208" customWidth="1"/>
    <col min="11016" max="11016" width="9" style="3208" customWidth="1"/>
    <col min="11017" max="11017" width="0" style="3208" hidden="1" customWidth="1"/>
    <col min="11018" max="11018" width="10.625" style="3208" customWidth="1"/>
    <col min="11019" max="11020" width="14.375" style="3208" customWidth="1"/>
    <col min="11021" max="11021" width="6.25" style="3208" customWidth="1"/>
    <col min="11022" max="11022" width="166.5" style="3208" customWidth="1"/>
    <col min="11023" max="11023" width="7.875" style="3208" customWidth="1"/>
    <col min="11024" max="11264" width="9" style="3208"/>
    <col min="11265" max="11265" width="39.875" style="3208" customWidth="1"/>
    <col min="11266" max="11266" width="6.25" style="3208" customWidth="1"/>
    <col min="11267" max="11267" width="11.75" style="3208" customWidth="1"/>
    <col min="11268" max="11268" width="8.375" style="3208" customWidth="1"/>
    <col min="11269" max="11269" width="10.125" style="3208" customWidth="1"/>
    <col min="11270" max="11270" width="11.625" style="3208" customWidth="1"/>
    <col min="11271" max="11271" width="7.875" style="3208" customWidth="1"/>
    <col min="11272" max="11272" width="9" style="3208" customWidth="1"/>
    <col min="11273" max="11273" width="0" style="3208" hidden="1" customWidth="1"/>
    <col min="11274" max="11274" width="10.625" style="3208" customWidth="1"/>
    <col min="11275" max="11276" width="14.375" style="3208" customWidth="1"/>
    <col min="11277" max="11277" width="6.25" style="3208" customWidth="1"/>
    <col min="11278" max="11278" width="166.5" style="3208" customWidth="1"/>
    <col min="11279" max="11279" width="7.875" style="3208" customWidth="1"/>
    <col min="11280" max="11520" width="9" style="3208"/>
    <col min="11521" max="11521" width="39.875" style="3208" customWidth="1"/>
    <col min="11522" max="11522" width="6.25" style="3208" customWidth="1"/>
    <col min="11523" max="11523" width="11.75" style="3208" customWidth="1"/>
    <col min="11524" max="11524" width="8.375" style="3208" customWidth="1"/>
    <col min="11525" max="11525" width="10.125" style="3208" customWidth="1"/>
    <col min="11526" max="11526" width="11.625" style="3208" customWidth="1"/>
    <col min="11527" max="11527" width="7.875" style="3208" customWidth="1"/>
    <col min="11528" max="11528" width="9" style="3208" customWidth="1"/>
    <col min="11529" max="11529" width="0" style="3208" hidden="1" customWidth="1"/>
    <col min="11530" max="11530" width="10.625" style="3208" customWidth="1"/>
    <col min="11531" max="11532" width="14.375" style="3208" customWidth="1"/>
    <col min="11533" max="11533" width="6.25" style="3208" customWidth="1"/>
    <col min="11534" max="11534" width="166.5" style="3208" customWidth="1"/>
    <col min="11535" max="11535" width="7.875" style="3208" customWidth="1"/>
    <col min="11536" max="11776" width="9" style="3208"/>
    <col min="11777" max="11777" width="39.875" style="3208" customWidth="1"/>
    <col min="11778" max="11778" width="6.25" style="3208" customWidth="1"/>
    <col min="11779" max="11779" width="11.75" style="3208" customWidth="1"/>
    <col min="11780" max="11780" width="8.375" style="3208" customWidth="1"/>
    <col min="11781" max="11781" width="10.125" style="3208" customWidth="1"/>
    <col min="11782" max="11782" width="11.625" style="3208" customWidth="1"/>
    <col min="11783" max="11783" width="7.875" style="3208" customWidth="1"/>
    <col min="11784" max="11784" width="9" style="3208" customWidth="1"/>
    <col min="11785" max="11785" width="0" style="3208" hidden="1" customWidth="1"/>
    <col min="11786" max="11786" width="10.625" style="3208" customWidth="1"/>
    <col min="11787" max="11788" width="14.375" style="3208" customWidth="1"/>
    <col min="11789" max="11789" width="6.25" style="3208" customWidth="1"/>
    <col min="11790" max="11790" width="166.5" style="3208" customWidth="1"/>
    <col min="11791" max="11791" width="7.875" style="3208" customWidth="1"/>
    <col min="11792" max="12032" width="9" style="3208"/>
    <col min="12033" max="12033" width="39.875" style="3208" customWidth="1"/>
    <col min="12034" max="12034" width="6.25" style="3208" customWidth="1"/>
    <col min="12035" max="12035" width="11.75" style="3208" customWidth="1"/>
    <col min="12036" max="12036" width="8.375" style="3208" customWidth="1"/>
    <col min="12037" max="12037" width="10.125" style="3208" customWidth="1"/>
    <col min="12038" max="12038" width="11.625" style="3208" customWidth="1"/>
    <col min="12039" max="12039" width="7.875" style="3208" customWidth="1"/>
    <col min="12040" max="12040" width="9" style="3208" customWidth="1"/>
    <col min="12041" max="12041" width="0" style="3208" hidden="1" customWidth="1"/>
    <col min="12042" max="12042" width="10.625" style="3208" customWidth="1"/>
    <col min="12043" max="12044" width="14.375" style="3208" customWidth="1"/>
    <col min="12045" max="12045" width="6.25" style="3208" customWidth="1"/>
    <col min="12046" max="12046" width="166.5" style="3208" customWidth="1"/>
    <col min="12047" max="12047" width="7.875" style="3208" customWidth="1"/>
    <col min="12048" max="12288" width="9" style="3208"/>
    <col min="12289" max="12289" width="39.875" style="3208" customWidth="1"/>
    <col min="12290" max="12290" width="6.25" style="3208" customWidth="1"/>
    <col min="12291" max="12291" width="11.75" style="3208" customWidth="1"/>
    <col min="12292" max="12292" width="8.375" style="3208" customWidth="1"/>
    <col min="12293" max="12293" width="10.125" style="3208" customWidth="1"/>
    <col min="12294" max="12294" width="11.625" style="3208" customWidth="1"/>
    <col min="12295" max="12295" width="7.875" style="3208" customWidth="1"/>
    <col min="12296" max="12296" width="9" style="3208" customWidth="1"/>
    <col min="12297" max="12297" width="0" style="3208" hidden="1" customWidth="1"/>
    <col min="12298" max="12298" width="10.625" style="3208" customWidth="1"/>
    <col min="12299" max="12300" width="14.375" style="3208" customWidth="1"/>
    <col min="12301" max="12301" width="6.25" style="3208" customWidth="1"/>
    <col min="12302" max="12302" width="166.5" style="3208" customWidth="1"/>
    <col min="12303" max="12303" width="7.875" style="3208" customWidth="1"/>
    <col min="12304" max="12544" width="9" style="3208"/>
    <col min="12545" max="12545" width="39.875" style="3208" customWidth="1"/>
    <col min="12546" max="12546" width="6.25" style="3208" customWidth="1"/>
    <col min="12547" max="12547" width="11.75" style="3208" customWidth="1"/>
    <col min="12548" max="12548" width="8.375" style="3208" customWidth="1"/>
    <col min="12549" max="12549" width="10.125" style="3208" customWidth="1"/>
    <col min="12550" max="12550" width="11.625" style="3208" customWidth="1"/>
    <col min="12551" max="12551" width="7.875" style="3208" customWidth="1"/>
    <col min="12552" max="12552" width="9" style="3208" customWidth="1"/>
    <col min="12553" max="12553" width="0" style="3208" hidden="1" customWidth="1"/>
    <col min="12554" max="12554" width="10.625" style="3208" customWidth="1"/>
    <col min="12555" max="12556" width="14.375" style="3208" customWidth="1"/>
    <col min="12557" max="12557" width="6.25" style="3208" customWidth="1"/>
    <col min="12558" max="12558" width="166.5" style="3208" customWidth="1"/>
    <col min="12559" max="12559" width="7.875" style="3208" customWidth="1"/>
    <col min="12560" max="12800" width="9" style="3208"/>
    <col min="12801" max="12801" width="39.875" style="3208" customWidth="1"/>
    <col min="12802" max="12802" width="6.25" style="3208" customWidth="1"/>
    <col min="12803" max="12803" width="11.75" style="3208" customWidth="1"/>
    <col min="12804" max="12804" width="8.375" style="3208" customWidth="1"/>
    <col min="12805" max="12805" width="10.125" style="3208" customWidth="1"/>
    <col min="12806" max="12806" width="11.625" style="3208" customWidth="1"/>
    <col min="12807" max="12807" width="7.875" style="3208" customWidth="1"/>
    <col min="12808" max="12808" width="9" style="3208" customWidth="1"/>
    <col min="12809" max="12809" width="0" style="3208" hidden="1" customWidth="1"/>
    <col min="12810" max="12810" width="10.625" style="3208" customWidth="1"/>
    <col min="12811" max="12812" width="14.375" style="3208" customWidth="1"/>
    <col min="12813" max="12813" width="6.25" style="3208" customWidth="1"/>
    <col min="12814" max="12814" width="166.5" style="3208" customWidth="1"/>
    <col min="12815" max="12815" width="7.875" style="3208" customWidth="1"/>
    <col min="12816" max="13056" width="9" style="3208"/>
    <col min="13057" max="13057" width="39.875" style="3208" customWidth="1"/>
    <col min="13058" max="13058" width="6.25" style="3208" customWidth="1"/>
    <col min="13059" max="13059" width="11.75" style="3208" customWidth="1"/>
    <col min="13060" max="13060" width="8.375" style="3208" customWidth="1"/>
    <col min="13061" max="13061" width="10.125" style="3208" customWidth="1"/>
    <col min="13062" max="13062" width="11.625" style="3208" customWidth="1"/>
    <col min="13063" max="13063" width="7.875" style="3208" customWidth="1"/>
    <col min="13064" max="13064" width="9" style="3208" customWidth="1"/>
    <col min="13065" max="13065" width="0" style="3208" hidden="1" customWidth="1"/>
    <col min="13066" max="13066" width="10.625" style="3208" customWidth="1"/>
    <col min="13067" max="13068" width="14.375" style="3208" customWidth="1"/>
    <col min="13069" max="13069" width="6.25" style="3208" customWidth="1"/>
    <col min="13070" max="13070" width="166.5" style="3208" customWidth="1"/>
    <col min="13071" max="13071" width="7.875" style="3208" customWidth="1"/>
    <col min="13072" max="13312" width="9" style="3208"/>
    <col min="13313" max="13313" width="39.875" style="3208" customWidth="1"/>
    <col min="13314" max="13314" width="6.25" style="3208" customWidth="1"/>
    <col min="13315" max="13315" width="11.75" style="3208" customWidth="1"/>
    <col min="13316" max="13316" width="8.375" style="3208" customWidth="1"/>
    <col min="13317" max="13317" width="10.125" style="3208" customWidth="1"/>
    <col min="13318" max="13318" width="11.625" style="3208" customWidth="1"/>
    <col min="13319" max="13319" width="7.875" style="3208" customWidth="1"/>
    <col min="13320" max="13320" width="9" style="3208" customWidth="1"/>
    <col min="13321" max="13321" width="0" style="3208" hidden="1" customWidth="1"/>
    <col min="13322" max="13322" width="10.625" style="3208" customWidth="1"/>
    <col min="13323" max="13324" width="14.375" style="3208" customWidth="1"/>
    <col min="13325" max="13325" width="6.25" style="3208" customWidth="1"/>
    <col min="13326" max="13326" width="166.5" style="3208" customWidth="1"/>
    <col min="13327" max="13327" width="7.875" style="3208" customWidth="1"/>
    <col min="13328" max="13568" width="9" style="3208"/>
    <col min="13569" max="13569" width="39.875" style="3208" customWidth="1"/>
    <col min="13570" max="13570" width="6.25" style="3208" customWidth="1"/>
    <col min="13571" max="13571" width="11.75" style="3208" customWidth="1"/>
    <col min="13572" max="13572" width="8.375" style="3208" customWidth="1"/>
    <col min="13573" max="13573" width="10.125" style="3208" customWidth="1"/>
    <col min="13574" max="13574" width="11.625" style="3208" customWidth="1"/>
    <col min="13575" max="13575" width="7.875" style="3208" customWidth="1"/>
    <col min="13576" max="13576" width="9" style="3208" customWidth="1"/>
    <col min="13577" max="13577" width="0" style="3208" hidden="1" customWidth="1"/>
    <col min="13578" max="13578" width="10.625" style="3208" customWidth="1"/>
    <col min="13579" max="13580" width="14.375" style="3208" customWidth="1"/>
    <col min="13581" max="13581" width="6.25" style="3208" customWidth="1"/>
    <col min="13582" max="13582" width="166.5" style="3208" customWidth="1"/>
    <col min="13583" max="13583" width="7.875" style="3208" customWidth="1"/>
    <col min="13584" max="13824" width="9" style="3208"/>
    <col min="13825" max="13825" width="39.875" style="3208" customWidth="1"/>
    <col min="13826" max="13826" width="6.25" style="3208" customWidth="1"/>
    <col min="13827" max="13827" width="11.75" style="3208" customWidth="1"/>
    <col min="13828" max="13828" width="8.375" style="3208" customWidth="1"/>
    <col min="13829" max="13829" width="10.125" style="3208" customWidth="1"/>
    <col min="13830" max="13830" width="11.625" style="3208" customWidth="1"/>
    <col min="13831" max="13831" width="7.875" style="3208" customWidth="1"/>
    <col min="13832" max="13832" width="9" style="3208" customWidth="1"/>
    <col min="13833" max="13833" width="0" style="3208" hidden="1" customWidth="1"/>
    <col min="13834" max="13834" width="10.625" style="3208" customWidth="1"/>
    <col min="13835" max="13836" width="14.375" style="3208" customWidth="1"/>
    <col min="13837" max="13837" width="6.25" style="3208" customWidth="1"/>
    <col min="13838" max="13838" width="166.5" style="3208" customWidth="1"/>
    <col min="13839" max="13839" width="7.875" style="3208" customWidth="1"/>
    <col min="13840" max="14080" width="9" style="3208"/>
    <col min="14081" max="14081" width="39.875" style="3208" customWidth="1"/>
    <col min="14082" max="14082" width="6.25" style="3208" customWidth="1"/>
    <col min="14083" max="14083" width="11.75" style="3208" customWidth="1"/>
    <col min="14084" max="14084" width="8.375" style="3208" customWidth="1"/>
    <col min="14085" max="14085" width="10.125" style="3208" customWidth="1"/>
    <col min="14086" max="14086" width="11.625" style="3208" customWidth="1"/>
    <col min="14087" max="14087" width="7.875" style="3208" customWidth="1"/>
    <col min="14088" max="14088" width="9" style="3208" customWidth="1"/>
    <col min="14089" max="14089" width="0" style="3208" hidden="1" customWidth="1"/>
    <col min="14090" max="14090" width="10.625" style="3208" customWidth="1"/>
    <col min="14091" max="14092" width="14.375" style="3208" customWidth="1"/>
    <col min="14093" max="14093" width="6.25" style="3208" customWidth="1"/>
    <col min="14094" max="14094" width="166.5" style="3208" customWidth="1"/>
    <col min="14095" max="14095" width="7.875" style="3208" customWidth="1"/>
    <col min="14096" max="14336" width="9" style="3208"/>
    <col min="14337" max="14337" width="39.875" style="3208" customWidth="1"/>
    <col min="14338" max="14338" width="6.25" style="3208" customWidth="1"/>
    <col min="14339" max="14339" width="11.75" style="3208" customWidth="1"/>
    <col min="14340" max="14340" width="8.375" style="3208" customWidth="1"/>
    <col min="14341" max="14341" width="10.125" style="3208" customWidth="1"/>
    <col min="14342" max="14342" width="11.625" style="3208" customWidth="1"/>
    <col min="14343" max="14343" width="7.875" style="3208" customWidth="1"/>
    <col min="14344" max="14344" width="9" style="3208" customWidth="1"/>
    <col min="14345" max="14345" width="0" style="3208" hidden="1" customWidth="1"/>
    <col min="14346" max="14346" width="10.625" style="3208" customWidth="1"/>
    <col min="14347" max="14348" width="14.375" style="3208" customWidth="1"/>
    <col min="14349" max="14349" width="6.25" style="3208" customWidth="1"/>
    <col min="14350" max="14350" width="166.5" style="3208" customWidth="1"/>
    <col min="14351" max="14351" width="7.875" style="3208" customWidth="1"/>
    <col min="14352" max="14592" width="9" style="3208"/>
    <col min="14593" max="14593" width="39.875" style="3208" customWidth="1"/>
    <col min="14594" max="14594" width="6.25" style="3208" customWidth="1"/>
    <col min="14595" max="14595" width="11.75" style="3208" customWidth="1"/>
    <col min="14596" max="14596" width="8.375" style="3208" customWidth="1"/>
    <col min="14597" max="14597" width="10.125" style="3208" customWidth="1"/>
    <col min="14598" max="14598" width="11.625" style="3208" customWidth="1"/>
    <col min="14599" max="14599" width="7.875" style="3208" customWidth="1"/>
    <col min="14600" max="14600" width="9" style="3208" customWidth="1"/>
    <col min="14601" max="14601" width="0" style="3208" hidden="1" customWidth="1"/>
    <col min="14602" max="14602" width="10.625" style="3208" customWidth="1"/>
    <col min="14603" max="14604" width="14.375" style="3208" customWidth="1"/>
    <col min="14605" max="14605" width="6.25" style="3208" customWidth="1"/>
    <col min="14606" max="14606" width="166.5" style="3208" customWidth="1"/>
    <col min="14607" max="14607" width="7.875" style="3208" customWidth="1"/>
    <col min="14608" max="14848" width="9" style="3208"/>
    <col min="14849" max="14849" width="39.875" style="3208" customWidth="1"/>
    <col min="14850" max="14850" width="6.25" style="3208" customWidth="1"/>
    <col min="14851" max="14851" width="11.75" style="3208" customWidth="1"/>
    <col min="14852" max="14852" width="8.375" style="3208" customWidth="1"/>
    <col min="14853" max="14853" width="10.125" style="3208" customWidth="1"/>
    <col min="14854" max="14854" width="11.625" style="3208" customWidth="1"/>
    <col min="14855" max="14855" width="7.875" style="3208" customWidth="1"/>
    <col min="14856" max="14856" width="9" style="3208" customWidth="1"/>
    <col min="14857" max="14857" width="0" style="3208" hidden="1" customWidth="1"/>
    <col min="14858" max="14858" width="10.625" style="3208" customWidth="1"/>
    <col min="14859" max="14860" width="14.375" style="3208" customWidth="1"/>
    <col min="14861" max="14861" width="6.25" style="3208" customWidth="1"/>
    <col min="14862" max="14862" width="166.5" style="3208" customWidth="1"/>
    <col min="14863" max="14863" width="7.875" style="3208" customWidth="1"/>
    <col min="14864" max="15104" width="9" style="3208"/>
    <col min="15105" max="15105" width="39.875" style="3208" customWidth="1"/>
    <col min="15106" max="15106" width="6.25" style="3208" customWidth="1"/>
    <col min="15107" max="15107" width="11.75" style="3208" customWidth="1"/>
    <col min="15108" max="15108" width="8.375" style="3208" customWidth="1"/>
    <col min="15109" max="15109" width="10.125" style="3208" customWidth="1"/>
    <col min="15110" max="15110" width="11.625" style="3208" customWidth="1"/>
    <col min="15111" max="15111" width="7.875" style="3208" customWidth="1"/>
    <col min="15112" max="15112" width="9" style="3208" customWidth="1"/>
    <col min="15113" max="15113" width="0" style="3208" hidden="1" customWidth="1"/>
    <col min="15114" max="15114" width="10.625" style="3208" customWidth="1"/>
    <col min="15115" max="15116" width="14.375" style="3208" customWidth="1"/>
    <col min="15117" max="15117" width="6.25" style="3208" customWidth="1"/>
    <col min="15118" max="15118" width="166.5" style="3208" customWidth="1"/>
    <col min="15119" max="15119" width="7.875" style="3208" customWidth="1"/>
    <col min="15120" max="15360" width="9" style="3208"/>
    <col min="15361" max="15361" width="39.875" style="3208" customWidth="1"/>
    <col min="15362" max="15362" width="6.25" style="3208" customWidth="1"/>
    <col min="15363" max="15363" width="11.75" style="3208" customWidth="1"/>
    <col min="15364" max="15364" width="8.375" style="3208" customWidth="1"/>
    <col min="15365" max="15365" width="10.125" style="3208" customWidth="1"/>
    <col min="15366" max="15366" width="11.625" style="3208" customWidth="1"/>
    <col min="15367" max="15367" width="7.875" style="3208" customWidth="1"/>
    <col min="15368" max="15368" width="9" style="3208" customWidth="1"/>
    <col min="15369" max="15369" width="0" style="3208" hidden="1" customWidth="1"/>
    <col min="15370" max="15370" width="10.625" style="3208" customWidth="1"/>
    <col min="15371" max="15372" width="14.375" style="3208" customWidth="1"/>
    <col min="15373" max="15373" width="6.25" style="3208" customWidth="1"/>
    <col min="15374" max="15374" width="166.5" style="3208" customWidth="1"/>
    <col min="15375" max="15375" width="7.875" style="3208" customWidth="1"/>
    <col min="15376" max="15616" width="9" style="3208"/>
    <col min="15617" max="15617" width="39.875" style="3208" customWidth="1"/>
    <col min="15618" max="15618" width="6.25" style="3208" customWidth="1"/>
    <col min="15619" max="15619" width="11.75" style="3208" customWidth="1"/>
    <col min="15620" max="15620" width="8.375" style="3208" customWidth="1"/>
    <col min="15621" max="15621" width="10.125" style="3208" customWidth="1"/>
    <col min="15622" max="15622" width="11.625" style="3208" customWidth="1"/>
    <col min="15623" max="15623" width="7.875" style="3208" customWidth="1"/>
    <col min="15624" max="15624" width="9" style="3208" customWidth="1"/>
    <col min="15625" max="15625" width="0" style="3208" hidden="1" customWidth="1"/>
    <col min="15626" max="15626" width="10.625" style="3208" customWidth="1"/>
    <col min="15627" max="15628" width="14.375" style="3208" customWidth="1"/>
    <col min="15629" max="15629" width="6.25" style="3208" customWidth="1"/>
    <col min="15630" max="15630" width="166.5" style="3208" customWidth="1"/>
    <col min="15631" max="15631" width="7.875" style="3208" customWidth="1"/>
    <col min="15632" max="15872" width="9" style="3208"/>
    <col min="15873" max="15873" width="39.875" style="3208" customWidth="1"/>
    <col min="15874" max="15874" width="6.25" style="3208" customWidth="1"/>
    <col min="15875" max="15875" width="11.75" style="3208" customWidth="1"/>
    <col min="15876" max="15876" width="8.375" style="3208" customWidth="1"/>
    <col min="15877" max="15877" width="10.125" style="3208" customWidth="1"/>
    <col min="15878" max="15878" width="11.625" style="3208" customWidth="1"/>
    <col min="15879" max="15879" width="7.875" style="3208" customWidth="1"/>
    <col min="15880" max="15880" width="9" style="3208" customWidth="1"/>
    <col min="15881" max="15881" width="0" style="3208" hidden="1" customWidth="1"/>
    <col min="15882" max="15882" width="10.625" style="3208" customWidth="1"/>
    <col min="15883" max="15884" width="14.375" style="3208" customWidth="1"/>
    <col min="15885" max="15885" width="6.25" style="3208" customWidth="1"/>
    <col min="15886" max="15886" width="166.5" style="3208" customWidth="1"/>
    <col min="15887" max="15887" width="7.875" style="3208" customWidth="1"/>
    <col min="15888" max="16128" width="9" style="3208"/>
    <col min="16129" max="16129" width="39.875" style="3208" customWidth="1"/>
    <col min="16130" max="16130" width="6.25" style="3208" customWidth="1"/>
    <col min="16131" max="16131" width="11.75" style="3208" customWidth="1"/>
    <col min="16132" max="16132" width="8.375" style="3208" customWidth="1"/>
    <col min="16133" max="16133" width="10.125" style="3208" customWidth="1"/>
    <col min="16134" max="16134" width="11.625" style="3208" customWidth="1"/>
    <col min="16135" max="16135" width="7.875" style="3208" customWidth="1"/>
    <col min="16136" max="16136" width="9" style="3208" customWidth="1"/>
    <col min="16137" max="16137" width="0" style="3208" hidden="1" customWidth="1"/>
    <col min="16138" max="16138" width="10.625" style="3208" customWidth="1"/>
    <col min="16139" max="16140" width="14.375" style="3208" customWidth="1"/>
    <col min="16141" max="16141" width="6.25" style="3208" customWidth="1"/>
    <col min="16142" max="16142" width="166.5" style="3208" customWidth="1"/>
    <col min="16143" max="16143" width="7.875" style="3208" customWidth="1"/>
    <col min="16144" max="16384" width="9" style="3208"/>
  </cols>
  <sheetData>
    <row r="1" spans="1:16" ht="14.25">
      <c r="A1" s="3208" t="s">
        <v>2997</v>
      </c>
      <c r="B1" s="3208" t="s">
        <v>2998</v>
      </c>
      <c r="C1" s="3208" t="s">
        <v>2999</v>
      </c>
      <c r="D1" s="3208" t="s">
        <v>3000</v>
      </c>
      <c r="E1" s="3208" t="s">
        <v>3001</v>
      </c>
      <c r="F1" s="3218" t="s">
        <v>2029</v>
      </c>
      <c r="G1" s="3208" t="s">
        <v>3002</v>
      </c>
      <c r="H1" s="3208" t="s">
        <v>3003</v>
      </c>
      <c r="I1" s="3208" t="s">
        <v>3004</v>
      </c>
      <c r="J1" s="3208" t="s">
        <v>3005</v>
      </c>
      <c r="K1" s="3208" t="s">
        <v>3006</v>
      </c>
      <c r="L1" s="3209" t="s">
        <v>3114</v>
      </c>
      <c r="M1" s="3208" t="s">
        <v>3007</v>
      </c>
      <c r="N1" s="3208" t="s">
        <v>3008</v>
      </c>
      <c r="O1" s="3208" t="s">
        <v>3009</v>
      </c>
    </row>
    <row r="2" spans="1:16">
      <c r="A2" s="3208" t="s">
        <v>3115</v>
      </c>
      <c r="B2" s="3208" t="s">
        <v>3116</v>
      </c>
      <c r="C2" s="3208" t="s">
        <v>3067</v>
      </c>
      <c r="D2" s="3208">
        <v>1795.42</v>
      </c>
      <c r="E2" s="3208">
        <v>2693.13</v>
      </c>
      <c r="F2" s="3218" t="s">
        <v>3070</v>
      </c>
      <c r="G2" s="3208" t="s">
        <v>3010</v>
      </c>
      <c r="H2" s="3208" t="s">
        <v>3117</v>
      </c>
      <c r="I2" s="3208">
        <v>269.31</v>
      </c>
      <c r="J2" s="3208">
        <v>1149.3</v>
      </c>
      <c r="K2" s="3208">
        <v>4267.5600000000004</v>
      </c>
      <c r="L2" s="3208">
        <f>ROUND(J2*10000/D2,0)</f>
        <v>6401</v>
      </c>
      <c r="M2" s="3208">
        <v>326.76</v>
      </c>
      <c r="N2" s="3208" t="s">
        <v>3118</v>
      </c>
      <c r="O2" s="3208" t="s">
        <v>3068</v>
      </c>
      <c r="P2" s="3222">
        <f>J2/(D2/666.67)</f>
        <v>426.75464849450265</v>
      </c>
    </row>
    <row r="3" spans="1:16">
      <c r="A3" s="3225" t="s">
        <v>3176</v>
      </c>
      <c r="B3" s="3208" t="s">
        <v>3116</v>
      </c>
      <c r="C3" s="3208" t="s">
        <v>3067</v>
      </c>
      <c r="D3" s="3208">
        <v>602</v>
      </c>
      <c r="E3" s="3208">
        <v>2889.6</v>
      </c>
      <c r="F3" s="3218" t="s">
        <v>3119</v>
      </c>
      <c r="G3" s="3208" t="s">
        <v>3010</v>
      </c>
      <c r="H3" s="3208" t="s">
        <v>3117</v>
      </c>
      <c r="I3" s="3208">
        <v>90.29</v>
      </c>
      <c r="J3" s="3208">
        <v>90.29</v>
      </c>
      <c r="K3" s="3208">
        <v>312.5</v>
      </c>
      <c r="L3" s="3208">
        <f t="shared" ref="L3:L16" si="0">ROUND(J3*10000/D3,0)</f>
        <v>1500</v>
      </c>
      <c r="M3" s="3208">
        <v>0</v>
      </c>
      <c r="N3" s="3208" t="s">
        <v>3120</v>
      </c>
      <c r="O3" s="3208" t="s">
        <v>3068</v>
      </c>
      <c r="P3" s="3222">
        <f t="shared" ref="P3:P15" si="1">J3/(D3/666.67)</f>
        <v>99.989425747508307</v>
      </c>
    </row>
    <row r="4" spans="1:16">
      <c r="A4" s="3225" t="s">
        <v>3177</v>
      </c>
      <c r="B4" s="3208" t="s">
        <v>3116</v>
      </c>
      <c r="C4" s="3208" t="s">
        <v>3067</v>
      </c>
      <c r="D4" s="3208">
        <v>26494</v>
      </c>
      <c r="E4" s="3208">
        <v>47689.2</v>
      </c>
      <c r="F4" s="3218" t="s">
        <v>3121</v>
      </c>
      <c r="G4" s="3208" t="s">
        <v>3010</v>
      </c>
      <c r="H4" s="3208" t="s">
        <v>3122</v>
      </c>
      <c r="I4" s="3208">
        <v>2185.7600000000002</v>
      </c>
      <c r="J4" s="3208">
        <v>2185.7600000000002</v>
      </c>
      <c r="K4" s="3208">
        <v>458.32</v>
      </c>
      <c r="L4" s="3208">
        <f t="shared" si="0"/>
        <v>825</v>
      </c>
      <c r="M4" s="3208">
        <v>0</v>
      </c>
      <c r="N4" s="3208" t="s">
        <v>3123</v>
      </c>
      <c r="O4" s="3208" t="s">
        <v>3068</v>
      </c>
      <c r="P4" s="3222">
        <f t="shared" si="1"/>
        <v>55.000400815278937</v>
      </c>
    </row>
    <row r="5" spans="1:16">
      <c r="A5" s="3225" t="s">
        <v>3178</v>
      </c>
      <c r="B5" s="3208" t="s">
        <v>3116</v>
      </c>
      <c r="C5" s="3208" t="s">
        <v>3067</v>
      </c>
      <c r="D5" s="3208">
        <v>7884.34</v>
      </c>
      <c r="E5" s="3208">
        <v>15768.68</v>
      </c>
      <c r="F5" s="3218" t="s">
        <v>3071</v>
      </c>
      <c r="G5" s="3208" t="s">
        <v>3010</v>
      </c>
      <c r="H5" s="3208" t="s">
        <v>3124</v>
      </c>
      <c r="I5" s="3208">
        <v>567.66</v>
      </c>
      <c r="J5" s="3208">
        <v>567.66</v>
      </c>
      <c r="K5" s="3208">
        <v>360</v>
      </c>
      <c r="L5" s="3208">
        <f t="shared" si="0"/>
        <v>720</v>
      </c>
      <c r="M5" s="3208">
        <v>0</v>
      </c>
      <c r="N5" s="3208" t="s">
        <v>3125</v>
      </c>
      <c r="O5" s="3208" t="s">
        <v>3068</v>
      </c>
      <c r="P5" s="3222">
        <f t="shared" si="1"/>
        <v>47.999184738354764</v>
      </c>
    </row>
    <row r="6" spans="1:16" s="3210" customFormat="1">
      <c r="A6" s="3216" t="s">
        <v>3126</v>
      </c>
      <c r="B6" s="3210" t="s">
        <v>3116</v>
      </c>
      <c r="C6" s="3210" t="s">
        <v>3067</v>
      </c>
      <c r="D6" s="3210">
        <v>37066.01</v>
      </c>
      <c r="E6" s="3210">
        <v>129731.04</v>
      </c>
      <c r="F6" s="3219" t="s">
        <v>3127</v>
      </c>
      <c r="G6" s="3210" t="s">
        <v>3010</v>
      </c>
      <c r="H6" s="3210" t="s">
        <v>3128</v>
      </c>
      <c r="I6" s="3210">
        <v>16680</v>
      </c>
      <c r="J6" s="3210">
        <v>16680</v>
      </c>
      <c r="K6" s="3210">
        <v>1285.74</v>
      </c>
      <c r="L6" s="3210">
        <f t="shared" si="0"/>
        <v>4500</v>
      </c>
      <c r="M6" s="3210">
        <v>0</v>
      </c>
      <c r="N6" s="3210" t="s">
        <v>3129</v>
      </c>
      <c r="O6" s="3210" t="s">
        <v>3011</v>
      </c>
      <c r="P6" s="3222">
        <f t="shared" si="1"/>
        <v>300.00681486893245</v>
      </c>
    </row>
    <row r="7" spans="1:16" s="3217" customFormat="1">
      <c r="A7" s="3217" t="s">
        <v>3179</v>
      </c>
      <c r="B7" s="3217" t="s">
        <v>3116</v>
      </c>
      <c r="C7" s="3217" t="s">
        <v>3067</v>
      </c>
      <c r="D7" s="3217">
        <v>8869</v>
      </c>
      <c r="E7" s="3217">
        <v>26607</v>
      </c>
      <c r="F7" s="3220" t="s">
        <v>3069</v>
      </c>
      <c r="G7" s="3217" t="s">
        <v>3010</v>
      </c>
      <c r="H7" s="3217" t="s">
        <v>3130</v>
      </c>
      <c r="I7" s="3217">
        <v>611.96</v>
      </c>
      <c r="J7" s="3217">
        <v>611.96</v>
      </c>
      <c r="K7" s="3217">
        <v>230</v>
      </c>
      <c r="L7" s="3217">
        <f t="shared" si="0"/>
        <v>690</v>
      </c>
      <c r="M7" s="3217">
        <v>0</v>
      </c>
      <c r="N7" s="3217" t="s">
        <v>3131</v>
      </c>
      <c r="O7" s="3217" t="s">
        <v>3068</v>
      </c>
      <c r="P7" s="3222">
        <f t="shared" si="1"/>
        <v>46.000154831435339</v>
      </c>
    </row>
    <row r="8" spans="1:16" s="3210" customFormat="1">
      <c r="A8" s="3216" t="s">
        <v>3132</v>
      </c>
      <c r="B8" s="3210" t="s">
        <v>3116</v>
      </c>
      <c r="C8" s="3210" t="s">
        <v>3067</v>
      </c>
      <c r="D8" s="3210">
        <v>92995.36</v>
      </c>
      <c r="E8" s="3210">
        <v>464976.8</v>
      </c>
      <c r="F8" s="3219" t="s">
        <v>3133</v>
      </c>
      <c r="G8" s="3210" t="s">
        <v>3010</v>
      </c>
      <c r="H8" s="3210" t="s">
        <v>3134</v>
      </c>
      <c r="I8" s="3210">
        <v>50000</v>
      </c>
      <c r="J8" s="3210">
        <v>50000</v>
      </c>
      <c r="K8" s="3210">
        <v>1075.31</v>
      </c>
      <c r="L8" s="3210">
        <f t="shared" si="0"/>
        <v>5377</v>
      </c>
      <c r="M8" s="3210">
        <v>0</v>
      </c>
      <c r="N8" s="3210" t="s">
        <v>3135</v>
      </c>
      <c r="O8" s="3210" t="s">
        <v>3011</v>
      </c>
      <c r="P8" s="3222">
        <f t="shared" si="1"/>
        <v>358.44261477131761</v>
      </c>
    </row>
    <row r="9" spans="1:16">
      <c r="A9" s="3216" t="s">
        <v>3136</v>
      </c>
      <c r="B9" s="3208" t="s">
        <v>3116</v>
      </c>
      <c r="C9" s="3208" t="s">
        <v>3067</v>
      </c>
      <c r="D9" s="3208">
        <v>2298.3000000000002</v>
      </c>
      <c r="E9" s="3208">
        <v>5975.58</v>
      </c>
      <c r="F9" s="3218" t="s">
        <v>3137</v>
      </c>
      <c r="G9" s="3208" t="s">
        <v>3010</v>
      </c>
      <c r="H9" s="3208" t="s">
        <v>3138</v>
      </c>
      <c r="I9" s="3208">
        <v>1035</v>
      </c>
      <c r="J9" s="3208">
        <v>1585</v>
      </c>
      <c r="K9" s="3208">
        <v>2652.46</v>
      </c>
      <c r="L9" s="3208">
        <f t="shared" si="0"/>
        <v>6896</v>
      </c>
      <c r="M9" s="3208">
        <v>53.14</v>
      </c>
      <c r="N9" s="3208" t="s">
        <v>3139</v>
      </c>
      <c r="O9" s="3208" t="s">
        <v>3011</v>
      </c>
      <c r="P9" s="3222">
        <f t="shared" si="1"/>
        <v>459.76241134751768</v>
      </c>
    </row>
    <row r="10" spans="1:16" s="3210" customFormat="1">
      <c r="A10" s="3216" t="s">
        <v>3140</v>
      </c>
      <c r="B10" s="3210" t="s">
        <v>3116</v>
      </c>
      <c r="C10" s="3210" t="s">
        <v>3067</v>
      </c>
      <c r="D10" s="3210">
        <v>79887</v>
      </c>
      <c r="E10" s="3210">
        <v>159774</v>
      </c>
      <c r="F10" s="3219" t="s">
        <v>3141</v>
      </c>
      <c r="G10" s="3210" t="s">
        <v>3010</v>
      </c>
      <c r="H10" s="3210" t="s">
        <v>3142</v>
      </c>
      <c r="I10" s="3210">
        <v>10186</v>
      </c>
      <c r="J10" s="3210">
        <v>17986</v>
      </c>
      <c r="K10" s="3210">
        <v>1125.72</v>
      </c>
      <c r="L10" s="3210">
        <f t="shared" si="0"/>
        <v>2251</v>
      </c>
      <c r="M10" s="3210">
        <v>76.58</v>
      </c>
      <c r="N10" s="3210" t="s">
        <v>3143</v>
      </c>
      <c r="O10" s="3210" t="s">
        <v>3011</v>
      </c>
      <c r="P10" s="3222">
        <f t="shared" si="1"/>
        <v>150.09609348204336</v>
      </c>
    </row>
    <row r="11" spans="1:16">
      <c r="A11" s="3216" t="s">
        <v>3144</v>
      </c>
      <c r="B11" s="3208" t="s">
        <v>3116</v>
      </c>
      <c r="C11" s="3208" t="s">
        <v>3067</v>
      </c>
      <c r="D11" s="3208">
        <v>10773.2</v>
      </c>
      <c r="E11" s="3208">
        <v>11850.52</v>
      </c>
      <c r="F11" s="3218" t="s">
        <v>3145</v>
      </c>
      <c r="G11" s="3208" t="s">
        <v>3010</v>
      </c>
      <c r="H11" s="3208" t="s">
        <v>3146</v>
      </c>
      <c r="I11" s="3208">
        <v>3878.4</v>
      </c>
      <c r="J11" s="3208">
        <v>7928.39</v>
      </c>
      <c r="K11" s="3208">
        <v>6690.34</v>
      </c>
      <c r="L11" s="3208">
        <f t="shared" si="0"/>
        <v>7359</v>
      </c>
      <c r="M11" s="3208">
        <v>104.42</v>
      </c>
      <c r="N11" s="3208" t="s">
        <v>3147</v>
      </c>
      <c r="O11" s="3208" t="s">
        <v>3011</v>
      </c>
      <c r="P11" s="3222">
        <f t="shared" si="1"/>
        <v>490.62671827312215</v>
      </c>
    </row>
    <row r="12" spans="1:16" s="3211" customFormat="1">
      <c r="A12" s="3216" t="s">
        <v>3148</v>
      </c>
      <c r="B12" s="3211" t="s">
        <v>3116</v>
      </c>
      <c r="C12" s="3211" t="s">
        <v>3067</v>
      </c>
      <c r="D12" s="3211">
        <v>3300</v>
      </c>
      <c r="E12" s="3211">
        <v>3300</v>
      </c>
      <c r="F12" s="3221" t="s">
        <v>3149</v>
      </c>
      <c r="G12" s="3211" t="s">
        <v>3010</v>
      </c>
      <c r="H12" s="3211" t="s">
        <v>3150</v>
      </c>
      <c r="I12" s="3211">
        <v>797</v>
      </c>
      <c r="J12" s="3211">
        <v>797</v>
      </c>
      <c r="K12" s="3211">
        <v>2415.15</v>
      </c>
      <c r="L12" s="3211">
        <f t="shared" si="0"/>
        <v>2415</v>
      </c>
      <c r="M12" s="3211">
        <v>0</v>
      </c>
      <c r="N12" s="3211" t="s">
        <v>3151</v>
      </c>
      <c r="O12" s="3211" t="s">
        <v>3011</v>
      </c>
      <c r="P12" s="3222">
        <f t="shared" si="1"/>
        <v>161.01090606060606</v>
      </c>
    </row>
    <row r="13" spans="1:16">
      <c r="A13" s="3224" t="s">
        <v>3174</v>
      </c>
      <c r="B13" s="3208" t="s">
        <v>3116</v>
      </c>
      <c r="C13" s="3208" t="s">
        <v>3067</v>
      </c>
      <c r="D13" s="3208">
        <v>4545.05</v>
      </c>
      <c r="E13" s="3208">
        <v>9090.1</v>
      </c>
      <c r="F13" s="3218" t="s">
        <v>3073</v>
      </c>
      <c r="G13" s="3208" t="s">
        <v>3010</v>
      </c>
      <c r="H13" s="3208" t="s">
        <v>3152</v>
      </c>
      <c r="I13" s="3208">
        <v>1500.4</v>
      </c>
      <c r="J13" s="3208">
        <v>1500.4</v>
      </c>
      <c r="K13" s="3208">
        <v>1650.58</v>
      </c>
      <c r="L13" s="3208">
        <f t="shared" si="0"/>
        <v>3301</v>
      </c>
      <c r="M13" s="3208">
        <v>0</v>
      </c>
      <c r="N13" s="3208" t="s">
        <v>3153</v>
      </c>
      <c r="O13" s="3208" t="s">
        <v>3011</v>
      </c>
      <c r="P13" s="3222">
        <f t="shared" si="1"/>
        <v>220.079354022508</v>
      </c>
    </row>
    <row r="14" spans="1:16" s="3217" customFormat="1">
      <c r="A14" s="3226" t="s">
        <v>3180</v>
      </c>
      <c r="B14" s="3217" t="s">
        <v>3116</v>
      </c>
      <c r="C14" s="3217" t="s">
        <v>3067</v>
      </c>
      <c r="D14" s="3217">
        <v>52481.15</v>
      </c>
      <c r="E14" s="3217">
        <v>78721.73</v>
      </c>
      <c r="F14" s="3220" t="s">
        <v>3154</v>
      </c>
      <c r="G14" s="3217" t="s">
        <v>3010</v>
      </c>
      <c r="H14" s="3217" t="s">
        <v>3155</v>
      </c>
      <c r="I14" s="3217">
        <v>5015.1000000000004</v>
      </c>
      <c r="J14" s="3217">
        <v>5015.1000000000004</v>
      </c>
      <c r="K14" s="3217">
        <v>637.07000000000005</v>
      </c>
      <c r="L14" s="3217">
        <f t="shared" si="0"/>
        <v>956</v>
      </c>
      <c r="M14" s="3217">
        <v>0</v>
      </c>
      <c r="N14" s="3217" t="s">
        <v>3156</v>
      </c>
      <c r="O14" s="3217" t="s">
        <v>3157</v>
      </c>
      <c r="P14" s="3222">
        <f t="shared" si="1"/>
        <v>63.707001790166565</v>
      </c>
    </row>
    <row r="15" spans="1:16">
      <c r="A15" s="3216" t="s">
        <v>3158</v>
      </c>
      <c r="B15" s="3208" t="s">
        <v>3116</v>
      </c>
      <c r="C15" s="3208" t="s">
        <v>3067</v>
      </c>
      <c r="D15" s="3208">
        <v>1435.95</v>
      </c>
      <c r="E15" s="3208">
        <v>717.98</v>
      </c>
      <c r="F15" s="3218" t="s">
        <v>3159</v>
      </c>
      <c r="G15" s="3208" t="s">
        <v>3010</v>
      </c>
      <c r="H15" s="3208" t="s">
        <v>3160</v>
      </c>
      <c r="I15" s="3208">
        <v>215.4</v>
      </c>
      <c r="J15" s="3208">
        <v>215.4</v>
      </c>
      <c r="K15" s="3208">
        <v>3000.07</v>
      </c>
      <c r="L15" s="3208">
        <f t="shared" si="0"/>
        <v>1500</v>
      </c>
      <c r="M15" s="3208">
        <v>0</v>
      </c>
      <c r="N15" s="3208" t="s">
        <v>3161</v>
      </c>
      <c r="O15" s="3208" t="s">
        <v>3068</v>
      </c>
      <c r="P15" s="3222">
        <f t="shared" si="1"/>
        <v>100.00398203280059</v>
      </c>
    </row>
    <row r="16" spans="1:16">
      <c r="A16" s="3208" t="s">
        <v>3162</v>
      </c>
      <c r="B16" s="3208" t="s">
        <v>3116</v>
      </c>
      <c r="C16" s="3208" t="s">
        <v>3067</v>
      </c>
      <c r="D16" s="3208">
        <v>109172.6</v>
      </c>
      <c r="E16" s="3208">
        <v>109172.6</v>
      </c>
      <c r="F16" s="3218" t="s">
        <v>3072</v>
      </c>
      <c r="G16" s="3208" t="s">
        <v>3010</v>
      </c>
      <c r="H16" s="3208" t="s">
        <v>3163</v>
      </c>
      <c r="I16" s="3208">
        <v>20500</v>
      </c>
      <c r="J16" s="3208">
        <v>20500</v>
      </c>
      <c r="K16" s="3208">
        <v>1877.75</v>
      </c>
      <c r="L16" s="3208">
        <f t="shared" si="0"/>
        <v>1878</v>
      </c>
      <c r="M16" s="3208">
        <v>0</v>
      </c>
      <c r="N16" s="3208" t="s">
        <v>3164</v>
      </c>
      <c r="O16" s="3208" t="s">
        <v>3011</v>
      </c>
      <c r="P16" s="3222">
        <f>J16/(D16/666.67)</f>
        <v>125.1846617191493</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37" t="str">
        <f>项目基本情况!B1</f>
        <v>出让国有建设用地使用权抵押价格预评估</v>
      </c>
      <c r="C37" s="3237"/>
      <c r="D37" s="3237"/>
      <c r="E37" s="3237"/>
      <c r="F37" s="3237"/>
      <c r="G37" s="3237"/>
      <c r="H37" s="3237"/>
      <c r="I37" s="3237"/>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2" sqref="D22"/>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t="s">
        <v>3107</v>
      </c>
      <c r="C1" s="2086"/>
      <c r="D1" s="2086"/>
      <c r="E1" s="2086"/>
      <c r="F1" s="2086"/>
      <c r="G1" s="2086"/>
      <c r="H1" s="2086"/>
      <c r="I1" s="2086"/>
      <c r="J1" s="2086"/>
      <c r="K1" s="420">
        <f>MATCH(B1,'数据-取费表'!A6:A16,0)+5</f>
        <v>6</v>
      </c>
    </row>
    <row r="2" spans="1:31" s="2023" customFormat="1" ht="18" customHeight="1">
      <c r="A2" s="2083" t="s">
        <v>467</v>
      </c>
      <c r="B2" s="2087">
        <f ca="1">C36</f>
        <v>35544</v>
      </c>
      <c r="C2" s="2086"/>
      <c r="D2" s="2086"/>
      <c r="E2" s="2086"/>
      <c r="F2" s="2086"/>
      <c r="G2" s="2086"/>
      <c r="H2" s="2086"/>
      <c r="I2" s="2086"/>
      <c r="J2" s="2086"/>
      <c r="K2" s="2086"/>
    </row>
    <row r="3" spans="1:31" s="2023" customFormat="1" ht="18" customHeight="1">
      <c r="A3" s="2088" t="s">
        <v>1683</v>
      </c>
      <c r="B3" s="2089">
        <f ca="1">ROUND(B2*10000/IF(B1="",'数据-汇总表'!E3,INDIRECT("'数据-取费表'!K"&amp;$K$1)),0)</f>
        <v>400</v>
      </c>
      <c r="C3" s="2086"/>
      <c r="D3" s="2086"/>
      <c r="E3" s="2086"/>
      <c r="F3" s="2086"/>
      <c r="G3" s="2086"/>
      <c r="H3" s="2086"/>
      <c r="I3" s="2086"/>
      <c r="J3" s="2086"/>
      <c r="K3" s="2086"/>
    </row>
    <row r="4" spans="1:31" s="2023" customFormat="1" ht="18" customHeight="1">
      <c r="A4" s="424" t="s">
        <v>468</v>
      </c>
      <c r="B4" s="425">
        <f ca="1">ROUND(B2*10000/IF(B1="",'数据-汇总表'!D3,INDIRECT("'数据-取费表'!R"&amp;$K$1)),0)</f>
        <v>1799</v>
      </c>
      <c r="C4" s="426"/>
      <c r="D4" s="420"/>
      <c r="E4" s="420"/>
      <c r="F4" s="420"/>
      <c r="G4" s="420"/>
      <c r="H4" s="420"/>
      <c r="I4" s="420"/>
      <c r="J4" s="420"/>
      <c r="K4" s="420"/>
    </row>
    <row r="5" spans="1:31" s="2023" customFormat="1" ht="18" customHeight="1" thickBot="1">
      <c r="A5" s="427"/>
      <c r="B5" s="428">
        <f ca="1">ROUND(B2/(IF(B1="",'数据-汇总表'!D3,INDIRECT("'数据-取费表'!R"&amp;$K$1))/666.67),0)</f>
        <v>120</v>
      </c>
      <c r="C5" s="429" t="s">
        <v>469</v>
      </c>
      <c r="D5" s="420"/>
      <c r="E5" s="420"/>
      <c r="F5" s="420"/>
      <c r="G5" s="420"/>
      <c r="H5" s="420"/>
      <c r="I5" s="420"/>
      <c r="J5" s="420"/>
      <c r="K5" s="420"/>
    </row>
    <row r="6" spans="1:31" s="2093" customFormat="1" ht="16.5" customHeight="1">
      <c r="A6" s="2779" t="s">
        <v>1841</v>
      </c>
      <c r="B6" s="2780"/>
      <c r="C6" s="2781">
        <f ca="1">SUM(C10:K10)</f>
        <v>408902</v>
      </c>
      <c r="D6" s="2780"/>
      <c r="E6" s="2780"/>
      <c r="F6" s="2780"/>
      <c r="G6" s="2780"/>
      <c r="H6" s="2780"/>
      <c r="I6" s="2780"/>
      <c r="J6" s="2780"/>
      <c r="K6" s="2782"/>
    </row>
    <row r="7" spans="1:31" s="2095" customFormat="1" ht="15">
      <c r="A7" s="2783" t="s">
        <v>470</v>
      </c>
      <c r="B7" s="2784" t="s">
        <v>471</v>
      </c>
      <c r="C7" s="434" t="s">
        <v>3107</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5">
        <f ca="1">不动产收益法!B3</f>
        <v>4600</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888914.7</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888914.7</v>
      </c>
      <c r="M9" s="2096">
        <v>702728.1</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1846</v>
      </c>
      <c r="B10" s="2773" t="s">
        <v>474</v>
      </c>
      <c r="C10" s="2974">
        <f ca="1">不动产收益法!B2</f>
        <v>408902</v>
      </c>
      <c r="D10" s="2974"/>
      <c r="E10" s="2974"/>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1842</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1847</v>
      </c>
      <c r="B13" s="2794" t="s">
        <v>479</v>
      </c>
      <c r="C13" s="448">
        <f ca="1">IF(B1="",'数据-取费表'!P16,INDIRECT("'数据-取费表'!p"&amp;$K$1)+INDIRECT("'数据-取费表'!t"&amp;$K$1))</f>
        <v>186672</v>
      </c>
      <c r="D13" s="2795"/>
      <c r="E13" s="2796"/>
      <c r="F13" s="2797"/>
      <c r="G13" s="2763"/>
      <c r="H13" s="2764"/>
      <c r="I13" s="2764"/>
      <c r="J13" s="2764"/>
      <c r="K13" s="2765"/>
    </row>
    <row r="14" spans="1:31" s="2098" customFormat="1" ht="13.5" customHeight="1">
      <c r="A14" s="2793" t="s">
        <v>1848</v>
      </c>
      <c r="B14" s="2794" t="s">
        <v>480</v>
      </c>
      <c r="C14" s="52">
        <f ca="1">ROUND(C13*F14,0)</f>
        <v>5600</v>
      </c>
      <c r="D14" s="2795"/>
      <c r="E14" s="2796"/>
      <c r="F14" s="2798">
        <f>'数据-取费表'!B33</f>
        <v>0.03</v>
      </c>
      <c r="G14" s="2763" t="s">
        <v>481</v>
      </c>
      <c r="H14" s="2764"/>
      <c r="I14" s="2764"/>
      <c r="J14" s="2764"/>
      <c r="K14" s="2765"/>
    </row>
    <row r="15" spans="1:31" s="2098" customFormat="1" ht="13.5" customHeight="1">
      <c r="A15" s="2793" t="s">
        <v>1849</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L15" s="2098">
        <v>1800</v>
      </c>
      <c r="M15" s="2098">
        <f ca="1">C15*10000/L15</f>
        <v>0</v>
      </c>
    </row>
    <row r="16" spans="1:31" s="2099" customFormat="1" ht="13.5" customHeight="1">
      <c r="A16" s="2793" t="s">
        <v>1850</v>
      </c>
      <c r="B16" s="2794" t="s">
        <v>484</v>
      </c>
      <c r="C16" s="52">
        <f ca="1">ROUND(D16*E16/10000,0)</f>
        <v>13334</v>
      </c>
      <c r="D16" s="2795">
        <f ca="1">IF(B1="",'数据-汇总表'!E3,INDIRECT("'数据-取费表'!K"&amp;$K$1)+INDIRECT("'数据-取费表'!S"&amp;$K$1))</f>
        <v>888914.7</v>
      </c>
      <c r="E16" s="52">
        <f>'数据-取费表'!B35</f>
        <v>150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1851</v>
      </c>
      <c r="B17" s="2794" t="s">
        <v>485</v>
      </c>
      <c r="C17" s="2799">
        <f ca="1">ROUND(C13*F17,0)</f>
        <v>2800</v>
      </c>
      <c r="D17" s="473"/>
      <c r="E17" s="2799"/>
      <c r="F17" s="2800">
        <f>'数据-取费表'!B36</f>
        <v>1.4999999999999999E-2</v>
      </c>
      <c r="G17" s="259" t="s">
        <v>486</v>
      </c>
      <c r="H17" s="2766"/>
      <c r="I17" s="2766"/>
      <c r="J17" s="2766"/>
      <c r="K17" s="277"/>
    </row>
    <row r="18" spans="1:14" s="2098" customFormat="1" ht="13.5" customHeight="1">
      <c r="A18" s="2801" t="s">
        <v>1852</v>
      </c>
      <c r="B18" s="2802" t="s">
        <v>487</v>
      </c>
      <c r="C18" s="2803">
        <f ca="1">SUM(C13:C17)</f>
        <v>208406</v>
      </c>
      <c r="D18" s="2804"/>
      <c r="E18" s="466"/>
      <c r="F18" s="466"/>
      <c r="G18" s="2767" t="s">
        <v>2426</v>
      </c>
      <c r="H18" s="2768"/>
      <c r="I18" s="2768"/>
      <c r="J18" s="2768"/>
      <c r="K18" s="2769"/>
    </row>
    <row r="19" spans="1:14" s="2098" customFormat="1" ht="13.5" customHeight="1">
      <c r="A19" s="2801" t="s">
        <v>1853</v>
      </c>
      <c r="B19" s="2802" t="s">
        <v>488</v>
      </c>
      <c r="C19" s="2759">
        <f ca="1">ROUND(D19*E19/10000,0)</f>
        <v>13334</v>
      </c>
      <c r="D19" s="2805">
        <f ca="1">D16</f>
        <v>888914.7</v>
      </c>
      <c r="E19" s="2759">
        <f>'数据-取费表'!B32</f>
        <v>150</v>
      </c>
      <c r="F19" s="466"/>
      <c r="G19" s="2763" t="s">
        <v>489</v>
      </c>
      <c r="H19" s="2764"/>
      <c r="I19" s="2768"/>
      <c r="J19" s="2768"/>
      <c r="K19" s="2769"/>
    </row>
    <row r="20" spans="1:14" s="2098" customFormat="1" ht="13.5" customHeight="1">
      <c r="A20" s="2801" t="s">
        <v>1854</v>
      </c>
      <c r="B20" s="2802" t="s">
        <v>490</v>
      </c>
      <c r="C20" s="3201">
        <f ca="1">C21+C22-IF(B1="",'数据-取费表'!B29,IF(G20="已全部缴纳",C21+C22,H20))</f>
        <v>17778</v>
      </c>
      <c r="D20" s="2805"/>
      <c r="E20" s="2759"/>
      <c r="F20" s="2806"/>
      <c r="G20" s="3031" t="s">
        <v>3104</v>
      </c>
      <c r="H20" s="2761"/>
      <c r="I20" s="2762" t="s">
        <v>2646</v>
      </c>
      <c r="J20" s="2768"/>
      <c r="K20" s="2769"/>
    </row>
    <row r="21" spans="1:14" s="2098" customFormat="1" ht="13.5" customHeight="1">
      <c r="A21" s="2793" t="s">
        <v>1855</v>
      </c>
      <c r="B21" s="2794" t="s">
        <v>491</v>
      </c>
      <c r="C21" s="52">
        <f ca="1">ROUND(D21*E21/10000,0)</f>
        <v>0</v>
      </c>
      <c r="D21" s="2795">
        <f ca="1">IF(B1="",'数据-汇总表'!E5,IF(INDIRECT("'数据-取费表'!c"&amp;$K$1)="住宅",INDIRECT("'数据-取费表'!k"&amp;$K$1),0))</f>
        <v>0</v>
      </c>
      <c r="E21" s="52">
        <f>'数据-取费表'!B27</f>
        <v>160</v>
      </c>
      <c r="F21" s="2798"/>
      <c r="G21" s="25"/>
      <c r="H21" s="50"/>
      <c r="I21" s="50"/>
      <c r="J21" s="50"/>
      <c r="K21" s="2770"/>
    </row>
    <row r="22" spans="1:14" s="2098" customFormat="1" ht="13.5" customHeight="1">
      <c r="A22" s="2793" t="s">
        <v>1856</v>
      </c>
      <c r="B22" s="2794" t="s">
        <v>492</v>
      </c>
      <c r="C22" s="52">
        <f ca="1">ROUND(D22*E22/10000,0)</f>
        <v>17778</v>
      </c>
      <c r="D22" s="2795">
        <f ca="1">IF(B1="",'数据-汇总表'!E6,IF(INDIRECT("'数据-取费表'!c"&amp;$K$1)="住宅",INDIRECT("'数据-取费表'!s"&amp;$K$1),INDIRECT("'数据-取费表'!k"&amp;$K$1)+INDIRECT("'数据-取费表'!s"&amp;$K$1)))</f>
        <v>888914.7</v>
      </c>
      <c r="E22" s="52">
        <f>'数据-取费表'!B28</f>
        <v>200</v>
      </c>
      <c r="F22" s="2798"/>
      <c r="G22" s="25"/>
      <c r="H22" s="50"/>
      <c r="I22" s="50"/>
      <c r="J22" s="50"/>
      <c r="K22" s="2770"/>
    </row>
    <row r="23" spans="1:14" s="2098" customFormat="1" ht="13.5" customHeight="1">
      <c r="A23" s="2801" t="s">
        <v>1857</v>
      </c>
      <c r="B23" s="2980" t="s">
        <v>2829</v>
      </c>
      <c r="C23" s="2803">
        <f ca="1">ROUND((C18+C19+C20)*F23,0)</f>
        <v>4790</v>
      </c>
      <c r="D23" s="466"/>
      <c r="E23" s="466"/>
      <c r="F23" s="2807">
        <f>'数据-取费表'!B37</f>
        <v>0.02</v>
      </c>
      <c r="G23" s="2763" t="s">
        <v>2427</v>
      </c>
      <c r="H23" s="2764"/>
      <c r="I23" s="2764"/>
      <c r="J23" s="2764"/>
      <c r="K23" s="2765"/>
      <c r="L23" s="2100"/>
      <c r="M23" s="2100"/>
      <c r="N23" s="2100"/>
    </row>
    <row r="24" spans="1:14" s="2098" customFormat="1" ht="13.5" customHeight="1">
      <c r="A24" s="2801" t="s">
        <v>1858</v>
      </c>
      <c r="B24" s="2980" t="s">
        <v>2832</v>
      </c>
      <c r="C24" s="2803">
        <f ca="1">ROUND(C6*F24,0)</f>
        <v>8178</v>
      </c>
      <c r="D24" s="473"/>
      <c r="E24" s="471"/>
      <c r="F24" s="2807">
        <f>'数据-取费表'!B38</f>
        <v>0.02</v>
      </c>
      <c r="G24" s="2772" t="s">
        <v>499</v>
      </c>
      <c r="H24" s="2766"/>
      <c r="I24" s="2766"/>
      <c r="J24" s="2766"/>
      <c r="K24" s="277"/>
      <c r="L24" s="2100"/>
      <c r="M24" s="2100"/>
      <c r="N24" s="2100"/>
    </row>
    <row r="25" spans="1:14" s="2101" customFormat="1" ht="13.5" customHeight="1">
      <c r="A25" s="2801" t="s">
        <v>1859</v>
      </c>
      <c r="B25" s="2980" t="s">
        <v>2830</v>
      </c>
      <c r="C25" s="465">
        <f>ROUND(F25/(1+'数据-取费表'!C42),4)</f>
        <v>2.9000000000000001E-2</v>
      </c>
      <c r="D25" s="460" t="s">
        <v>2824</v>
      </c>
      <c r="E25" s="467"/>
      <c r="F25" s="2807">
        <f>IF(项目基本情况!B8="出让",0,'数据-取费表'!B48+'数据-取费表'!B49)</f>
        <v>3.0499999999999999E-2</v>
      </c>
      <c r="G25" s="2771" t="s">
        <v>2286</v>
      </c>
      <c r="H25" s="2764"/>
      <c r="I25" s="2764"/>
      <c r="J25" s="2764"/>
      <c r="K25" s="2765"/>
    </row>
    <row r="26" spans="1:14" s="2100" customFormat="1" ht="13.5" customHeight="1">
      <c r="A26" s="2801" t="s">
        <v>1860</v>
      </c>
      <c r="B26" s="2981" t="s">
        <v>2831</v>
      </c>
      <c r="C26" s="2808">
        <f ca="1">C28</f>
        <v>31059</v>
      </c>
      <c r="D26" s="465">
        <f ca="1">C27</f>
        <v>0.26869999999999999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1855</v>
      </c>
      <c r="B27" s="2809" t="s">
        <v>496</v>
      </c>
      <c r="C27" s="2810">
        <f ca="1">ROUND(IF('数据-取费表'!B22&lt;=1,(1+C25)*F26*'数据-取费表'!B24,(1+C25)*(POWER((1+F26),'数据-取费表'!B24)-1)),4)</f>
        <v>0.26869999999999999</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1856</v>
      </c>
      <c r="B28" s="2809" t="s">
        <v>2833</v>
      </c>
      <c r="C28" s="2811">
        <f ca="1">ROUND(IF('数据-取费表'!B22&lt;=1,(C18+C19+C20+C23+C24)*F26*'数据-取费表'!B24/2,(C18+C19+C20+C23+C24)*(POWER((1+F26),'数据-取费表'!B24/2)-1)),0)</f>
        <v>31059</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1861</v>
      </c>
      <c r="B29" s="2802" t="s">
        <v>497</v>
      </c>
      <c r="C29" s="2803">
        <f ca="1">ROUND(C6*F29/(1+'数据-取费表'!C42),0)</f>
        <v>21419</v>
      </c>
      <c r="D29" s="466"/>
      <c r="E29" s="466"/>
      <c r="F29" s="2982">
        <f>'数据-取费表'!B41</f>
        <v>5.5000000000000007E-2</v>
      </c>
      <c r="G29" s="2772" t="s">
        <v>498</v>
      </c>
      <c r="H29" s="2764"/>
      <c r="I29" s="2764"/>
      <c r="J29" s="2764"/>
      <c r="K29" s="2765"/>
    </row>
    <row r="30" spans="1:14" s="2103" customFormat="1" ht="13.5" customHeight="1">
      <c r="A30" s="1617" t="s">
        <v>1862</v>
      </c>
      <c r="B30" s="2813" t="s">
        <v>500</v>
      </c>
      <c r="C30" s="2808">
        <f ca="1">C31</f>
        <v>304964</v>
      </c>
      <c r="D30" s="475">
        <f ca="1">C32</f>
        <v>0.29770000000000002</v>
      </c>
      <c r="E30" s="467" t="s">
        <v>495</v>
      </c>
      <c r="F30" s="469"/>
      <c r="G30" s="2771" t="s">
        <v>2959</v>
      </c>
      <c r="H30" s="2764"/>
      <c r="I30" s="2764"/>
      <c r="J30" s="2764"/>
      <c r="K30" s="2765"/>
    </row>
    <row r="31" spans="1:14" s="2102" customFormat="1" ht="13.5" customHeight="1">
      <c r="A31" s="801" t="s">
        <v>1855</v>
      </c>
      <c r="B31" s="2809"/>
      <c r="C31" s="448">
        <f ca="1">C18+C19+C20+C23+C24+C26+C29</f>
        <v>304964</v>
      </c>
      <c r="D31" s="470"/>
      <c r="E31" s="471"/>
      <c r="F31" s="472"/>
      <c r="G31" s="259"/>
      <c r="H31" s="2766"/>
      <c r="I31" s="2766"/>
      <c r="J31" s="2766"/>
      <c r="K31" s="277"/>
    </row>
    <row r="32" spans="1:14" s="2102" customFormat="1" ht="13.5" customHeight="1">
      <c r="A32" s="801" t="s">
        <v>1856</v>
      </c>
      <c r="B32" s="2809"/>
      <c r="C32" s="52">
        <f ca="1">ROUND(C25+D26,4)</f>
        <v>0.29770000000000002</v>
      </c>
      <c r="D32" s="470"/>
      <c r="E32" s="471"/>
      <c r="F32" s="472"/>
      <c r="G32" s="259"/>
      <c r="H32" s="2766"/>
      <c r="I32" s="2766"/>
      <c r="J32" s="2766"/>
      <c r="K32" s="277"/>
    </row>
    <row r="33" spans="1:11" s="2104" customFormat="1" ht="13.5" customHeight="1">
      <c r="A33" s="2979" t="s">
        <v>2828</v>
      </c>
      <c r="B33" s="2977" t="s">
        <v>2826</v>
      </c>
      <c r="C33" s="476">
        <f ca="1">C35</f>
        <v>50497</v>
      </c>
      <c r="D33" s="465">
        <f ca="1">C34</f>
        <v>0.20580000000000001</v>
      </c>
      <c r="E33" s="467" t="s">
        <v>495</v>
      </c>
      <c r="F33" s="477">
        <f ca="1">IF(B1="",'数据-取费表'!Q16,INDIRECT("'数据-取费表'!q"&amp;$K$1))</f>
        <v>0.2</v>
      </c>
      <c r="G33" s="2767"/>
      <c r="H33" s="2768"/>
      <c r="I33" s="2768"/>
      <c r="J33" s="2768"/>
      <c r="K33" s="2769"/>
    </row>
    <row r="34" spans="1:11" s="2105" customFormat="1" ht="13.5" customHeight="1">
      <c r="A34" s="373" t="s">
        <v>1855</v>
      </c>
      <c r="B34" s="2814" t="s">
        <v>501</v>
      </c>
      <c r="C34" s="470">
        <f ca="1">ROUND((1+C25)*F33,4)</f>
        <v>0.20580000000000001</v>
      </c>
      <c r="D34" s="470"/>
      <c r="E34" s="471"/>
      <c r="F34" s="478"/>
      <c r="G34" s="259" t="s">
        <v>2287</v>
      </c>
      <c r="H34" s="2766"/>
      <c r="I34" s="2766"/>
      <c r="J34" s="2766"/>
      <c r="K34" s="277"/>
    </row>
    <row r="35" spans="1:11" s="2105" customFormat="1" ht="13.5" customHeight="1" thickBot="1">
      <c r="A35" s="1618" t="s">
        <v>1856</v>
      </c>
      <c r="B35" s="2978" t="s">
        <v>2834</v>
      </c>
      <c r="C35" s="1610">
        <f ca="1">ROUND((C18+C19+C20+C23+C24)*F33,0)</f>
        <v>50497</v>
      </c>
      <c r="D35" s="1611"/>
      <c r="E35" s="2815"/>
      <c r="F35" s="1612"/>
      <c r="G35" s="2773"/>
      <c r="H35" s="2774"/>
      <c r="I35" s="2774"/>
      <c r="J35" s="2774"/>
      <c r="K35" s="2775"/>
    </row>
    <row r="36" spans="1:11" s="2067" customFormat="1" ht="13.5" customHeight="1" thickBot="1">
      <c r="A36" s="282" t="s">
        <v>1843</v>
      </c>
      <c r="B36" s="2777"/>
      <c r="C36" s="2816">
        <f ca="1">ROUND((C6-C30-C33)/(1+D30+D33),0)</f>
        <v>35544</v>
      </c>
      <c r="D36" s="2777"/>
      <c r="E36" s="2777"/>
      <c r="F36" s="2777"/>
      <c r="G36" s="2776" t="s">
        <v>2835</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2647</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186672</v>
      </c>
      <c r="D13" s="449"/>
      <c r="E13" s="363"/>
      <c r="F13" s="450"/>
      <c r="G13" s="442"/>
      <c r="H13" s="445"/>
      <c r="I13" s="445"/>
      <c r="J13" s="445"/>
      <c r="K13" s="446"/>
    </row>
    <row r="14" spans="1:41" s="2098" customFormat="1" ht="13.5" customHeight="1">
      <c r="A14" s="1615" t="s">
        <v>1848</v>
      </c>
      <c r="B14" s="447" t="s">
        <v>480</v>
      </c>
      <c r="C14" s="52">
        <f ca="1">ROUND(C13*F14,0)</f>
        <v>5600</v>
      </c>
      <c r="D14" s="449"/>
      <c r="E14" s="363"/>
      <c r="F14" s="451">
        <f>'数据-取费表'!B33</f>
        <v>0.03</v>
      </c>
      <c r="G14" s="442" t="s">
        <v>502</v>
      </c>
      <c r="H14" s="445"/>
      <c r="I14" s="445"/>
      <c r="J14" s="445"/>
      <c r="K14" s="446"/>
    </row>
    <row r="15" spans="1:41" s="2098" customFormat="1" ht="13.5" customHeight="1">
      <c r="A15" s="1615" t="s">
        <v>1849</v>
      </c>
      <c r="B15" s="447" t="s">
        <v>482</v>
      </c>
      <c r="C15" s="52">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2">
        <f ca="1">ROUND(D16*E16/10000,0)</f>
        <v>13334</v>
      </c>
      <c r="D16" s="449">
        <f ca="1">IF(B1="",'数据-汇总表'!E3,INDIRECT("'数据-取费表'!K"&amp;$K$1)+INDIRECT("'数据-取费表'!S"&amp;$K$1))</f>
        <v>888914.7</v>
      </c>
      <c r="E16" s="52">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2800</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208406</v>
      </c>
      <c r="D18" s="459"/>
      <c r="E18" s="460"/>
      <c r="F18" s="460"/>
      <c r="G18" s="1320" t="s">
        <v>2428</v>
      </c>
      <c r="H18" s="445"/>
      <c r="I18" s="445"/>
      <c r="J18" s="445"/>
      <c r="K18" s="446"/>
    </row>
    <row r="19" spans="1:14" s="2101" customFormat="1" ht="13.5" customHeight="1">
      <c r="A19" s="1616" t="s">
        <v>1853</v>
      </c>
      <c r="B19" s="457" t="s">
        <v>493</v>
      </c>
      <c r="C19" s="458">
        <f ca="1">ROUND(C18*F19,0)</f>
        <v>4168</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5">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26150</v>
      </c>
      <c r="D21" s="465">
        <f ca="1">C23</f>
        <v>2.5000000000000001E-3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1847</v>
      </c>
      <c r="B22" s="1321" t="s">
        <v>2431</v>
      </c>
      <c r="C22" s="485">
        <f ca="1">ROUND(IF('数据-取费表'!B22&lt;=1,(C18+C19)*F21*'数据-取费表'!B20/2,(C18+C19)*(POWER((1+F21),'数据-取费表'!B20/2)-1)),0)</f>
        <v>26150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2.5000000000000001E-3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7" t="s">
        <v>2827</v>
      </c>
      <c r="C24" s="476">
        <f ca="1">C25</f>
        <v>42515</v>
      </c>
      <c r="D24" s="487">
        <f ca="1">C26</f>
        <v>4.0000000000000001E-3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2432</v>
      </c>
      <c r="C25" s="488">
        <f ca="1">ROUND((C18+C19)*F24,0)</f>
        <v>42515</v>
      </c>
      <c r="D25" s="470"/>
      <c r="E25" s="471"/>
      <c r="F25" s="478"/>
      <c r="G25" s="1319" t="s">
        <v>2429</v>
      </c>
      <c r="H25" s="455"/>
      <c r="I25" s="455"/>
      <c r="J25" s="455"/>
      <c r="K25" s="456"/>
    </row>
    <row r="26" spans="1:14" s="2102" customFormat="1" ht="13.5" customHeight="1">
      <c r="A26" s="1615" t="s">
        <v>1848</v>
      </c>
      <c r="B26" s="1321" t="s">
        <v>509</v>
      </c>
      <c r="C26" s="489">
        <f ca="1">ROUND(F20*F24,4)</f>
        <v>4.0000000000000001E-3</v>
      </c>
      <c r="D26" s="470"/>
      <c r="E26" s="479"/>
      <c r="F26" s="478"/>
      <c r="G26" s="1319" t="s">
        <v>510</v>
      </c>
      <c r="H26" s="455"/>
      <c r="I26" s="455"/>
      <c r="J26" s="455"/>
      <c r="K26" s="456"/>
    </row>
    <row r="27" spans="1:14" s="2102" customFormat="1" ht="13.5" customHeight="1">
      <c r="A27" s="1619" t="s">
        <v>1866</v>
      </c>
      <c r="B27" s="457" t="s">
        <v>511</v>
      </c>
      <c r="C27" s="2976">
        <f>ROUND(F27/(1+'数据-取费表'!C42),4)</f>
        <v>5.2400000000000002E-2</v>
      </c>
      <c r="D27" s="460" t="s">
        <v>2825</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305329</v>
      </c>
      <c r="D28" s="475"/>
      <c r="E28" s="467"/>
      <c r="F28" s="469"/>
      <c r="G28" s="1320" t="s">
        <v>2430</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24" t="s">
        <v>522</v>
      </c>
      <c r="D6" s="3425"/>
      <c r="E6" s="3448" t="s">
        <v>523</v>
      </c>
      <c r="F6" s="3449"/>
      <c r="G6" s="3424" t="s">
        <v>524</v>
      </c>
      <c r="H6" s="3425"/>
      <c r="I6" s="3424" t="s">
        <v>525</v>
      </c>
      <c r="J6" s="3425"/>
      <c r="K6" s="512" t="s">
        <v>526</v>
      </c>
      <c r="L6" s="2115"/>
      <c r="M6" s="2116"/>
      <c r="N6" s="2116"/>
      <c r="O6" s="2116"/>
      <c r="P6" s="3426" t="s">
        <v>527</v>
      </c>
      <c r="Q6" s="3427"/>
      <c r="R6" s="3412" t="s">
        <v>523</v>
      </c>
      <c r="S6" s="3413"/>
      <c r="T6" s="3412" t="s">
        <v>524</v>
      </c>
      <c r="U6" s="3413"/>
      <c r="V6" s="3432" t="s">
        <v>525</v>
      </c>
      <c r="W6" s="3432"/>
      <c r="X6" s="1550"/>
      <c r="Y6" s="3412" t="s">
        <v>527</v>
      </c>
      <c r="Z6" s="3413"/>
      <c r="AA6" s="3407" t="s">
        <v>523</v>
      </c>
      <c r="AB6" s="3408" t="s">
        <v>524</v>
      </c>
      <c r="AC6" s="3407" t="s">
        <v>525</v>
      </c>
    </row>
    <row r="7" spans="1:29" ht="15">
      <c r="A7" s="513"/>
      <c r="B7" s="514"/>
      <c r="C7" s="3435" t="s">
        <v>2917</v>
      </c>
      <c r="D7" s="3436"/>
      <c r="E7" s="3450" t="s">
        <v>2918</v>
      </c>
      <c r="F7" s="3451"/>
      <c r="G7" s="3435" t="s">
        <v>2919</v>
      </c>
      <c r="H7" s="3436"/>
      <c r="I7" s="3435" t="s">
        <v>2920</v>
      </c>
      <c r="J7" s="3436"/>
      <c r="K7" s="512"/>
      <c r="L7" s="2115"/>
      <c r="M7" s="2116"/>
      <c r="N7" s="2116"/>
      <c r="O7" s="2116"/>
      <c r="P7" s="3428"/>
      <c r="Q7" s="3429"/>
      <c r="R7" s="3414"/>
      <c r="S7" s="3415"/>
      <c r="T7" s="3414"/>
      <c r="U7" s="3415"/>
      <c r="V7" s="3432"/>
      <c r="W7" s="3432"/>
      <c r="X7" s="1550"/>
      <c r="Y7" s="3414"/>
      <c r="Z7" s="3415"/>
      <c r="AA7" s="3408"/>
      <c r="AB7" s="3408"/>
      <c r="AC7" s="3408"/>
    </row>
    <row r="8" spans="1:29" ht="15.75" thickBot="1">
      <c r="A8" s="515"/>
      <c r="B8" s="516"/>
      <c r="C8" s="3433" t="s">
        <v>2921</v>
      </c>
      <c r="D8" s="3434"/>
      <c r="E8" s="3452" t="s">
        <v>2921</v>
      </c>
      <c r="F8" s="3453"/>
      <c r="G8" s="3433" t="s">
        <v>2921</v>
      </c>
      <c r="H8" s="3434"/>
      <c r="I8" s="3433" t="s">
        <v>2921</v>
      </c>
      <c r="J8" s="3434"/>
      <c r="K8" s="512" t="s">
        <v>528</v>
      </c>
      <c r="L8" s="2115"/>
      <c r="M8" s="2116"/>
      <c r="N8" s="2116"/>
      <c r="O8" s="2116"/>
      <c r="P8" s="3430"/>
      <c r="Q8" s="3431"/>
      <c r="R8" s="3414"/>
      <c r="S8" s="3415"/>
      <c r="T8" s="3416"/>
      <c r="U8" s="3417"/>
      <c r="V8" s="3432"/>
      <c r="W8" s="3432"/>
      <c r="X8" s="1550"/>
      <c r="Y8" s="3416"/>
      <c r="Z8" s="3417"/>
      <c r="AA8" s="3409"/>
      <c r="AB8" s="3409"/>
      <c r="AC8" s="3409"/>
    </row>
    <row r="9" spans="1:29" s="1213" customFormat="1" ht="15.75" thickBot="1">
      <c r="A9" s="2862"/>
      <c r="B9" s="2869" t="s">
        <v>529</v>
      </c>
      <c r="C9" s="517">
        <f>'数据-取费表'!B2</f>
        <v>43805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0" t="s">
        <v>530</v>
      </c>
      <c r="Q9" s="3419"/>
      <c r="R9" s="1551" t="s">
        <v>8</v>
      </c>
      <c r="S9" s="1552">
        <f t="shared" ref="S9:S17" si="0">F9</f>
        <v>0</v>
      </c>
      <c r="T9" s="1551" t="s">
        <v>8</v>
      </c>
      <c r="U9" s="1552">
        <f t="shared" ref="U9:U17" si="1">H9</f>
        <v>0</v>
      </c>
      <c r="V9" s="1551" t="s">
        <v>8</v>
      </c>
      <c r="W9" s="1552">
        <f t="shared" ref="W9:W17" si="2">J9</f>
        <v>0</v>
      </c>
      <c r="X9" s="1553"/>
      <c r="Y9" s="3410" t="s">
        <v>530</v>
      </c>
      <c r="Z9" s="3411"/>
      <c r="AA9" s="1554" t="e">
        <f>D9/F9</f>
        <v>#DIV/0!</v>
      </c>
      <c r="AB9" s="1554" t="e">
        <f>D9/H9</f>
        <v>#DIV/0!</v>
      </c>
      <c r="AC9" s="1554"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0" t="s">
        <v>533</v>
      </c>
      <c r="Q10" s="3411"/>
      <c r="R10" s="1551" t="s">
        <v>8</v>
      </c>
      <c r="S10" s="1552">
        <f t="shared" si="0"/>
        <v>0</v>
      </c>
      <c r="T10" s="1551" t="s">
        <v>8</v>
      </c>
      <c r="U10" s="1552">
        <f t="shared" si="1"/>
        <v>0</v>
      </c>
      <c r="V10" s="1551" t="s">
        <v>8</v>
      </c>
      <c r="W10" s="1552">
        <f t="shared" si="2"/>
        <v>0</v>
      </c>
      <c r="X10" s="1553"/>
      <c r="Y10" s="3410" t="s">
        <v>533</v>
      </c>
      <c r="Z10" s="3411"/>
      <c r="AA10" s="1554" t="e">
        <f t="shared" ref="AA10:AA42" si="3">D10/F10</f>
        <v>#DIV/0!</v>
      </c>
      <c r="AB10" s="1554" t="e">
        <f t="shared" ref="AB10:AB42" si="4">D10/H10</f>
        <v>#DIV/0!</v>
      </c>
      <c r="AC10" s="1554" t="e">
        <f t="shared" ref="AC10:AC42" si="5">D10/J10</f>
        <v>#DIV/0!</v>
      </c>
    </row>
    <row r="11" spans="1:29" s="1213" customFormat="1" ht="15">
      <c r="A11" s="2864"/>
      <c r="B11" s="2871" t="s">
        <v>2751</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18" t="s">
        <v>535</v>
      </c>
      <c r="Q11" s="1144" t="str">
        <f t="shared" ref="Q11:Q17" si="6">B11</f>
        <v>用途</v>
      </c>
      <c r="R11" s="1551" t="s">
        <v>8</v>
      </c>
      <c r="S11" s="1552">
        <f t="shared" si="0"/>
        <v>100</v>
      </c>
      <c r="T11" s="1551" t="s">
        <v>8</v>
      </c>
      <c r="U11" s="1552">
        <f t="shared" si="1"/>
        <v>100</v>
      </c>
      <c r="V11" s="1551" t="s">
        <v>8</v>
      </c>
      <c r="W11" s="1552">
        <f t="shared" si="2"/>
        <v>100</v>
      </c>
      <c r="X11" s="1553"/>
      <c r="Y11" s="3375" t="s">
        <v>536</v>
      </c>
      <c r="Z11" s="1143" t="str">
        <f t="shared" ref="Z11:Z17" si="7">Q11</f>
        <v>用途</v>
      </c>
      <c r="AA11" s="1554">
        <f t="shared" si="3"/>
        <v>1</v>
      </c>
      <c r="AB11" s="1554">
        <f t="shared" si="4"/>
        <v>1</v>
      </c>
      <c r="AC11" s="1554">
        <f t="shared" si="5"/>
        <v>1</v>
      </c>
    </row>
    <row r="12" spans="1:29" s="1331" customFormat="1" ht="27">
      <c r="A12" s="2865"/>
      <c r="B12" s="2870" t="s">
        <v>2752</v>
      </c>
      <c r="C12" s="526"/>
      <c r="D12" s="253">
        <v>100</v>
      </c>
      <c r="E12" s="526"/>
      <c r="F12" s="253">
        <f>ROUND(100/'数据-取费表'!G16,0)</f>
        <v>103</v>
      </c>
      <c r="G12" s="526"/>
      <c r="H12" s="253">
        <f>ROUND(100/'数据-取费表'!G16,0)</f>
        <v>103</v>
      </c>
      <c r="I12" s="526"/>
      <c r="J12" s="253">
        <f>ROUND(100/'数据-取费表'!G16,0)</f>
        <v>103</v>
      </c>
      <c r="K12" s="529"/>
      <c r="L12" s="2120"/>
      <c r="M12" s="2160"/>
      <c r="N12" s="2160"/>
      <c r="O12" s="2121"/>
      <c r="P12" s="3418"/>
      <c r="Q12" s="1144" t="str">
        <f t="shared" si="6"/>
        <v>土地使用年限（年）</v>
      </c>
      <c r="R12" s="1551" t="s">
        <v>8</v>
      </c>
      <c r="S12" s="1552">
        <f t="shared" si="0"/>
        <v>103</v>
      </c>
      <c r="T12" s="1551" t="s">
        <v>8</v>
      </c>
      <c r="U12" s="1552">
        <f t="shared" si="1"/>
        <v>103</v>
      </c>
      <c r="V12" s="1551" t="s">
        <v>8</v>
      </c>
      <c r="W12" s="1552">
        <f t="shared" si="2"/>
        <v>103</v>
      </c>
      <c r="X12" s="1553"/>
      <c r="Y12" s="3375"/>
      <c r="Z12" s="1143" t="str">
        <f t="shared" si="7"/>
        <v>土地使用年限（年）</v>
      </c>
      <c r="AA12" s="1554">
        <f t="shared" si="3"/>
        <v>0.970873786407767</v>
      </c>
      <c r="AB12" s="1554">
        <f t="shared" si="4"/>
        <v>0.970873786407767</v>
      </c>
      <c r="AC12" s="1554">
        <f t="shared" si="5"/>
        <v>0.970873786407767</v>
      </c>
    </row>
    <row r="13" spans="1:29" ht="15">
      <c r="A13" s="2866"/>
      <c r="B13" s="2870"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18"/>
      <c r="Q13" s="1144" t="str">
        <f t="shared" si="6"/>
        <v>容积率</v>
      </c>
      <c r="R13" s="1551" t="s">
        <v>8</v>
      </c>
      <c r="S13" s="1552" t="e">
        <f t="shared" si="0"/>
        <v>#N/A</v>
      </c>
      <c r="T13" s="1551" t="s">
        <v>8</v>
      </c>
      <c r="U13" s="1552" t="e">
        <f t="shared" si="1"/>
        <v>#N/A</v>
      </c>
      <c r="V13" s="1551" t="s">
        <v>8</v>
      </c>
      <c r="W13" s="1552" t="e">
        <f t="shared" si="2"/>
        <v>#N/A</v>
      </c>
      <c r="X13" s="1553"/>
      <c r="Y13" s="3375"/>
      <c r="Z13" s="1143" t="str">
        <f t="shared" si="7"/>
        <v>容积率</v>
      </c>
      <c r="AA13" s="1554" t="e">
        <f t="shared" si="3"/>
        <v>#N/A</v>
      </c>
      <c r="AB13" s="1554" t="e">
        <f t="shared" si="4"/>
        <v>#N/A</v>
      </c>
      <c r="AC13" s="1554" t="e">
        <f t="shared" si="5"/>
        <v>#N/A</v>
      </c>
    </row>
    <row r="14" spans="1:29" s="1213" customFormat="1" ht="15">
      <c r="A14" s="2867"/>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18"/>
      <c r="Q14" s="1144">
        <f t="shared" si="6"/>
        <v>111</v>
      </c>
      <c r="R14" s="1551" t="s">
        <v>8</v>
      </c>
      <c r="S14" s="1552">
        <f t="shared" si="0"/>
        <v>100</v>
      </c>
      <c r="T14" s="1551" t="s">
        <v>8</v>
      </c>
      <c r="U14" s="1552">
        <f t="shared" si="1"/>
        <v>100</v>
      </c>
      <c r="V14" s="1551" t="s">
        <v>8</v>
      </c>
      <c r="W14" s="1552">
        <f t="shared" si="2"/>
        <v>100</v>
      </c>
      <c r="X14" s="1553"/>
      <c r="Y14" s="3375"/>
      <c r="Z14" s="1143">
        <f t="shared" si="7"/>
        <v>111</v>
      </c>
      <c r="AA14" s="1554">
        <f>D14/F14</f>
        <v>1</v>
      </c>
      <c r="AB14" s="1554">
        <f>D14/H14</f>
        <v>1</v>
      </c>
      <c r="AC14" s="1554">
        <f>D14/J14</f>
        <v>1</v>
      </c>
    </row>
    <row r="15" spans="1:29" ht="15">
      <c r="A15" s="2867"/>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18"/>
      <c r="Q15" s="1144">
        <f t="shared" si="6"/>
        <v>111</v>
      </c>
      <c r="R15" s="1551" t="s">
        <v>8</v>
      </c>
      <c r="S15" s="1552">
        <f t="shared" si="0"/>
        <v>100</v>
      </c>
      <c r="T15" s="1551" t="s">
        <v>8</v>
      </c>
      <c r="U15" s="1552">
        <f t="shared" si="1"/>
        <v>100</v>
      </c>
      <c r="V15" s="1551" t="s">
        <v>8</v>
      </c>
      <c r="W15" s="1552">
        <f t="shared" si="2"/>
        <v>100</v>
      </c>
      <c r="X15" s="1553"/>
      <c r="Y15" s="3375"/>
      <c r="Z15" s="1143">
        <f t="shared" si="7"/>
        <v>111</v>
      </c>
      <c r="AA15" s="1554">
        <f t="shared" si="3"/>
        <v>1</v>
      </c>
      <c r="AB15" s="1554">
        <f t="shared" si="4"/>
        <v>1</v>
      </c>
      <c r="AC15" s="1554">
        <f t="shared" si="5"/>
        <v>1</v>
      </c>
    </row>
    <row r="16" spans="1:29" ht="15.75" thickBot="1">
      <c r="A16" s="2868"/>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18"/>
      <c r="Q16" s="1144">
        <f t="shared" si="6"/>
        <v>111</v>
      </c>
      <c r="R16" s="1551" t="s">
        <v>8</v>
      </c>
      <c r="S16" s="1552">
        <f t="shared" si="0"/>
        <v>100</v>
      </c>
      <c r="T16" s="1551" t="s">
        <v>8</v>
      </c>
      <c r="U16" s="1552">
        <f t="shared" si="1"/>
        <v>100</v>
      </c>
      <c r="V16" s="1551" t="s">
        <v>8</v>
      </c>
      <c r="W16" s="1552">
        <f t="shared" si="2"/>
        <v>100</v>
      </c>
      <c r="X16" s="1553"/>
      <c r="Y16" s="3375"/>
      <c r="Z16" s="1143">
        <f t="shared" si="7"/>
        <v>111</v>
      </c>
      <c r="AA16" s="1554">
        <f t="shared" si="3"/>
        <v>1</v>
      </c>
      <c r="AB16" s="1554">
        <f t="shared" si="4"/>
        <v>1</v>
      </c>
      <c r="AC16" s="1554">
        <f t="shared" si="5"/>
        <v>1</v>
      </c>
    </row>
    <row r="17" spans="1:29" ht="57">
      <c r="A17" s="2860" t="s">
        <v>2749</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20" t="s">
        <v>540</v>
      </c>
      <c r="Q17" s="1555" t="str">
        <f t="shared" si="6"/>
        <v>产业集聚程度</v>
      </c>
      <c r="R17" s="1556" t="s">
        <v>8</v>
      </c>
      <c r="S17" s="1557">
        <f t="shared" si="0"/>
        <v>100</v>
      </c>
      <c r="T17" s="1556" t="s">
        <v>8</v>
      </c>
      <c r="U17" s="1557">
        <f t="shared" si="1"/>
        <v>100</v>
      </c>
      <c r="V17" s="1556" t="s">
        <v>8</v>
      </c>
      <c r="W17" s="1557">
        <f t="shared" si="2"/>
        <v>100</v>
      </c>
      <c r="X17" s="1550"/>
      <c r="Y17" s="3420"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1"/>
      <c r="Q18" s="1555"/>
      <c r="R18" s="1556"/>
      <c r="S18" s="1557"/>
      <c r="T18" s="1556"/>
      <c r="U18" s="1557"/>
      <c r="V18" s="1556"/>
      <c r="W18" s="1557"/>
      <c r="X18" s="1550"/>
      <c r="Y18" s="3421"/>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1"/>
      <c r="Q19" s="1555" t="str">
        <f>B19</f>
        <v>交通便捷度</v>
      </c>
      <c r="R19" s="1556" t="s">
        <v>8</v>
      </c>
      <c r="S19" s="1557">
        <f>F19</f>
        <v>100</v>
      </c>
      <c r="T19" s="1556" t="s">
        <v>8</v>
      </c>
      <c r="U19" s="1557">
        <f>H19</f>
        <v>100</v>
      </c>
      <c r="V19" s="1556" t="s">
        <v>8</v>
      </c>
      <c r="W19" s="1557">
        <f>J19</f>
        <v>100</v>
      </c>
      <c r="X19" s="1550"/>
      <c r="Y19" s="3421"/>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21"/>
      <c r="Q20" s="1555"/>
      <c r="R20" s="1556"/>
      <c r="S20" s="1557"/>
      <c r="T20" s="1556"/>
      <c r="U20" s="1557"/>
      <c r="V20" s="1556"/>
      <c r="W20" s="1557"/>
      <c r="X20" s="1550"/>
      <c r="Y20" s="3421"/>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1"/>
      <c r="Q21" s="1555" t="str">
        <f t="shared" ref="Q21:Q35" si="8">B21</f>
        <v>区域土地利用方向</v>
      </c>
      <c r="R21" s="1556" t="s">
        <v>8</v>
      </c>
      <c r="S21" s="1557">
        <f>F21</f>
        <v>100</v>
      </c>
      <c r="T21" s="1556" t="s">
        <v>8</v>
      </c>
      <c r="U21" s="1557">
        <f>H21</f>
        <v>100</v>
      </c>
      <c r="V21" s="1556" t="s">
        <v>8</v>
      </c>
      <c r="W21" s="1557">
        <f>J21</f>
        <v>100</v>
      </c>
      <c r="X21" s="1550"/>
      <c r="Y21" s="3421"/>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1"/>
      <c r="Q22" s="1555"/>
      <c r="R22" s="1556"/>
      <c r="S22" s="1557"/>
      <c r="T22" s="1556"/>
      <c r="U22" s="1557"/>
      <c r="V22" s="1556"/>
      <c r="W22" s="1557"/>
      <c r="X22" s="1550"/>
      <c r="Y22" s="3421"/>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1"/>
      <c r="Q23" s="1555" t="str">
        <f t="shared" si="8"/>
        <v>环境状况</v>
      </c>
      <c r="R23" s="1556" t="s">
        <v>8</v>
      </c>
      <c r="S23" s="1557">
        <f>F23</f>
        <v>100</v>
      </c>
      <c r="T23" s="1556" t="s">
        <v>8</v>
      </c>
      <c r="U23" s="1557">
        <f>H23</f>
        <v>100</v>
      </c>
      <c r="V23" s="1556" t="s">
        <v>8</v>
      </c>
      <c r="W23" s="1557">
        <f>J23</f>
        <v>100</v>
      </c>
      <c r="X23" s="1550"/>
      <c r="Y23" s="3421"/>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1"/>
      <c r="Q24" s="1555"/>
      <c r="R24" s="1556"/>
      <c r="S24" s="1557"/>
      <c r="T24" s="1556"/>
      <c r="U24" s="1557"/>
      <c r="V24" s="1556"/>
      <c r="W24" s="1557"/>
      <c r="X24" s="1550"/>
      <c r="Y24" s="3421"/>
      <c r="Z24" s="1558"/>
      <c r="AA24" s="1559">
        <v>1</v>
      </c>
      <c r="AB24" s="1559">
        <v>1</v>
      </c>
      <c r="AC24" s="1559">
        <v>1</v>
      </c>
    </row>
    <row r="25" spans="1:29" s="1213" customFormat="1" ht="42.75">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1"/>
      <c r="Q25" s="1144" t="str">
        <f t="shared" si="8"/>
        <v>公共配套设施</v>
      </c>
      <c r="R25" s="1551" t="s">
        <v>8</v>
      </c>
      <c r="S25" s="1552">
        <f>F25</f>
        <v>100</v>
      </c>
      <c r="T25" s="1551" t="s">
        <v>8</v>
      </c>
      <c r="U25" s="1552">
        <f>H25</f>
        <v>100</v>
      </c>
      <c r="V25" s="1551" t="s">
        <v>8</v>
      </c>
      <c r="W25" s="1552">
        <f>J25</f>
        <v>100</v>
      </c>
      <c r="X25" s="1553"/>
      <c r="Y25" s="3421"/>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1"/>
      <c r="Q26" s="1144"/>
      <c r="R26" s="1551"/>
      <c r="S26" s="1552"/>
      <c r="T26" s="1551"/>
      <c r="U26" s="1552"/>
      <c r="V26" s="1551"/>
      <c r="W26" s="1552"/>
      <c r="X26" s="1553"/>
      <c r="Y26" s="3421"/>
      <c r="Z26" s="1143"/>
      <c r="AA26" s="1554">
        <v>1</v>
      </c>
      <c r="AB26" s="1554">
        <v>1</v>
      </c>
      <c r="AC26" s="1554">
        <v>1</v>
      </c>
    </row>
    <row r="27" spans="1:29" s="1213" customFormat="1" ht="28.5">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1"/>
      <c r="Q27" s="2539" t="str">
        <f t="shared" ref="Q27" si="9">B27</f>
        <v>基础设施水平</v>
      </c>
      <c r="R27" s="1551" t="s">
        <v>8</v>
      </c>
      <c r="S27" s="1552">
        <f>F27</f>
        <v>100</v>
      </c>
      <c r="T27" s="1551" t="s">
        <v>8</v>
      </c>
      <c r="U27" s="1552">
        <f>H27</f>
        <v>100</v>
      </c>
      <c r="V27" s="1551" t="s">
        <v>8</v>
      </c>
      <c r="W27" s="1552">
        <f>J27</f>
        <v>100</v>
      </c>
      <c r="X27" s="1553"/>
      <c r="Y27" s="3421"/>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1"/>
      <c r="Q28" s="2539"/>
      <c r="R28" s="1551"/>
      <c r="S28" s="1552"/>
      <c r="T28" s="1551"/>
      <c r="U28" s="1552"/>
      <c r="V28" s="1551"/>
      <c r="W28" s="1552"/>
      <c r="X28" s="1553"/>
      <c r="Y28" s="3421"/>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1"/>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1"/>
      <c r="Q30" s="1555" t="str">
        <f t="shared" si="8"/>
        <v>毗邻道路的类型与等级</v>
      </c>
      <c r="R30" s="1556" t="s">
        <v>8</v>
      </c>
      <c r="S30" s="1557">
        <f t="shared" si="10"/>
        <v>100</v>
      </c>
      <c r="T30" s="1556" t="s">
        <v>8</v>
      </c>
      <c r="U30" s="1557">
        <f t="shared" si="11"/>
        <v>100</v>
      </c>
      <c r="V30" s="1556" t="s">
        <v>8</v>
      </c>
      <c r="W30" s="1557">
        <f t="shared" si="12"/>
        <v>100</v>
      </c>
      <c r="X30" s="1550"/>
      <c r="Y30" s="3421"/>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1"/>
      <c r="Q31" s="1555"/>
      <c r="R31" s="1556"/>
      <c r="S31" s="1557"/>
      <c r="T31" s="1556"/>
      <c r="U31" s="1557"/>
      <c r="V31" s="1556"/>
      <c r="W31" s="1557"/>
      <c r="X31" s="1550"/>
      <c r="Y31" s="3421"/>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1"/>
      <c r="Q32" s="1555" t="str">
        <f t="shared" si="8"/>
        <v>土地级别</v>
      </c>
      <c r="R32" s="1556" t="s">
        <v>8</v>
      </c>
      <c r="S32" s="1557">
        <f t="shared" si="10"/>
        <v>100</v>
      </c>
      <c r="T32" s="1556" t="s">
        <v>8</v>
      </c>
      <c r="U32" s="1557">
        <f t="shared" si="11"/>
        <v>100</v>
      </c>
      <c r="V32" s="1556" t="s">
        <v>8</v>
      </c>
      <c r="W32" s="1557">
        <f t="shared" si="12"/>
        <v>100</v>
      </c>
      <c r="X32" s="1550"/>
      <c r="Y32" s="3421"/>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1"/>
      <c r="Q33" s="1555">
        <f t="shared" si="8"/>
        <v>111</v>
      </c>
      <c r="R33" s="1556" t="s">
        <v>8</v>
      </c>
      <c r="S33" s="1557">
        <f t="shared" si="10"/>
        <v>100</v>
      </c>
      <c r="T33" s="1556" t="s">
        <v>8</v>
      </c>
      <c r="U33" s="1557">
        <f t="shared" si="11"/>
        <v>100</v>
      </c>
      <c r="V33" s="1556" t="s">
        <v>8</v>
      </c>
      <c r="W33" s="1557">
        <f t="shared" si="12"/>
        <v>100</v>
      </c>
      <c r="X33" s="1550"/>
      <c r="Y33" s="3421"/>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2" t="s">
        <v>550</v>
      </c>
      <c r="Q34" s="1555">
        <f t="shared" si="8"/>
        <v>111</v>
      </c>
      <c r="R34" s="1556" t="s">
        <v>8</v>
      </c>
      <c r="S34" s="1557">
        <f t="shared" si="10"/>
        <v>100</v>
      </c>
      <c r="T34" s="1556" t="s">
        <v>8</v>
      </c>
      <c r="U34" s="1557">
        <f t="shared" si="11"/>
        <v>100</v>
      </c>
      <c r="V34" s="1556" t="s">
        <v>8</v>
      </c>
      <c r="W34" s="1557">
        <f t="shared" si="12"/>
        <v>100</v>
      </c>
      <c r="X34" s="1550"/>
      <c r="Y34" s="3423"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3"/>
      <c r="Q35" s="1555">
        <f t="shared" si="8"/>
        <v>111</v>
      </c>
      <c r="R35" s="1560" t="s">
        <v>8</v>
      </c>
      <c r="S35" s="1561">
        <f t="shared" si="10"/>
        <v>100</v>
      </c>
      <c r="T35" s="1560" t="s">
        <v>8</v>
      </c>
      <c r="U35" s="1561">
        <f t="shared" si="11"/>
        <v>100</v>
      </c>
      <c r="V35" s="1560" t="s">
        <v>8</v>
      </c>
      <c r="W35" s="1561">
        <f t="shared" si="12"/>
        <v>100</v>
      </c>
      <c r="X35" s="1562"/>
      <c r="Y35" s="3423"/>
      <c r="Z35" s="1563">
        <f t="shared" si="13"/>
        <v>111</v>
      </c>
      <c r="AA35" s="1559">
        <f t="shared" si="3"/>
        <v>1</v>
      </c>
      <c r="AB35" s="1559">
        <f t="shared" si="4"/>
        <v>1</v>
      </c>
      <c r="AC35" s="1559">
        <f t="shared" si="5"/>
        <v>1</v>
      </c>
    </row>
    <row r="36" spans="1:29" ht="15">
      <c r="A36" s="2858"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3"/>
      <c r="Q36" s="1555" t="str">
        <f>B36</f>
        <v>宗地面积</v>
      </c>
      <c r="R36" s="1556" t="s">
        <v>8</v>
      </c>
      <c r="S36" s="1557" t="e">
        <f t="shared" si="10"/>
        <v>#N/A</v>
      </c>
      <c r="T36" s="1556" t="s">
        <v>8</v>
      </c>
      <c r="U36" s="1557" t="e">
        <f t="shared" si="11"/>
        <v>#N/A</v>
      </c>
      <c r="V36" s="1556" t="s">
        <v>8</v>
      </c>
      <c r="W36" s="1557" t="e">
        <f t="shared" si="12"/>
        <v>#N/A</v>
      </c>
      <c r="X36" s="1550"/>
      <c r="Y36" s="3423"/>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3"/>
      <c r="Q37" s="1555" t="str">
        <f t="shared" ref="Q37:Q42" si="14">B37</f>
        <v>宗地形状</v>
      </c>
      <c r="R37" s="1556" t="s">
        <v>8</v>
      </c>
      <c r="S37" s="1557">
        <f t="shared" si="10"/>
        <v>100</v>
      </c>
      <c r="T37" s="1556" t="s">
        <v>8</v>
      </c>
      <c r="U37" s="1557">
        <f t="shared" si="11"/>
        <v>100</v>
      </c>
      <c r="V37" s="1556" t="s">
        <v>8</v>
      </c>
      <c r="W37" s="1557">
        <f t="shared" si="12"/>
        <v>100</v>
      </c>
      <c r="X37" s="1550"/>
      <c r="Y37" s="3423"/>
      <c r="Z37" s="1558" t="str">
        <f t="shared" si="13"/>
        <v>宗地形状</v>
      </c>
      <c r="AA37" s="1559">
        <f t="shared" si="3"/>
        <v>1</v>
      </c>
      <c r="AB37" s="1559">
        <f t="shared" si="4"/>
        <v>1</v>
      </c>
      <c r="AC37" s="1559">
        <f t="shared" si="5"/>
        <v>1</v>
      </c>
    </row>
    <row r="38" spans="1:29" s="1213" customFormat="1" ht="15">
      <c r="A38" s="598"/>
      <c r="B38" s="1877"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3"/>
      <c r="Q38" s="1555" t="str">
        <f t="shared" si="14"/>
        <v>宗地开发程度</v>
      </c>
      <c r="R38" s="1551" t="s">
        <v>8</v>
      </c>
      <c r="S38" s="1552">
        <f t="shared" si="10"/>
        <v>100</v>
      </c>
      <c r="T38" s="1551" t="s">
        <v>8</v>
      </c>
      <c r="U38" s="1552">
        <f t="shared" si="11"/>
        <v>100</v>
      </c>
      <c r="V38" s="1551" t="s">
        <v>8</v>
      </c>
      <c r="W38" s="1552">
        <f t="shared" si="12"/>
        <v>100</v>
      </c>
      <c r="X38" s="1553"/>
      <c r="Y38" s="3423"/>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3" t="s">
        <v>601</v>
      </c>
      <c r="Q39" s="1555" t="str">
        <f t="shared" si="14"/>
        <v>工程地质条件</v>
      </c>
      <c r="R39" s="1556" t="s">
        <v>8</v>
      </c>
      <c r="S39" s="1557">
        <f t="shared" si="10"/>
        <v>100</v>
      </c>
      <c r="T39" s="1556" t="s">
        <v>8</v>
      </c>
      <c r="U39" s="1557">
        <f t="shared" si="11"/>
        <v>100</v>
      </c>
      <c r="V39" s="1556" t="s">
        <v>8</v>
      </c>
      <c r="W39" s="1557">
        <f t="shared" si="12"/>
        <v>100</v>
      </c>
      <c r="X39" s="1550"/>
      <c r="Y39" s="3423"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3"/>
      <c r="Q40" s="1555">
        <f t="shared" si="14"/>
        <v>111</v>
      </c>
      <c r="R40" s="1556" t="s">
        <v>8</v>
      </c>
      <c r="S40" s="1557">
        <f t="shared" si="10"/>
        <v>100</v>
      </c>
      <c r="T40" s="1556" t="s">
        <v>8</v>
      </c>
      <c r="U40" s="1557">
        <f t="shared" si="11"/>
        <v>100</v>
      </c>
      <c r="V40" s="1556" t="s">
        <v>8</v>
      </c>
      <c r="W40" s="1557">
        <f t="shared" si="12"/>
        <v>100</v>
      </c>
      <c r="X40" s="1550"/>
      <c r="Y40" s="3423"/>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3"/>
      <c r="Q41" s="1555">
        <f t="shared" si="14"/>
        <v>111</v>
      </c>
      <c r="R41" s="1556" t="s">
        <v>8</v>
      </c>
      <c r="S41" s="1557">
        <f t="shared" si="10"/>
        <v>100</v>
      </c>
      <c r="T41" s="1556" t="s">
        <v>8</v>
      </c>
      <c r="U41" s="1557">
        <f t="shared" si="11"/>
        <v>100</v>
      </c>
      <c r="V41" s="1556" t="s">
        <v>8</v>
      </c>
      <c r="W41" s="1557">
        <f t="shared" si="12"/>
        <v>100</v>
      </c>
      <c r="X41" s="1550"/>
      <c r="Y41" s="3423"/>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3"/>
      <c r="Q42" s="1555">
        <f t="shared" si="14"/>
        <v>111</v>
      </c>
      <c r="R42" s="1560" t="s">
        <v>8</v>
      </c>
      <c r="S42" s="1561">
        <f t="shared" si="10"/>
        <v>100</v>
      </c>
      <c r="T42" s="1560" t="s">
        <v>8</v>
      </c>
      <c r="U42" s="1561">
        <f t="shared" si="11"/>
        <v>100</v>
      </c>
      <c r="V42" s="1560" t="s">
        <v>8</v>
      </c>
      <c r="W42" s="1561">
        <f t="shared" si="12"/>
        <v>100</v>
      </c>
      <c r="X42" s="1562"/>
      <c r="Y42" s="3423"/>
      <c r="Z42" s="1563">
        <f t="shared" si="13"/>
        <v>111</v>
      </c>
      <c r="AA42" s="1559">
        <f t="shared" si="3"/>
        <v>1</v>
      </c>
      <c r="AB42" s="1559">
        <f t="shared" si="4"/>
        <v>1</v>
      </c>
      <c r="AC42" s="1559">
        <f t="shared" si="5"/>
        <v>1</v>
      </c>
    </row>
    <row r="43" spans="1:29" ht="15">
      <c r="A43" s="605" t="s">
        <v>556</v>
      </c>
      <c r="B43" s="606" t="s">
        <v>2922</v>
      </c>
      <c r="C43" s="607" t="s">
        <v>1</v>
      </c>
      <c r="D43" s="608"/>
      <c r="E43" s="609"/>
      <c r="F43" s="610"/>
      <c r="G43" s="611"/>
      <c r="H43" s="612"/>
      <c r="I43" s="609"/>
      <c r="J43" s="612"/>
      <c r="K43" s="1333"/>
      <c r="L43" s="2126"/>
      <c r="M43" s="2116"/>
      <c r="N43" s="2116"/>
      <c r="O43" s="2127"/>
      <c r="P43" s="3418" t="str">
        <f>A43</f>
        <v>成交单价</v>
      </c>
      <c r="Q43" s="3418"/>
      <c r="R43" s="3432">
        <f>E43</f>
        <v>0</v>
      </c>
      <c r="S43" s="3432"/>
      <c r="T43" s="3432">
        <f>G43</f>
        <v>0</v>
      </c>
      <c r="U43" s="3432"/>
      <c r="V43" s="3432">
        <f>I43</f>
        <v>0</v>
      </c>
      <c r="W43" s="3432"/>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4"/>
      <c r="L44" s="2126"/>
      <c r="M44" s="2116"/>
      <c r="N44" s="2116"/>
      <c r="O44" s="2127"/>
      <c r="P44" s="3418" t="str">
        <f>A44</f>
        <v>比较价格（元/平方米）</v>
      </c>
      <c r="Q44" s="3418"/>
      <c r="R44" s="3442" t="e">
        <f>ROUND(PRODUCT(R43,AA9:AA42),0)</f>
        <v>#DIV/0!</v>
      </c>
      <c r="S44" s="3442"/>
      <c r="T44" s="3442" t="e">
        <f>ROUND(PRODUCT(T43,AB9:AB42),0)</f>
        <v>#DIV/0!</v>
      </c>
      <c r="U44" s="3442"/>
      <c r="V44" s="3442" t="e">
        <f>ROUND(PRODUCT(V43,AC9:AC42),0)</f>
        <v>#DIV/0!</v>
      </c>
      <c r="W44" s="3442"/>
      <c r="X44" s="1542"/>
      <c r="Y44" s="1542"/>
      <c r="Z44" s="1542"/>
      <c r="AA44" s="1542"/>
      <c r="AB44" s="1542"/>
      <c r="AC44" s="1542"/>
    </row>
    <row r="45" spans="1:29" ht="15.75" thickBot="1">
      <c r="A45" s="619" t="s">
        <v>2923</v>
      </c>
      <c r="B45" s="620"/>
      <c r="C45" s="621" t="e">
        <f>R45</f>
        <v>#DIV/0!</v>
      </c>
      <c r="D45" s="621"/>
      <c r="E45" s="621"/>
      <c r="F45" s="621"/>
      <c r="G45" s="621"/>
      <c r="H45" s="621"/>
      <c r="I45" s="621"/>
      <c r="J45" s="621"/>
      <c r="K45" s="1335"/>
      <c r="L45" s="2126"/>
      <c r="M45" s="2116"/>
      <c r="N45" s="2116"/>
      <c r="O45" s="2127"/>
      <c r="P45" s="3439" t="str">
        <f>A45</f>
        <v>估价对象XX用房的比较价格（楼面单价，元/平方米）</v>
      </c>
      <c r="Q45" s="3440"/>
      <c r="R45" s="3441" t="e">
        <f>ROUND(AVERAGE(R44:V44),0)</f>
        <v>#DIV/0!</v>
      </c>
      <c r="S45" s="3441"/>
      <c r="T45" s="3441"/>
      <c r="U45" s="3441"/>
      <c r="V45" s="3441"/>
      <c r="W45" s="344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3" t="s">
        <v>2281</v>
      </c>
      <c r="H52" s="3444"/>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888914.7</v>
      </c>
      <c r="F53" s="1932" t="e">
        <f t="shared" ref="F53:F62" si="15">ROUND(B53*E53/10000,0)</f>
        <v>#DIV/0!</v>
      </c>
      <c r="G53" s="3445"/>
      <c r="H53" s="344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47"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4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4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4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2324</v>
      </c>
      <c r="B58" s="636" t="e">
        <f t="shared" si="17"/>
        <v>#DIV/0!</v>
      </c>
      <c r="C58" s="376">
        <f t="shared" si="16"/>
        <v>0</v>
      </c>
      <c r="D58" s="2211">
        <v>0.25</v>
      </c>
      <c r="E58" s="639">
        <f>'数据-汇总表'!E11</f>
        <v>0</v>
      </c>
      <c r="F58" s="1932" t="e">
        <f t="shared" si="15"/>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197536.6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2019-12-1</v>
      </c>
      <c r="D65" s="2750">
        <f>EDATE(C65,-3)</f>
        <v>43709</v>
      </c>
      <c r="E65" s="2750">
        <f t="shared" ref="E65:N65" si="18">EDATE(D65,-3)</f>
        <v>43617</v>
      </c>
      <c r="F65" s="2750">
        <f t="shared" si="18"/>
        <v>43525</v>
      </c>
      <c r="G65" s="2750">
        <f t="shared" si="18"/>
        <v>43435</v>
      </c>
      <c r="H65" s="2750">
        <f t="shared" si="18"/>
        <v>43344</v>
      </c>
      <c r="I65" s="2750">
        <f t="shared" si="18"/>
        <v>43252</v>
      </c>
      <c r="J65" s="2750">
        <f t="shared" si="18"/>
        <v>43160</v>
      </c>
      <c r="K65" s="2750">
        <f t="shared" si="18"/>
        <v>43070</v>
      </c>
      <c r="L65" s="2750">
        <f t="shared" si="18"/>
        <v>42979</v>
      </c>
      <c r="M65" s="2750">
        <f t="shared" si="18"/>
        <v>42887</v>
      </c>
      <c r="N65" s="2750">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2529</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2644</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2421</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2422</v>
      </c>
      <c r="D1" s="1505">
        <f>SUM(D29:D30,D33:D39)</f>
        <v>0</v>
      </c>
      <c r="E1" s="1399" t="s">
        <v>2423</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5" t="s">
        <v>2757</v>
      </c>
      <c r="S1" s="2885" t="s">
        <v>2758</v>
      </c>
      <c r="T1" s="2885" t="s">
        <v>2779</v>
      </c>
      <c r="U1" s="2885" t="s">
        <v>2780</v>
      </c>
      <c r="V1" s="2885" t="s">
        <v>2781</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2</v>
      </c>
      <c r="H3" s="1407" t="s">
        <v>928</v>
      </c>
      <c r="I3" s="1037">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38"/>
      <c r="L4" s="1867" t="s">
        <v>2238</v>
      </c>
      <c r="M4" s="1868">
        <f>SUMPRODUCT((区片价!B49:B75=I2)*(区片价!C3:F3=E2)*(区片价!C49:F75))</f>
        <v>0</v>
      </c>
      <c r="N4" s="1869">
        <f>SUMPRODUCT((因素修正幅度!B49:B75=I2)*(因素修正幅度!C3:F3=E2)*(因素修正幅度!C49:F75))</f>
        <v>0</v>
      </c>
      <c r="O4" s="3138"/>
      <c r="P4" s="1394"/>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3" t="e">
        <f>ROUND(C6+C16,0)</f>
        <v>#DIV/0!</v>
      </c>
      <c r="E5" s="3063"/>
      <c r="F5" s="1409"/>
      <c r="G5" s="1410"/>
      <c r="H5" s="1410"/>
      <c r="I5" s="1410"/>
      <c r="J5" s="1411"/>
      <c r="K5" s="3139"/>
      <c r="L5" s="1867" t="s">
        <v>2239</v>
      </c>
      <c r="M5" s="1868">
        <f>SUMPRODUCT((区片价!B76:B109=I2)*(区片价!C3:F3=E2)*(区片价!C76:F109))</f>
        <v>0</v>
      </c>
      <c r="N5" s="1869">
        <f>SUMPRODUCT((因素修正幅度!B76:B109=I2)*(因素修正幅度!C3:F3=E2)*(因素修正幅度!C76:F109))</f>
        <v>0</v>
      </c>
      <c r="O5" s="3139"/>
      <c r="P5" s="1577"/>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2"/>
      <c r="AE6" s="1412"/>
      <c r="AF6" s="1412"/>
      <c r="AG6" s="1412"/>
      <c r="AH6" s="1412"/>
      <c r="AI6" s="1412"/>
      <c r="AJ6" s="1413"/>
    </row>
    <row r="7" spans="1:39" ht="24">
      <c r="A7" s="3455" t="str">
        <f>IF(E2="商业",IF(C8="不临58条商业街","",2),"")</f>
        <v/>
      </c>
      <c r="B7" s="1420" t="s">
        <v>931</v>
      </c>
      <c r="C7" s="1040" t="e">
        <f>IF(C8="不临58条商业街",1,ROUND(1+(1.6*E8+1.2*E9+0.8*E10+0.4*E11)*C9,4))</f>
        <v>#DIV/0!</v>
      </c>
      <c r="D7" s="1421" t="s">
        <v>932</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2760</v>
      </c>
      <c r="X7" s="2876">
        <f>G2</f>
        <v>0</v>
      </c>
      <c r="Y7" s="2876" t="s">
        <v>2761</v>
      </c>
      <c r="Z7" s="2877">
        <f>G3</f>
        <v>2</v>
      </c>
      <c r="AA7" s="2174"/>
      <c r="AB7" s="2174"/>
      <c r="AC7" s="2175"/>
      <c r="AD7" s="2878"/>
      <c r="AE7" s="2878"/>
      <c r="AF7" s="2878"/>
      <c r="AG7" s="2878"/>
      <c r="AH7" s="2878"/>
      <c r="AI7" s="2878"/>
      <c r="AJ7" s="2879"/>
    </row>
    <row r="8" spans="1:39" ht="15">
      <c r="A8" s="3456"/>
      <c r="B8" s="1407" t="s">
        <v>933</v>
      </c>
      <c r="C8" s="1513"/>
      <c r="D8" s="1042" t="s">
        <v>934</v>
      </c>
      <c r="E8" s="1043"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6">
        <v>7</v>
      </c>
      <c r="S8" s="2875"/>
      <c r="T8" s="2886" t="e">
        <f t="shared" si="0"/>
        <v>#DIV/0!</v>
      </c>
      <c r="U8" s="2875"/>
      <c r="V8" s="2886" t="e">
        <f t="shared" si="1"/>
        <v>#DIV/0!</v>
      </c>
      <c r="W8" s="3466" t="s">
        <v>2778</v>
      </c>
      <c r="X8" s="3467"/>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456"/>
      <c r="B9" s="1407" t="s">
        <v>936</v>
      </c>
      <c r="C9" s="1044">
        <f>SUMIF(修正!C59:C119,C8,修正!E59:E119)</f>
        <v>0</v>
      </c>
      <c r="D9" s="1045" t="s">
        <v>937</v>
      </c>
      <c r="E9" s="1045"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6">
        <v>8</v>
      </c>
      <c r="S9" s="2875"/>
      <c r="T9" s="2886" t="e">
        <f t="shared" si="0"/>
        <v>#DIV/0!</v>
      </c>
      <c r="U9" s="2875"/>
      <c r="V9" s="2886" t="e">
        <f t="shared" si="1"/>
        <v>#DIV/0!</v>
      </c>
      <c r="W9" s="3465" t="s">
        <v>2774</v>
      </c>
      <c r="X9" s="2880" t="s">
        <v>2775</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56"/>
      <c r="B10" s="1407" t="s">
        <v>939</v>
      </c>
      <c r="C10" s="1045">
        <f>SUMIF(修正!C59:C119,C8,修正!F59:F119)</f>
        <v>0</v>
      </c>
      <c r="D10" s="1045" t="s">
        <v>940</v>
      </c>
      <c r="E10" s="1045"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6">
        <v>9</v>
      </c>
      <c r="S10" s="2875"/>
      <c r="T10" s="2886" t="e">
        <f t="shared" si="0"/>
        <v>#DIV/0!</v>
      </c>
      <c r="U10" s="2875"/>
      <c r="V10" s="2886" t="e">
        <f t="shared" si="1"/>
        <v>#DIV/0!</v>
      </c>
      <c r="W10" s="3465"/>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56"/>
      <c r="B11" s="1428" t="s">
        <v>942</v>
      </c>
      <c r="C11" s="1046">
        <f>C10/4</f>
        <v>0</v>
      </c>
      <c r="D11" s="1046" t="s">
        <v>943</v>
      </c>
      <c r="E11" s="1046"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6">
        <v>10</v>
      </c>
      <c r="S11" s="2875"/>
      <c r="T11" s="2886" t="e">
        <f t="shared" si="0"/>
        <v>#DIV/0!</v>
      </c>
      <c r="U11" s="2875"/>
      <c r="V11" s="2886" t="e">
        <f t="shared" si="1"/>
        <v>#DIV/0!</v>
      </c>
      <c r="W11" s="3465" t="s">
        <v>2776</v>
      </c>
      <c r="X11" s="1045" t="s">
        <v>2761</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55" t="s">
        <v>1870</v>
      </c>
      <c r="B12" s="1432" t="s">
        <v>945</v>
      </c>
      <c r="C12" s="1040">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6">
        <v>11</v>
      </c>
      <c r="S12" s="2875"/>
      <c r="T12" s="2886" t="e">
        <f t="shared" si="0"/>
        <v>#DIV/0!</v>
      </c>
      <c r="U12" s="2875"/>
      <c r="V12" s="2886" t="e">
        <f t="shared" si="1"/>
        <v>#DIV/0!</v>
      </c>
      <c r="W12" s="3465"/>
      <c r="X12" s="2883" t="s">
        <v>2777</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57"/>
      <c r="B13" s="1437" t="s">
        <v>1695</v>
      </c>
      <c r="C13" s="1438" t="s">
        <v>1696</v>
      </c>
      <c r="D13" s="1082" t="s">
        <v>1697</v>
      </c>
      <c r="E13" s="1082" t="s">
        <v>1698</v>
      </c>
      <c r="F13" s="1439" t="s">
        <v>947</v>
      </c>
      <c r="G13" s="1440" t="s">
        <v>1641</v>
      </c>
      <c r="H13" s="1441" t="s">
        <v>1641</v>
      </c>
      <c r="I13" s="1442" t="s">
        <v>1641</v>
      </c>
      <c r="J13" s="1443" t="s">
        <v>1641</v>
      </c>
      <c r="K13" s="3154"/>
      <c r="L13" s="3154"/>
      <c r="M13" s="3154"/>
      <c r="N13" s="3154"/>
      <c r="O13" s="3154"/>
      <c r="P13" s="1394"/>
      <c r="Q13" s="2171"/>
      <c r="R13" s="2886">
        <v>12</v>
      </c>
      <c r="S13" s="2875"/>
      <c r="T13" s="2886" t="e">
        <f t="shared" si="0"/>
        <v>#DIV/0!</v>
      </c>
      <c r="U13" s="2875"/>
      <c r="V13" s="2886" t="e">
        <f t="shared" si="1"/>
        <v>#DIV/0!</v>
      </c>
      <c r="W13" s="3465"/>
      <c r="X13" s="2883"/>
      <c r="Y13" s="2882">
        <f>(-0.163*(Y12^2)-0.59*Y12+7617)*(10^(-4))/Y11</f>
        <v>0.38085000000000002</v>
      </c>
      <c r="Z13" s="2882">
        <f t="shared" ref="Z13:AJ13" si="5">(-0.163*(Z12^2)-0.59*Z12+7617)*(10^(-4))/Z11</f>
        <v>0.38085000000000002</v>
      </c>
      <c r="AA13" s="2882">
        <f t="shared" si="5"/>
        <v>0.38085000000000002</v>
      </c>
      <c r="AB13" s="2882">
        <f t="shared" si="5"/>
        <v>0.38085000000000002</v>
      </c>
      <c r="AC13" s="2882">
        <f t="shared" si="5"/>
        <v>0.38085000000000002</v>
      </c>
      <c r="AD13" s="2882">
        <f t="shared" si="5"/>
        <v>0.38085000000000002</v>
      </c>
      <c r="AE13" s="2882">
        <f t="shared" si="5"/>
        <v>0.38085000000000002</v>
      </c>
      <c r="AF13" s="2882">
        <f t="shared" si="5"/>
        <v>0.38085000000000002</v>
      </c>
      <c r="AG13" s="2882">
        <f t="shared" si="5"/>
        <v>0.38085000000000002</v>
      </c>
      <c r="AH13" s="2882">
        <f t="shared" si="5"/>
        <v>0.38085000000000002</v>
      </c>
      <c r="AI13" s="2882">
        <f t="shared" si="5"/>
        <v>0.38085000000000002</v>
      </c>
      <c r="AJ13" s="2882">
        <f t="shared" si="5"/>
        <v>0.38085000000000002</v>
      </c>
    </row>
    <row r="14" spans="1:39" ht="12.75" customHeight="1">
      <c r="A14" s="3457"/>
      <c r="B14" s="1444"/>
      <c r="C14" s="1445"/>
      <c r="D14" s="1446"/>
      <c r="E14" s="1446"/>
      <c r="F14" s="1447"/>
      <c r="G14" s="1448" t="s">
        <v>948</v>
      </c>
      <c r="H14" s="1449"/>
      <c r="I14" s="1450"/>
      <c r="J14" s="1451"/>
      <c r="K14" s="3140"/>
      <c r="L14" s="3140"/>
      <c r="M14" s="3140"/>
      <c r="N14" s="3140"/>
      <c r="O14" s="3140"/>
      <c r="P14" s="1394"/>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458"/>
      <c r="B15" s="3159" t="s">
        <v>1699</v>
      </c>
      <c r="C15" s="1046">
        <f>IF(C14="有",1.1,1)</f>
        <v>1</v>
      </c>
      <c r="D15" s="1046">
        <f>IF(D14="有",1.1,1)</f>
        <v>1</v>
      </c>
      <c r="E15" s="1046">
        <f>IF(E14="有",1.1,1)</f>
        <v>1</v>
      </c>
      <c r="F15" s="1046">
        <f>IF(F14="500米范围内",1.2,IF(F14="500-1000米",1.1,1))</f>
        <v>1</v>
      </c>
      <c r="G15" s="3151">
        <v>1</v>
      </c>
      <c r="H15" s="3151">
        <v>1</v>
      </c>
      <c r="I15" s="3151">
        <v>1</v>
      </c>
      <c r="J15" s="3152">
        <v>1</v>
      </c>
      <c r="K15" s="3155"/>
      <c r="L15" s="3155"/>
      <c r="M15" s="3155"/>
      <c r="N15" s="3155"/>
      <c r="O15" s="3155"/>
      <c r="P15" s="1394"/>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455" t="s">
        <v>1837</v>
      </c>
      <c r="B16" s="1420" t="s">
        <v>949</v>
      </c>
      <c r="C16" s="1049" t="e">
        <f>ROUND(IF(F17="与级别开发程度一致",0,(G17-E17)/C17),0)</f>
        <v>#DIV/0!</v>
      </c>
      <c r="D16" s="3473" t="s">
        <v>953</v>
      </c>
      <c r="E16" s="3474"/>
      <c r="F16" s="3473" t="s">
        <v>950</v>
      </c>
      <c r="G16" s="3474"/>
      <c r="H16" s="1452"/>
      <c r="I16" s="1452"/>
      <c r="J16" s="1452"/>
      <c r="K16" s="1452"/>
      <c r="L16" s="1452"/>
      <c r="M16" s="1452"/>
      <c r="N16" s="1452"/>
      <c r="O16" s="3164"/>
      <c r="P16" s="1394"/>
      <c r="Q16" s="2174"/>
      <c r="R16" s="2886">
        <v>15</v>
      </c>
      <c r="S16" s="2875"/>
      <c r="T16" s="2886" t="e">
        <f t="shared" si="0"/>
        <v>#DIV/0!</v>
      </c>
      <c r="U16" s="2875"/>
      <c r="V16" s="2886" t="e">
        <f t="shared" si="1"/>
        <v>#DIV/0!</v>
      </c>
      <c r="W16" s="2174"/>
      <c r="X16" s="2174"/>
      <c r="Y16" s="2174"/>
      <c r="Z16" s="2174"/>
      <c r="AA16" s="2174"/>
      <c r="AB16" s="2174"/>
      <c r="AC16" s="2175"/>
    </row>
    <row r="17" spans="1:40" ht="13.5" thickBot="1">
      <c r="A17" s="3459"/>
      <c r="B17" s="3165" t="s">
        <v>952</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8">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1828</v>
      </c>
      <c r="B18" s="3160" t="s">
        <v>954</v>
      </c>
      <c r="C18" s="3161">
        <f>SUMIF(修正!C18:C39,E3,修正!E18:E39)</f>
        <v>0</v>
      </c>
      <c r="D18" s="3162"/>
      <c r="E18" s="3163"/>
      <c r="F18" s="3145"/>
      <c r="G18" s="3139"/>
      <c r="H18" s="3139"/>
      <c r="I18" s="3139"/>
      <c r="J18" s="3153"/>
      <c r="K18" s="3139"/>
      <c r="L18" s="3139"/>
      <c r="M18" s="3139"/>
      <c r="N18" s="3139"/>
      <c r="O18" s="3139"/>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ROUND(IF(H19="按公示增长率计算",SUMPRODUCT((地价!A3:A28=YEAR(G19)&amp;"-"&amp;ROUNDUP(MONTH(G19)/3,0))*(地价!X2:AB2=E2)*(地价!X3:AB28)),IF(H19="地价指数",M20/M19,(1+I19)^O19)),4)</f>
        <v>0</v>
      </c>
      <c r="D19" s="1459" t="s">
        <v>956</v>
      </c>
      <c r="E19" s="1051">
        <v>41640</v>
      </c>
      <c r="F19" s="1459" t="s">
        <v>957</v>
      </c>
      <c r="G19" s="1052">
        <f>'数据-取费表'!B2</f>
        <v>43805</v>
      </c>
      <c r="H19" s="1460" t="s">
        <v>2982</v>
      </c>
      <c r="I19" s="2736" t="str">
        <f>IF(H19="季度增幅（自定义）",SUMIF(N21:N24,E2,O21:O24),"")</f>
        <v/>
      </c>
      <c r="J19" s="1456"/>
      <c r="K19" s="3139"/>
      <c r="L19" s="2985" t="s">
        <v>2836</v>
      </c>
      <c r="M19" s="2986">
        <f>ROUND(SUMIF(地价!B2:F2,E2,地价!B28:F28),0)</f>
        <v>0</v>
      </c>
      <c r="N19" s="2738" t="s">
        <v>1675</v>
      </c>
      <c r="O19" s="2737">
        <f>ROUNDDOWN(DATEDIF(E19,G19,"M")/3,0)</f>
        <v>23</v>
      </c>
      <c r="P19" s="1579"/>
      <c r="Q19" s="2874"/>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1835</v>
      </c>
      <c r="B20" s="2731" t="s">
        <v>970</v>
      </c>
      <c r="C20" s="2732" t="e">
        <f>ROUND(POWER(1+G20,J20-I20)*(POWER(1+G20,I20)-1)/(POWER(1+G20,J20)-1),4)</f>
        <v>#DIV/0!</v>
      </c>
      <c r="D20" s="2733" t="s">
        <v>971</v>
      </c>
      <c r="E20" s="3038">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1"/>
      <c r="L20" s="2987" t="s">
        <v>2837</v>
      </c>
      <c r="M20" s="3148">
        <f>ROUND(SUMPRODUCT((地价!A4:A28=YEAR(G19)&amp;"-"&amp;ROUNDUP(MONTH(G19)/3,0))*(地价!B2:F2=E2)*(地价!B4:F28)),0)</f>
        <v>0</v>
      </c>
      <c r="N20" s="2741" t="s">
        <v>2641</v>
      </c>
      <c r="O20" s="2739" t="s">
        <v>2640</v>
      </c>
      <c r="P20" s="2740" t="s">
        <v>2645</v>
      </c>
      <c r="Q20" s="2874"/>
      <c r="R20" s="2177"/>
      <c r="S20" s="2177"/>
      <c r="T20" s="2177"/>
      <c r="U20" s="2177"/>
      <c r="V20" s="2177"/>
      <c r="W20" s="2177"/>
      <c r="X20" s="2177"/>
      <c r="Y20" s="1457"/>
      <c r="Z20" s="1457"/>
      <c r="AA20" s="1457"/>
      <c r="AB20" s="1457"/>
      <c r="AC20" s="1457"/>
      <c r="AD20" s="1457"/>
    </row>
    <row r="21" spans="1:40" s="1414" customFormat="1" ht="14.25">
      <c r="A21" s="1624" t="s">
        <v>1836</v>
      </c>
      <c r="B21" s="1465" t="s">
        <v>2756</v>
      </c>
      <c r="C21" s="1151">
        <f>IF(B21="容积率修正",IF(G3&lt;=10,D22,J22),C23)</f>
        <v>0</v>
      </c>
      <c r="D21" s="1466"/>
      <c r="E21" s="1466"/>
      <c r="F21" s="1466"/>
      <c r="G21" s="1466"/>
      <c r="H21" s="1466"/>
      <c r="I21" s="1466"/>
      <c r="J21" s="1467"/>
      <c r="K21" s="3139"/>
      <c r="L21" s="1466"/>
      <c r="M21" s="1466"/>
      <c r="N21" s="1463" t="s">
        <v>974</v>
      </c>
      <c r="O21" s="1526"/>
      <c r="P21" s="2728">
        <f>SUMPRODUCT((地价!A3:A28=YEAR(G19)&amp;"-"&amp;ROUNDUP(MONTH(G19)/3,0))*(地价!AD2:AH2=N21)*(地价!AD3:AH28))</f>
        <v>1.38E-2</v>
      </c>
      <c r="Q21" s="2874"/>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2"/>
      <c r="L22" s="1466"/>
      <c r="M22" s="1466"/>
      <c r="N22" s="1463" t="s">
        <v>977</v>
      </c>
      <c r="O22" s="1526"/>
      <c r="P22" s="2728">
        <f>SUMPRODUCT((地价!A3:A28=YEAR(G19)&amp;"-"&amp;ROUNDUP(MONTH(G19)/3,0))*(地价!AD2:AH2=N22)*(地价!AD3:AH28))</f>
        <v>1.38E-2</v>
      </c>
      <c r="Q22" s="2874"/>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43"/>
      <c r="L23" s="1394"/>
      <c r="M23" s="1394"/>
      <c r="N23" s="1463" t="s">
        <v>922</v>
      </c>
      <c r="O23" s="1526"/>
      <c r="P23" s="2728">
        <f>SUMPRODUCT((地价!A3:A28=YEAR(G19)&amp;"-"&amp;ROUNDUP(MONTH(G19)/3,0))*(地价!AD2:AH2=N23)*(地价!AD3:AH28))</f>
        <v>2.1399999999999999E-2</v>
      </c>
      <c r="Q23" s="2874"/>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43"/>
      <c r="L24" s="1466"/>
      <c r="M24" s="1466"/>
      <c r="N24" s="1463" t="s">
        <v>980</v>
      </c>
      <c r="O24" s="3147"/>
      <c r="P24" s="2728">
        <f>SUMPRODUCT((地价!A3:A28=YEAR(G19)&amp;"-"&amp;ROUNDUP(MONTH(G19)/3,0))*(地价!AD2:AH2=N24)*(地价!AD3:AH28))</f>
        <v>1.34E-2</v>
      </c>
      <c r="Q24" s="2874"/>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49" t="s">
        <v>2643</v>
      </c>
      <c r="O25" s="3150"/>
      <c r="P25" s="2408">
        <f>SUMPRODUCT((地价!A3:A28=YEAR(G19)&amp;"-"&amp;ROUNDUP(MONTH(G19)/3,0))*(地价!AD2:AH2=N25)*(地价!AD3:AH28))</f>
        <v>1.9599999999999999E-2</v>
      </c>
      <c r="Q25" s="2874"/>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4"/>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4"/>
      <c r="S27" s="2874"/>
      <c r="T27" s="2874"/>
      <c r="U27" s="2874"/>
      <c r="V27" s="2874"/>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4"/>
      <c r="S28" s="2874"/>
      <c r="T28" s="2874"/>
      <c r="U28" s="2874"/>
      <c r="V28" s="2874"/>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44"/>
      <c r="L29" s="3144"/>
      <c r="M29" s="3144"/>
      <c r="N29" s="3144"/>
      <c r="O29" s="3144"/>
      <c r="P29" s="1394"/>
      <c r="Q29" s="2177"/>
      <c r="R29" s="2177"/>
      <c r="S29" s="2177"/>
      <c r="T29" s="2177"/>
      <c r="U29" s="2177"/>
      <c r="V29" s="2177"/>
      <c r="W29" s="2874"/>
      <c r="X29" s="2874"/>
      <c r="Y29" s="2874"/>
      <c r="Z29" s="2874"/>
      <c r="AA29" s="2874"/>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5"/>
      <c r="L32" s="3145"/>
      <c r="M32" s="3145"/>
      <c r="N32" s="3145"/>
      <c r="O32" s="3145"/>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2" t="s">
        <v>2948</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6"/>
      <c r="L33" s="3146"/>
      <c r="M33" s="3146"/>
      <c r="N33" s="3146"/>
      <c r="O33" s="3146"/>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63"/>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6"/>
      <c r="L34" s="3146"/>
      <c r="M34" s="3146"/>
      <c r="N34" s="3146"/>
      <c r="O34" s="3146"/>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63"/>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6"/>
      <c r="L35" s="3146"/>
      <c r="M35" s="3146"/>
      <c r="N35" s="3146"/>
      <c r="O35" s="3146"/>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64"/>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6"/>
      <c r="L36" s="3146"/>
      <c r="M36" s="3146"/>
      <c r="N36" s="3146"/>
      <c r="O36" s="3146"/>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7" t="s">
        <v>2975</v>
      </c>
      <c r="C41" s="837" t="e">
        <f>ROUND(POWER(1+E41,H41-G41)*(POWER(1+E41,G41)-1)/(POWER(1+E41,H41)-1),4)</f>
        <v>#DIV/0!</v>
      </c>
      <c r="D41" s="376" t="s">
        <v>2973</v>
      </c>
      <c r="E41" s="3136">
        <f>G20</f>
        <v>0</v>
      </c>
      <c r="F41" s="376" t="s">
        <v>2974</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2247</v>
      </c>
      <c r="G46" s="2392" t="s">
        <v>1013</v>
      </c>
      <c r="H46" s="2375" t="s">
        <v>2414</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0" t="s">
        <v>2925</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39" t="s">
        <v>2924</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1027</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2248</v>
      </c>
      <c r="G57" s="2392" t="s">
        <v>1013</v>
      </c>
      <c r="H57" s="2375" t="s">
        <v>2414</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1029</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0" t="s">
        <v>2926</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39" t="s">
        <v>2924</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1027</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2249</v>
      </c>
      <c r="G68" s="2392" t="s">
        <v>1013</v>
      </c>
      <c r="H68" s="2375" t="s">
        <v>2414</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1031</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39" t="s">
        <v>2924</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1027</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2250</v>
      </c>
      <c r="G79" s="2392" t="s">
        <v>1013</v>
      </c>
      <c r="H79" s="2375" t="s">
        <v>2414</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1024</v>
      </c>
      <c r="B86" s="3039" t="s">
        <v>2924</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0" t="s">
        <v>1632</v>
      </c>
      <c r="B90" s="3460"/>
      <c r="C90" s="3460"/>
      <c r="D90" s="3460"/>
      <c r="E90" s="3460"/>
      <c r="F90" s="3460"/>
      <c r="G90" s="3460"/>
      <c r="H90" s="3460"/>
      <c r="I90" s="3460"/>
      <c r="J90" s="3460"/>
      <c r="K90" s="2411"/>
      <c r="L90" s="2411"/>
      <c r="M90" s="2411"/>
      <c r="N90" s="2411"/>
    </row>
    <row r="91" spans="1:40">
      <c r="A91" s="3461" t="s">
        <v>1442</v>
      </c>
      <c r="B91" s="3461" t="s">
        <v>1633</v>
      </c>
      <c r="C91" s="1133" t="s">
        <v>1634</v>
      </c>
      <c r="D91" s="1134"/>
      <c r="E91" s="1134"/>
      <c r="F91" s="1134"/>
      <c r="G91" s="1134"/>
      <c r="H91" s="1134"/>
      <c r="I91" s="1134"/>
      <c r="J91" s="1135"/>
      <c r="K91" s="1127"/>
      <c r="L91" s="1127"/>
      <c r="M91" s="1127"/>
      <c r="N91" s="1127"/>
    </row>
    <row r="92" spans="1:40">
      <c r="A92" s="3461"/>
      <c r="B92" s="3461"/>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68"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6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6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6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6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6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69"/>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7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68" t="s">
        <v>1636</v>
      </c>
      <c r="B101" s="1140" t="s">
        <v>905</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69"/>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69"/>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69"/>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69"/>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69"/>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69"/>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69"/>
      <c r="B108" s="3471"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70"/>
      <c r="B109" s="3472"/>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54" t="s">
        <v>1638</v>
      </c>
      <c r="B110" s="3454"/>
      <c r="C110" s="3454"/>
      <c r="D110" s="3454"/>
      <c r="E110" s="3454"/>
      <c r="F110" s="3454"/>
      <c r="G110" s="3454"/>
      <c r="H110" s="3454"/>
      <c r="I110" s="3454"/>
      <c r="J110" s="3454"/>
      <c r="K110" s="2409"/>
      <c r="L110" s="2409"/>
      <c r="M110" s="2409"/>
      <c r="N110" s="2409"/>
    </row>
    <row r="112" spans="1:14" ht="12.75" thickBot="1"/>
    <row r="113" spans="1:13" ht="25.5" thickBot="1">
      <c r="A113" s="1013" t="s">
        <v>895</v>
      </c>
      <c r="B113" s="2412">
        <f>G3</f>
        <v>2</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900</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901</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902</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6" t="s">
        <v>2978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61" t="s">
        <v>1006</v>
      </c>
      <c r="B18" s="1147" t="s">
        <v>1445</v>
      </c>
      <c r="C18" s="1124" t="s">
        <v>1446</v>
      </c>
      <c r="D18" s="1125"/>
      <c r="E18" s="1147">
        <v>1</v>
      </c>
      <c r="F18" s="1126" t="s">
        <v>1447</v>
      </c>
      <c r="G18" s="1127"/>
      <c r="H18" s="1098"/>
      <c r="I18" s="1098"/>
    </row>
    <row r="19" spans="1:9" s="1581" customFormat="1" ht="19.5" customHeight="1">
      <c r="A19" s="3461"/>
      <c r="B19" s="3461" t="s">
        <v>1448</v>
      </c>
      <c r="C19" s="1124" t="s">
        <v>1449</v>
      </c>
      <c r="D19" s="1125"/>
      <c r="E19" s="1147">
        <v>0.9</v>
      </c>
      <c r="F19" s="1126" t="s">
        <v>1450</v>
      </c>
      <c r="G19" s="1127"/>
      <c r="H19" s="1098"/>
      <c r="I19" s="1098"/>
    </row>
    <row r="20" spans="1:9" s="1581" customFormat="1" ht="19.5" customHeight="1">
      <c r="A20" s="3461"/>
      <c r="B20" s="3461"/>
      <c r="C20" s="1124" t="s">
        <v>1451</v>
      </c>
      <c r="D20" s="1125"/>
      <c r="E20" s="1147">
        <v>1.1000000000000001</v>
      </c>
      <c r="F20" s="1126" t="s">
        <v>1452</v>
      </c>
      <c r="G20" s="1127"/>
      <c r="H20" s="1098"/>
      <c r="I20" s="1098"/>
    </row>
    <row r="21" spans="1:9" s="1581" customFormat="1" ht="19.5" customHeight="1">
      <c r="A21" s="3461"/>
      <c r="B21" s="3461"/>
      <c r="C21" s="1124" t="s">
        <v>1453</v>
      </c>
      <c r="D21" s="1125"/>
      <c r="E21" s="1147">
        <v>0.8</v>
      </c>
      <c r="F21" s="1126" t="s">
        <v>1454</v>
      </c>
      <c r="G21" s="1127"/>
      <c r="H21" s="1098"/>
      <c r="I21" s="1098"/>
    </row>
    <row r="22" spans="1:9" s="1581" customFormat="1" ht="19.5" customHeight="1">
      <c r="A22" s="3461"/>
      <c r="B22" s="3461"/>
      <c r="C22" s="1124" t="s">
        <v>1455</v>
      </c>
      <c r="D22" s="1125"/>
      <c r="E22" s="1147">
        <v>0.5</v>
      </c>
      <c r="F22" s="1126"/>
      <c r="G22" s="1127"/>
      <c r="H22" s="1098"/>
      <c r="I22" s="1098"/>
    </row>
    <row r="23" spans="1:9" s="1581" customFormat="1" ht="19.5" customHeight="1">
      <c r="A23" s="3461" t="s">
        <v>1028</v>
      </c>
      <c r="B23" s="1147" t="s">
        <v>1445</v>
      </c>
      <c r="C23" s="1124" t="s">
        <v>1456</v>
      </c>
      <c r="D23" s="1125"/>
      <c r="E23" s="1147">
        <v>1</v>
      </c>
      <c r="F23" s="1126" t="s">
        <v>1457</v>
      </c>
      <c r="G23" s="1127"/>
      <c r="H23" s="1098"/>
      <c r="I23" s="1098"/>
    </row>
    <row r="24" spans="1:9" s="1581" customFormat="1" ht="19.5" customHeight="1">
      <c r="A24" s="3461"/>
      <c r="B24" s="3461" t="s">
        <v>1448</v>
      </c>
      <c r="C24" s="1124" t="s">
        <v>1458</v>
      </c>
      <c r="D24" s="1125"/>
      <c r="E24" s="1147">
        <v>0.5</v>
      </c>
      <c r="F24" s="1126"/>
      <c r="G24" s="1127"/>
      <c r="H24" s="1098"/>
      <c r="I24" s="1098"/>
    </row>
    <row r="25" spans="1:9" s="1581" customFormat="1" ht="19.5" customHeight="1">
      <c r="A25" s="3461"/>
      <c r="B25" s="3461"/>
      <c r="C25" s="1124" t="s">
        <v>1459</v>
      </c>
      <c r="D25" s="1125"/>
      <c r="E25" s="1147">
        <v>1.1000000000000001</v>
      </c>
      <c r="F25" s="1126"/>
      <c r="G25" s="1127"/>
      <c r="H25" s="1098"/>
      <c r="I25" s="1098"/>
    </row>
    <row r="26" spans="1:9" s="1581" customFormat="1" ht="19.5" customHeight="1">
      <c r="A26" s="3461"/>
      <c r="B26" s="3461"/>
      <c r="C26" s="1124" t="s">
        <v>1460</v>
      </c>
      <c r="D26" s="1125"/>
      <c r="E26" s="1147">
        <v>1.1000000000000001</v>
      </c>
      <c r="F26" s="1126"/>
      <c r="G26" s="1127"/>
      <c r="H26" s="1098"/>
      <c r="I26" s="1098"/>
    </row>
    <row r="27" spans="1:9" s="1581" customFormat="1" ht="19.5" customHeight="1">
      <c r="A27" s="3461"/>
      <c r="B27" s="3461"/>
      <c r="C27" s="1124" t="s">
        <v>1461</v>
      </c>
      <c r="D27" s="1125"/>
      <c r="E27" s="1147">
        <v>0.9</v>
      </c>
      <c r="F27" s="1126" t="s">
        <v>1462</v>
      </c>
      <c r="G27" s="1127"/>
      <c r="H27" s="1098"/>
      <c r="I27" s="1098"/>
    </row>
    <row r="28" spans="1:9" s="1581" customFormat="1" ht="19.5" customHeight="1">
      <c r="A28" s="3461"/>
      <c r="B28" s="3461"/>
      <c r="C28" s="1124" t="s">
        <v>1463</v>
      </c>
      <c r="D28" s="1125"/>
      <c r="E28" s="1147">
        <v>0.9</v>
      </c>
      <c r="F28" s="1126" t="s">
        <v>1464</v>
      </c>
      <c r="G28" s="1127"/>
      <c r="H28" s="1098"/>
      <c r="I28" s="1098"/>
    </row>
    <row r="29" spans="1:9" s="1581" customFormat="1" ht="19.5" customHeight="1">
      <c r="A29" s="3461"/>
      <c r="B29" s="3461"/>
      <c r="C29" s="1124" t="s">
        <v>1465</v>
      </c>
      <c r="D29" s="1125"/>
      <c r="E29" s="1147">
        <v>0.9</v>
      </c>
      <c r="F29" s="1126" t="s">
        <v>1466</v>
      </c>
      <c r="G29" s="1127"/>
      <c r="H29" s="1098"/>
      <c r="I29" s="1098"/>
    </row>
    <row r="30" spans="1:9" s="1581" customFormat="1" ht="19.5" customHeight="1">
      <c r="A30" s="3461"/>
      <c r="B30" s="3461"/>
      <c r="C30" s="1124" t="s">
        <v>1467</v>
      </c>
      <c r="D30" s="1125"/>
      <c r="E30" s="1147">
        <v>0.9</v>
      </c>
      <c r="F30" s="1126" t="s">
        <v>1468</v>
      </c>
      <c r="G30" s="1127"/>
      <c r="H30" s="1098"/>
      <c r="I30" s="1098"/>
    </row>
    <row r="31" spans="1:9" s="1581" customFormat="1" ht="19.5" customHeight="1">
      <c r="A31" s="3461"/>
      <c r="B31" s="3461"/>
      <c r="C31" s="1124" t="s">
        <v>1469</v>
      </c>
      <c r="D31" s="1125"/>
      <c r="E31" s="1147">
        <v>0.8</v>
      </c>
      <c r="F31" s="1126" t="s">
        <v>1470</v>
      </c>
      <c r="G31" s="1127"/>
      <c r="H31" s="1098"/>
      <c r="I31" s="1098"/>
    </row>
    <row r="32" spans="1:9" s="1581" customFormat="1" ht="19.5" customHeight="1">
      <c r="A32" s="3461"/>
      <c r="B32" s="3461"/>
      <c r="C32" s="1124" t="s">
        <v>1471</v>
      </c>
      <c r="D32" s="1125"/>
      <c r="E32" s="1147">
        <v>0.8</v>
      </c>
      <c r="F32" s="1126" t="s">
        <v>1472</v>
      </c>
      <c r="G32" s="1127"/>
      <c r="H32" s="1098"/>
      <c r="I32" s="1098"/>
    </row>
    <row r="33" spans="1:9" s="1581" customFormat="1" ht="19.5" customHeight="1">
      <c r="A33" s="3461" t="s">
        <v>1473</v>
      </c>
      <c r="B33" s="1147" t="s">
        <v>1445</v>
      </c>
      <c r="C33" s="1124" t="s">
        <v>1474</v>
      </c>
      <c r="D33" s="1125"/>
      <c r="E33" s="1147">
        <v>1</v>
      </c>
      <c r="F33" s="1126" t="s">
        <v>1475</v>
      </c>
      <c r="G33" s="1127"/>
      <c r="H33" s="1098"/>
      <c r="I33" s="1098"/>
    </row>
    <row r="34" spans="1:9" s="1581" customFormat="1" ht="19.5" customHeight="1">
      <c r="A34" s="3461"/>
      <c r="B34" s="1147" t="s">
        <v>1448</v>
      </c>
      <c r="C34" s="1124" t="s">
        <v>1476</v>
      </c>
      <c r="D34" s="1125"/>
      <c r="E34" s="1147">
        <v>1.5</v>
      </c>
      <c r="F34" s="1126" t="s">
        <v>1477</v>
      </c>
      <c r="G34" s="1127"/>
      <c r="H34" s="1098"/>
      <c r="I34" s="1098"/>
    </row>
    <row r="35" spans="1:9" s="1581" customFormat="1" ht="19.5" customHeight="1">
      <c r="A35" s="3461" t="s">
        <v>1431</v>
      </c>
      <c r="B35" s="1147" t="s">
        <v>1445</v>
      </c>
      <c r="C35" s="1124" t="s">
        <v>1478</v>
      </c>
      <c r="D35" s="1125"/>
      <c r="E35" s="1147">
        <v>1</v>
      </c>
      <c r="F35" s="1126" t="s">
        <v>1479</v>
      </c>
      <c r="G35" s="1127"/>
      <c r="H35" s="1098"/>
      <c r="I35" s="1098"/>
    </row>
    <row r="36" spans="1:9" s="1581" customFormat="1" ht="19.5" customHeight="1">
      <c r="A36" s="3461"/>
      <c r="B36" s="3461" t="s">
        <v>1448</v>
      </c>
      <c r="C36" s="1124" t="s">
        <v>1480</v>
      </c>
      <c r="D36" s="1125"/>
      <c r="E36" s="1147">
        <v>1</v>
      </c>
      <c r="F36" s="1126" t="s">
        <v>1481</v>
      </c>
      <c r="G36" s="1127"/>
      <c r="H36" s="1098"/>
      <c r="I36" s="1098"/>
    </row>
    <row r="37" spans="1:9" s="1581" customFormat="1" ht="19.5" customHeight="1">
      <c r="A37" s="3461"/>
      <c r="B37" s="3461"/>
      <c r="C37" s="1124" t="s">
        <v>1482</v>
      </c>
      <c r="D37" s="1125"/>
      <c r="E37" s="1147">
        <v>1.5</v>
      </c>
      <c r="F37" s="1126" t="s">
        <v>1483</v>
      </c>
      <c r="G37" s="1127"/>
      <c r="H37" s="1098"/>
      <c r="I37" s="1098"/>
    </row>
    <row r="38" spans="1:9" s="1581" customFormat="1" ht="19.5" customHeight="1">
      <c r="A38" s="3461"/>
      <c r="B38" s="3461"/>
      <c r="C38" s="1124" t="s">
        <v>1484</v>
      </c>
      <c r="D38" s="1125"/>
      <c r="E38" s="1147">
        <v>1</v>
      </c>
      <c r="F38" s="1126" t="s">
        <v>1485</v>
      </c>
      <c r="G38" s="1127"/>
      <c r="H38" s="1098"/>
      <c r="I38" s="1098"/>
    </row>
    <row r="39" spans="1:9" s="1581" customFormat="1" ht="19.5" customHeight="1">
      <c r="A39" s="3461"/>
      <c r="B39" s="3461"/>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61" t="s">
        <v>1500</v>
      </c>
      <c r="C61" s="1061" t="s">
        <v>1501</v>
      </c>
      <c r="D61" s="1061" t="s">
        <v>1502</v>
      </c>
      <c r="E61" s="1132">
        <v>0.5</v>
      </c>
      <c r="F61" s="1147">
        <v>80</v>
      </c>
      <c r="H61" s="1098">
        <f>SUMIF(C59:C119,基准地价!C8,E59:E119)</f>
        <v>0</v>
      </c>
    </row>
    <row r="62" spans="1:8" s="1098" customFormat="1" ht="24">
      <c r="A62" s="1147">
        <v>2</v>
      </c>
      <c r="B62" s="3461"/>
      <c r="C62" s="1061" t="s">
        <v>1503</v>
      </c>
      <c r="D62" s="1061" t="s">
        <v>1504</v>
      </c>
      <c r="E62" s="1132">
        <v>0.5</v>
      </c>
      <c r="F62" s="1147">
        <v>80</v>
      </c>
    </row>
    <row r="63" spans="1:8" s="1098" customFormat="1" ht="36">
      <c r="A63" s="1147">
        <v>3</v>
      </c>
      <c r="B63" s="3461"/>
      <c r="C63" s="1061" t="s">
        <v>1505</v>
      </c>
      <c r="D63" s="1061" t="s">
        <v>1506</v>
      </c>
      <c r="E63" s="1132">
        <v>0.5</v>
      </c>
      <c r="F63" s="1147">
        <v>80</v>
      </c>
    </row>
    <row r="64" spans="1:8" s="1098" customFormat="1" ht="36">
      <c r="A64" s="1147">
        <v>4</v>
      </c>
      <c r="B64" s="3461"/>
      <c r="C64" s="1061" t="s">
        <v>1507</v>
      </c>
      <c r="D64" s="1061" t="s">
        <v>1508</v>
      </c>
      <c r="E64" s="1132">
        <v>0.4</v>
      </c>
      <c r="F64" s="1147">
        <v>60</v>
      </c>
    </row>
    <row r="65" spans="1:6" s="1098" customFormat="1" ht="36">
      <c r="A65" s="1147">
        <v>5</v>
      </c>
      <c r="B65" s="3461"/>
      <c r="C65" s="1061" t="s">
        <v>1509</v>
      </c>
      <c r="D65" s="1061" t="s">
        <v>1510</v>
      </c>
      <c r="E65" s="1132">
        <v>0.2</v>
      </c>
      <c r="F65" s="1147">
        <v>30</v>
      </c>
    </row>
    <row r="66" spans="1:6" s="1098" customFormat="1" ht="36">
      <c r="A66" s="1147">
        <v>6</v>
      </c>
      <c r="B66" s="3461"/>
      <c r="C66" s="1061" t="s">
        <v>1511</v>
      </c>
      <c r="D66" s="1061" t="s">
        <v>1512</v>
      </c>
      <c r="E66" s="1132">
        <v>0.3</v>
      </c>
      <c r="F66" s="1147">
        <v>50</v>
      </c>
    </row>
    <row r="67" spans="1:6" s="1098" customFormat="1" ht="36">
      <c r="A67" s="1147">
        <v>7</v>
      </c>
      <c r="B67" s="3461"/>
      <c r="C67" s="1061" t="s">
        <v>1513</v>
      </c>
      <c r="D67" s="1061" t="s">
        <v>1514</v>
      </c>
      <c r="E67" s="1132">
        <v>0.2</v>
      </c>
      <c r="F67" s="1147">
        <v>30</v>
      </c>
    </row>
    <row r="68" spans="1:6" s="1098" customFormat="1" ht="36">
      <c r="A68" s="1147">
        <v>8</v>
      </c>
      <c r="B68" s="3461"/>
      <c r="C68" s="1061" t="s">
        <v>1515</v>
      </c>
      <c r="D68" s="1061" t="s">
        <v>1516</v>
      </c>
      <c r="E68" s="1132">
        <v>0.2</v>
      </c>
      <c r="F68" s="1147">
        <v>30</v>
      </c>
    </row>
    <row r="69" spans="1:6" s="1098" customFormat="1" ht="36">
      <c r="A69" s="1147">
        <v>9</v>
      </c>
      <c r="B69" s="3461"/>
      <c r="C69" s="1061" t="s">
        <v>1517</v>
      </c>
      <c r="D69" s="1061" t="s">
        <v>1518</v>
      </c>
      <c r="E69" s="1132">
        <v>0.2</v>
      </c>
      <c r="F69" s="1147">
        <v>30</v>
      </c>
    </row>
    <row r="70" spans="1:6" s="1098" customFormat="1" ht="48">
      <c r="A70" s="1147">
        <v>10</v>
      </c>
      <c r="B70" s="3461"/>
      <c r="C70" s="1061" t="s">
        <v>1519</v>
      </c>
      <c r="D70" s="1061" t="s">
        <v>1520</v>
      </c>
      <c r="E70" s="1132">
        <v>0.2</v>
      </c>
      <c r="F70" s="1147">
        <v>30</v>
      </c>
    </row>
    <row r="71" spans="1:6" s="1098" customFormat="1" ht="48">
      <c r="A71" s="1147">
        <v>11</v>
      </c>
      <c r="B71" s="3461"/>
      <c r="C71" s="1061" t="s">
        <v>1521</v>
      </c>
      <c r="D71" s="1061" t="s">
        <v>1522</v>
      </c>
      <c r="E71" s="1132">
        <v>0.2</v>
      </c>
      <c r="F71" s="1147">
        <v>30</v>
      </c>
    </row>
    <row r="72" spans="1:6" s="1098" customFormat="1" ht="36">
      <c r="A72" s="1147">
        <v>12</v>
      </c>
      <c r="B72" s="3461"/>
      <c r="C72" s="1061" t="s">
        <v>1523</v>
      </c>
      <c r="D72" s="1061" t="s">
        <v>1524</v>
      </c>
      <c r="E72" s="1132">
        <v>0.5</v>
      </c>
      <c r="F72" s="1147">
        <v>80</v>
      </c>
    </row>
    <row r="73" spans="1:6" s="1098" customFormat="1" ht="24">
      <c r="A73" s="1147">
        <v>13</v>
      </c>
      <c r="B73" s="3461"/>
      <c r="C73" s="1061" t="s">
        <v>1525</v>
      </c>
      <c r="D73" s="1061" t="s">
        <v>1526</v>
      </c>
      <c r="E73" s="1132">
        <v>0.4</v>
      </c>
      <c r="F73" s="1147">
        <v>60</v>
      </c>
    </row>
    <row r="74" spans="1:6" s="1098" customFormat="1" ht="24">
      <c r="A74" s="1147">
        <v>14</v>
      </c>
      <c r="B74" s="3461"/>
      <c r="C74" s="1061" t="s">
        <v>1527</v>
      </c>
      <c r="D74" s="1061" t="s">
        <v>1528</v>
      </c>
      <c r="E74" s="1132">
        <v>0.2</v>
      </c>
      <c r="F74" s="1147">
        <v>30</v>
      </c>
    </row>
    <row r="75" spans="1:6" s="1098" customFormat="1" ht="24">
      <c r="A75" s="1147">
        <v>15</v>
      </c>
      <c r="B75" s="3461"/>
      <c r="C75" s="1061" t="s">
        <v>1529</v>
      </c>
      <c r="D75" s="1061" t="s">
        <v>1530</v>
      </c>
      <c r="E75" s="1132">
        <v>0.2</v>
      </c>
      <c r="F75" s="1147">
        <v>30</v>
      </c>
    </row>
    <row r="76" spans="1:6" s="1098" customFormat="1" ht="24">
      <c r="A76" s="1147">
        <v>16</v>
      </c>
      <c r="B76" s="3461" t="s">
        <v>1531</v>
      </c>
      <c r="C76" s="1061" t="s">
        <v>1532</v>
      </c>
      <c r="D76" s="1061" t="s">
        <v>1533</v>
      </c>
      <c r="E76" s="1132">
        <v>0.5</v>
      </c>
      <c r="F76" s="1147">
        <v>80</v>
      </c>
    </row>
    <row r="77" spans="1:6" s="1098" customFormat="1" ht="24">
      <c r="A77" s="1147">
        <v>17</v>
      </c>
      <c r="B77" s="3461"/>
      <c r="C77" s="1061" t="s">
        <v>1534</v>
      </c>
      <c r="D77" s="1061" t="s">
        <v>1535</v>
      </c>
      <c r="E77" s="1132">
        <v>0.5</v>
      </c>
      <c r="F77" s="1147">
        <v>80</v>
      </c>
    </row>
    <row r="78" spans="1:6" s="1098" customFormat="1" ht="24">
      <c r="A78" s="1147">
        <v>18</v>
      </c>
      <c r="B78" s="3461"/>
      <c r="C78" s="1061" t="s">
        <v>1536</v>
      </c>
      <c r="D78" s="1061" t="s">
        <v>1537</v>
      </c>
      <c r="E78" s="1132">
        <v>0.2</v>
      </c>
      <c r="F78" s="1147">
        <v>30</v>
      </c>
    </row>
    <row r="79" spans="1:6" s="1098" customFormat="1" ht="24">
      <c r="A79" s="1147">
        <v>19</v>
      </c>
      <c r="B79" s="3461"/>
      <c r="C79" s="1061" t="s">
        <v>1538</v>
      </c>
      <c r="D79" s="1061" t="s">
        <v>1539</v>
      </c>
      <c r="E79" s="1132">
        <v>0.5</v>
      </c>
      <c r="F79" s="1147">
        <v>80</v>
      </c>
    </row>
    <row r="80" spans="1:6" s="1098" customFormat="1" ht="36">
      <c r="A80" s="1147">
        <v>20</v>
      </c>
      <c r="B80" s="3461"/>
      <c r="C80" s="1061" t="s">
        <v>1540</v>
      </c>
      <c r="D80" s="1061" t="s">
        <v>1541</v>
      </c>
      <c r="E80" s="1132">
        <v>0.2</v>
      </c>
      <c r="F80" s="1147">
        <v>30</v>
      </c>
    </row>
    <row r="81" spans="1:6" s="1098" customFormat="1" ht="36">
      <c r="A81" s="1147">
        <v>21</v>
      </c>
      <c r="B81" s="3461"/>
      <c r="C81" s="1061" t="s">
        <v>1542</v>
      </c>
      <c r="D81" s="1061" t="s">
        <v>1543</v>
      </c>
      <c r="E81" s="1132">
        <v>0.2</v>
      </c>
      <c r="F81" s="1147">
        <v>30</v>
      </c>
    </row>
    <row r="82" spans="1:6" s="1098" customFormat="1" ht="48">
      <c r="A82" s="1147">
        <v>22</v>
      </c>
      <c r="B82" s="3461"/>
      <c r="C82" s="1061" t="s">
        <v>1544</v>
      </c>
      <c r="D82" s="1061" t="s">
        <v>1545</v>
      </c>
      <c r="E82" s="1132">
        <v>0.2</v>
      </c>
      <c r="F82" s="1147">
        <v>30</v>
      </c>
    </row>
    <row r="83" spans="1:6" s="1098" customFormat="1" ht="48">
      <c r="A83" s="1147">
        <v>23</v>
      </c>
      <c r="B83" s="3461"/>
      <c r="C83" s="1061" t="s">
        <v>1546</v>
      </c>
      <c r="D83" s="1061" t="s">
        <v>1547</v>
      </c>
      <c r="E83" s="1132">
        <v>0.2</v>
      </c>
      <c r="F83" s="1147">
        <v>30</v>
      </c>
    </row>
    <row r="84" spans="1:6" s="1098" customFormat="1" ht="36">
      <c r="A84" s="1147">
        <v>24</v>
      </c>
      <c r="B84" s="3461"/>
      <c r="C84" s="1061" t="s">
        <v>1548</v>
      </c>
      <c r="D84" s="1061" t="s">
        <v>1549</v>
      </c>
      <c r="E84" s="1132">
        <v>0.2</v>
      </c>
      <c r="F84" s="1147">
        <v>30</v>
      </c>
    </row>
    <row r="85" spans="1:6" s="1098" customFormat="1" ht="36">
      <c r="A85" s="1147">
        <v>25</v>
      </c>
      <c r="B85" s="3461"/>
      <c r="C85" s="1061" t="s">
        <v>1550</v>
      </c>
      <c r="D85" s="1061" t="s">
        <v>1551</v>
      </c>
      <c r="E85" s="1132">
        <v>0.5</v>
      </c>
      <c r="F85" s="1147">
        <v>80</v>
      </c>
    </row>
    <row r="86" spans="1:6" s="1098" customFormat="1" ht="36">
      <c r="A86" s="1147">
        <v>26</v>
      </c>
      <c r="B86" s="3461"/>
      <c r="C86" s="1061" t="s">
        <v>1552</v>
      </c>
      <c r="D86" s="1061" t="s">
        <v>1553</v>
      </c>
      <c r="E86" s="1132">
        <v>0.2</v>
      </c>
      <c r="F86" s="1147">
        <v>30</v>
      </c>
    </row>
    <row r="87" spans="1:6" s="1098" customFormat="1" ht="36">
      <c r="A87" s="1147">
        <v>27</v>
      </c>
      <c r="B87" s="3461"/>
      <c r="C87" s="1061" t="s">
        <v>1554</v>
      </c>
      <c r="D87" s="1061" t="s">
        <v>1555</v>
      </c>
      <c r="E87" s="1132">
        <v>0.2</v>
      </c>
      <c r="F87" s="1147">
        <v>30</v>
      </c>
    </row>
    <row r="88" spans="1:6" s="1098" customFormat="1" ht="36">
      <c r="A88" s="1147">
        <v>28</v>
      </c>
      <c r="B88" s="3461"/>
      <c r="C88" s="1061" t="s">
        <v>1556</v>
      </c>
      <c r="D88" s="1061" t="s">
        <v>1557</v>
      </c>
      <c r="E88" s="1132">
        <v>0.2</v>
      </c>
      <c r="F88" s="1147">
        <v>30</v>
      </c>
    </row>
    <row r="89" spans="1:6" s="1098" customFormat="1" ht="24">
      <c r="A89" s="1147">
        <v>29</v>
      </c>
      <c r="B89" s="3461"/>
      <c r="C89" s="1061" t="s">
        <v>1558</v>
      </c>
      <c r="D89" s="1061" t="s">
        <v>1559</v>
      </c>
      <c r="E89" s="1132">
        <v>0.2</v>
      </c>
      <c r="F89" s="1147">
        <v>30</v>
      </c>
    </row>
    <row r="90" spans="1:6" s="1098" customFormat="1" ht="24">
      <c r="A90" s="1147">
        <v>30</v>
      </c>
      <c r="B90" s="3461"/>
      <c r="C90" s="1061" t="s">
        <v>1560</v>
      </c>
      <c r="D90" s="1061" t="s">
        <v>1561</v>
      </c>
      <c r="E90" s="1132">
        <v>0.2</v>
      </c>
      <c r="F90" s="1147">
        <v>30</v>
      </c>
    </row>
    <row r="91" spans="1:6" s="1098" customFormat="1" ht="36">
      <c r="A91" s="1147">
        <v>31</v>
      </c>
      <c r="B91" s="3461"/>
      <c r="C91" s="1061" t="s">
        <v>1562</v>
      </c>
      <c r="D91" s="1061" t="s">
        <v>1563</v>
      </c>
      <c r="E91" s="1132">
        <v>0.2</v>
      </c>
      <c r="F91" s="1147">
        <v>30</v>
      </c>
    </row>
    <row r="92" spans="1:6" s="1098" customFormat="1" ht="24">
      <c r="A92" s="1147">
        <v>32</v>
      </c>
      <c r="B92" s="3461" t="s">
        <v>1564</v>
      </c>
      <c r="C92" s="1147" t="s">
        <v>1565</v>
      </c>
      <c r="D92" s="1061" t="s">
        <v>1566</v>
      </c>
      <c r="E92" s="1132">
        <v>0.2</v>
      </c>
      <c r="F92" s="1147">
        <v>30</v>
      </c>
    </row>
    <row r="93" spans="1:6" s="1098" customFormat="1" ht="36">
      <c r="A93" s="1147">
        <v>33</v>
      </c>
      <c r="B93" s="3461"/>
      <c r="C93" s="1147" t="s">
        <v>1567</v>
      </c>
      <c r="D93" s="1061" t="s">
        <v>1568</v>
      </c>
      <c r="E93" s="1132">
        <v>0.2</v>
      </c>
      <c r="F93" s="1147">
        <v>30</v>
      </c>
    </row>
    <row r="94" spans="1:6" s="1098" customFormat="1" ht="48">
      <c r="A94" s="1147">
        <v>34</v>
      </c>
      <c r="B94" s="3461"/>
      <c r="C94" s="1147" t="s">
        <v>1569</v>
      </c>
      <c r="D94" s="1061" t="s">
        <v>1570</v>
      </c>
      <c r="E94" s="1132">
        <v>0.2</v>
      </c>
      <c r="F94" s="1147">
        <v>30</v>
      </c>
    </row>
    <row r="95" spans="1:6" s="1098" customFormat="1" ht="36">
      <c r="A95" s="1147">
        <v>35</v>
      </c>
      <c r="B95" s="3461"/>
      <c r="C95" s="1147" t="s">
        <v>1571</v>
      </c>
      <c r="D95" s="1061" t="s">
        <v>1572</v>
      </c>
      <c r="E95" s="1132">
        <v>0.2</v>
      </c>
      <c r="F95" s="1147">
        <v>30</v>
      </c>
    </row>
    <row r="96" spans="1:6" s="1098" customFormat="1" ht="48">
      <c r="A96" s="1147">
        <v>36</v>
      </c>
      <c r="B96" s="3461"/>
      <c r="C96" s="1061" t="s">
        <v>1573</v>
      </c>
      <c r="D96" s="1061" t="s">
        <v>1574</v>
      </c>
      <c r="E96" s="1132">
        <v>0.2</v>
      </c>
      <c r="F96" s="1147">
        <v>30</v>
      </c>
    </row>
    <row r="97" spans="1:6" s="1098" customFormat="1" ht="36">
      <c r="A97" s="1147">
        <v>37</v>
      </c>
      <c r="B97" s="3461"/>
      <c r="C97" s="1147" t="s">
        <v>1575</v>
      </c>
      <c r="D97" s="1061" t="s">
        <v>1576</v>
      </c>
      <c r="E97" s="1132">
        <v>0.2</v>
      </c>
      <c r="F97" s="1147">
        <v>30</v>
      </c>
    </row>
    <row r="98" spans="1:6" s="1098" customFormat="1" ht="36">
      <c r="A98" s="1147">
        <v>38</v>
      </c>
      <c r="B98" s="3461"/>
      <c r="C98" s="1147" t="s">
        <v>1577</v>
      </c>
      <c r="D98" s="1061" t="s">
        <v>1578</v>
      </c>
      <c r="E98" s="1132">
        <v>0.2</v>
      </c>
      <c r="F98" s="1147">
        <v>30</v>
      </c>
    </row>
    <row r="99" spans="1:6" s="1098" customFormat="1" ht="36">
      <c r="A99" s="1147">
        <v>39</v>
      </c>
      <c r="B99" s="3461" t="s">
        <v>1579</v>
      </c>
      <c r="C99" s="1147" t="s">
        <v>1580</v>
      </c>
      <c r="D99" s="1061" t="s">
        <v>1581</v>
      </c>
      <c r="E99" s="1132">
        <v>0.3</v>
      </c>
      <c r="F99" s="1147">
        <v>50</v>
      </c>
    </row>
    <row r="100" spans="1:6" s="1098" customFormat="1" ht="24">
      <c r="A100" s="1147">
        <v>40</v>
      </c>
      <c r="B100" s="3461"/>
      <c r="C100" s="1147" t="s">
        <v>1582</v>
      </c>
      <c r="D100" s="1061" t="s">
        <v>1583</v>
      </c>
      <c r="E100" s="1132">
        <v>0.2</v>
      </c>
      <c r="F100" s="1147">
        <v>30</v>
      </c>
    </row>
    <row r="101" spans="1:6" s="1098" customFormat="1" ht="36">
      <c r="A101" s="1147">
        <v>41</v>
      </c>
      <c r="B101" s="3461"/>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61" t="s">
        <v>1594</v>
      </c>
      <c r="C105" s="1147" t="s">
        <v>1595</v>
      </c>
      <c r="D105" s="1061" t="s">
        <v>1596</v>
      </c>
      <c r="E105" s="1132">
        <v>0.2</v>
      </c>
      <c r="F105" s="1147">
        <v>30</v>
      </c>
    </row>
    <row r="106" spans="1:6" s="1098" customFormat="1" ht="36">
      <c r="A106" s="1147">
        <v>46</v>
      </c>
      <c r="B106" s="3461"/>
      <c r="C106" s="1147" t="s">
        <v>1597</v>
      </c>
      <c r="D106" s="1061" t="s">
        <v>1598</v>
      </c>
      <c r="E106" s="1132">
        <v>0.2</v>
      </c>
      <c r="F106" s="1147">
        <v>30</v>
      </c>
    </row>
    <row r="107" spans="1:6" s="1098" customFormat="1" ht="36">
      <c r="A107" s="1147">
        <v>47</v>
      </c>
      <c r="B107" s="3461" t="s">
        <v>1599</v>
      </c>
      <c r="C107" s="1147" t="s">
        <v>1600</v>
      </c>
      <c r="D107" s="1061" t="s">
        <v>1601</v>
      </c>
      <c r="E107" s="1132">
        <v>0.3</v>
      </c>
      <c r="F107" s="1147">
        <v>50</v>
      </c>
    </row>
    <row r="108" spans="1:6" s="1098" customFormat="1" ht="36">
      <c r="A108" s="1147">
        <v>48</v>
      </c>
      <c r="B108" s="3461"/>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61" t="s">
        <v>1610</v>
      </c>
      <c r="C111" s="1147" t="s">
        <v>1611</v>
      </c>
      <c r="D111" s="1061" t="s">
        <v>1612</v>
      </c>
      <c r="E111" s="1132">
        <v>0.2</v>
      </c>
      <c r="F111" s="1147">
        <v>30</v>
      </c>
    </row>
    <row r="112" spans="1:6" s="1098" customFormat="1" ht="24">
      <c r="A112" s="1147">
        <v>52</v>
      </c>
      <c r="B112" s="3461"/>
      <c r="C112" s="1147" t="s">
        <v>1613</v>
      </c>
      <c r="D112" s="1061" t="s">
        <v>1614</v>
      </c>
      <c r="E112" s="1132">
        <v>0.2</v>
      </c>
      <c r="F112" s="1147">
        <v>30</v>
      </c>
    </row>
    <row r="113" spans="1:14" s="1098" customFormat="1" ht="24">
      <c r="A113" s="1147">
        <v>53</v>
      </c>
      <c r="B113" s="3461"/>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61" t="s">
        <v>1623</v>
      </c>
      <c r="C116" s="1147" t="s">
        <v>1624</v>
      </c>
      <c r="D116" s="1061" t="s">
        <v>1625</v>
      </c>
      <c r="E116" s="1132">
        <v>0.2</v>
      </c>
      <c r="F116" s="1147">
        <v>30</v>
      </c>
    </row>
    <row r="117" spans="1:14" ht="36">
      <c r="A117" s="1147">
        <v>57</v>
      </c>
      <c r="B117" s="3461"/>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60" t="s">
        <v>1632</v>
      </c>
      <c r="B121" s="3460"/>
      <c r="C121" s="3460"/>
      <c r="D121" s="3460"/>
      <c r="E121" s="3460"/>
      <c r="F121" s="3460"/>
      <c r="G121" s="3460"/>
      <c r="H121" s="3460"/>
      <c r="I121" s="3460"/>
      <c r="J121" s="346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5" t="s">
        <v>1038</v>
      </c>
      <c r="B1" s="3475"/>
      <c r="C1" s="3475"/>
      <c r="D1" s="3475"/>
      <c r="E1" s="3475"/>
      <c r="F1" s="3475"/>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76" t="s">
        <v>1051</v>
      </c>
      <c r="B2" s="3476"/>
      <c r="C2" s="3476"/>
      <c r="D2" s="3476"/>
      <c r="E2" s="3476"/>
      <c r="F2" s="3476"/>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77"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78"/>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2418</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2419</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9" t="s">
        <v>2076</v>
      </c>
      <c r="B1" s="3479"/>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2" t="s">
        <v>2572</v>
      </c>
      <c r="C1" s="3482"/>
      <c r="D1" s="3482"/>
      <c r="E1" s="3482"/>
      <c r="F1" s="3482"/>
      <c r="G1" s="3481" t="s">
        <v>2573</v>
      </c>
      <c r="H1" s="3481"/>
      <c r="I1" s="3481"/>
      <c r="J1" s="3481"/>
      <c r="K1" s="3481"/>
      <c r="L1" s="3481"/>
      <c r="N1" s="3481" t="s">
        <v>2574</v>
      </c>
      <c r="O1" s="3481"/>
      <c r="P1" s="3481"/>
      <c r="Q1" s="3481"/>
      <c r="R1" s="2614"/>
      <c r="S1" s="3481" t="s">
        <v>2575</v>
      </c>
      <c r="T1" s="3481"/>
      <c r="U1" s="3481"/>
      <c r="V1" s="3481"/>
      <c r="X1" s="3480" t="s">
        <v>2635</v>
      </c>
      <c r="Y1" s="3481"/>
      <c r="Z1" s="3481"/>
      <c r="AA1" s="3481"/>
      <c r="AB1" s="3481"/>
      <c r="AD1" s="3480" t="s">
        <v>2639</v>
      </c>
      <c r="AE1" s="3481"/>
      <c r="AF1" s="3481"/>
      <c r="AG1" s="3481"/>
      <c r="AH1" s="3481"/>
    </row>
    <row r="2" spans="1:34" s="2715" customFormat="1" ht="14.25" thickBot="1">
      <c r="B2" s="2723" t="s">
        <v>2576</v>
      </c>
      <c r="C2" s="2723" t="s">
        <v>2637</v>
      </c>
      <c r="D2" s="2716" t="s">
        <v>1643</v>
      </c>
      <c r="E2" s="2716" t="s">
        <v>1948</v>
      </c>
      <c r="F2" s="2723" t="s">
        <v>2638</v>
      </c>
      <c r="G2" s="2719"/>
      <c r="H2" s="2718"/>
      <c r="I2" s="2723" t="s">
        <v>2943</v>
      </c>
      <c r="J2" s="2716" t="s">
        <v>2945</v>
      </c>
      <c r="K2" s="2716" t="s">
        <v>2946</v>
      </c>
      <c r="L2" s="2723" t="s">
        <v>2947</v>
      </c>
      <c r="N2" s="2723" t="s">
        <v>2576</v>
      </c>
      <c r="O2" s="2716" t="s">
        <v>2944</v>
      </c>
      <c r="P2" s="2716" t="s">
        <v>1948</v>
      </c>
      <c r="Q2" s="2723" t="s">
        <v>2638</v>
      </c>
      <c r="R2" s="2717"/>
      <c r="S2" s="2723" t="s">
        <v>2576</v>
      </c>
      <c r="T2" s="2716" t="s">
        <v>2944</v>
      </c>
      <c r="U2" s="2716" t="s">
        <v>1948</v>
      </c>
      <c r="V2" s="2723" t="s">
        <v>2638</v>
      </c>
      <c r="X2" s="2723" t="s">
        <v>2576</v>
      </c>
      <c r="Y2" s="2723" t="s">
        <v>2637</v>
      </c>
      <c r="Z2" s="2716" t="s">
        <v>1643</v>
      </c>
      <c r="AA2" s="2716" t="s">
        <v>1948</v>
      </c>
      <c r="AB2" s="2723" t="s">
        <v>2638</v>
      </c>
      <c r="AD2" s="2723" t="s">
        <v>2576</v>
      </c>
      <c r="AE2" s="2723" t="s">
        <v>2637</v>
      </c>
      <c r="AF2" s="2716" t="s">
        <v>1643</v>
      </c>
      <c r="AG2" s="2716" t="s">
        <v>1948</v>
      </c>
      <c r="AH2" s="2723" t="s">
        <v>2638</v>
      </c>
    </row>
    <row r="3" spans="1:34" s="3073" customFormat="1" ht="14.25">
      <c r="A3" s="3085" t="s">
        <v>2956</v>
      </c>
      <c r="B3" s="3074"/>
      <c r="C3" s="3074"/>
      <c r="D3" s="3075"/>
      <c r="E3" s="3075"/>
      <c r="F3" s="3074"/>
      <c r="G3" s="3076"/>
      <c r="H3" s="3077"/>
      <c r="I3" s="3084">
        <f>ROUND(AVERAGE($I4:$I28),2)</f>
        <v>1.96</v>
      </c>
      <c r="J3" s="3084">
        <f>ROUND(AVERAGE($J4:$J28),2)</f>
        <v>1.38</v>
      </c>
      <c r="K3" s="3084">
        <f>ROUND(AVERAGE($K4:$K28),2)</f>
        <v>2.14</v>
      </c>
      <c r="L3" s="3084">
        <f>ROUND(AVERAGE($L4:$L28),2)</f>
        <v>1.34</v>
      </c>
      <c r="N3" s="3076"/>
      <c r="O3" s="3078"/>
      <c r="P3" s="3078"/>
      <c r="Q3" s="3078"/>
      <c r="R3" s="3078"/>
      <c r="S3" s="3076"/>
      <c r="T3" s="3078"/>
      <c r="U3" s="3078"/>
      <c r="V3" s="3078"/>
      <c r="W3" s="3081"/>
      <c r="X3" s="3079">
        <f>ROUND(SUMPRODUCT(PRODUCT(1+N3:N$27)),4)</f>
        <v>1.5422</v>
      </c>
      <c r="Y3" s="3079">
        <f>ROUND(SUMPRODUCT(PRODUCT(1+O3:O$27)),4)</f>
        <v>1.3557999999999999</v>
      </c>
      <c r="Z3" s="3079">
        <f t="shared" ref="Z3:Z25" si="0">Y3</f>
        <v>1.3557999999999999</v>
      </c>
      <c r="AA3" s="3079">
        <f>ROUND(SUMPRODUCT(PRODUCT(1+P3:P$27)),4)</f>
        <v>1.6036999999999999</v>
      </c>
      <c r="AB3" s="3079">
        <f>ROUND(SUMPRODUCT(PRODUCT(1+Q3:Q$27)),4)</f>
        <v>1.3573</v>
      </c>
      <c r="AD3" s="3080">
        <f>ROUND(AVERAGE(I3:I$28)/100,4)</f>
        <v>1.9599999999999999E-2</v>
      </c>
      <c r="AE3" s="3080">
        <f>ROUND(AVERAGE(J3:J$28)/100,4)</f>
        <v>1.38E-2</v>
      </c>
      <c r="AF3" s="3080">
        <f t="shared" ref="AF3:AF26" si="1">AE3</f>
        <v>1.38E-2</v>
      </c>
      <c r="AG3" s="3080">
        <f>ROUND(AVERAGE(K3:K$28)/100,4)</f>
        <v>2.1399999999999999E-2</v>
      </c>
      <c r="AH3" s="3080">
        <f>ROUND(AVERAGE(L3:L$28)/100,4)</f>
        <v>1.34E-2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8" customFormat="1" ht="13.5" thickBot="1">
      <c r="A5" s="3056" t="s">
        <v>2985</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7">
        <v>4</v>
      </c>
      <c r="I5" s="3070">
        <v>0</v>
      </c>
      <c r="J5" s="3070">
        <v>0</v>
      </c>
      <c r="K5" s="3070">
        <v>0</v>
      </c>
      <c r="L5" s="3070">
        <v>0</v>
      </c>
      <c r="N5" s="2721">
        <f t="shared" ref="N5" si="7">I5/100</f>
        <v>0</v>
      </c>
      <c r="O5" s="2721">
        <f t="shared" ref="O5" si="8">J5/100</f>
        <v>0</v>
      </c>
      <c r="P5" s="2721">
        <f t="shared" ref="P5" si="9">K5/100</f>
        <v>0</v>
      </c>
      <c r="Q5" s="2721">
        <f t="shared" ref="Q5" si="10">L5/100</f>
        <v>0</v>
      </c>
      <c r="R5" s="3059"/>
      <c r="S5" s="3060"/>
      <c r="T5" s="3059"/>
      <c r="U5" s="3059"/>
      <c r="V5" s="3059"/>
      <c r="W5" s="3083" t="s">
        <v>2957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20" customFormat="1" ht="13.5" thickBot="1">
      <c r="A6" s="2615" t="s">
        <v>2984</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2">
        <v>0</v>
      </c>
      <c r="J6" s="3172">
        <v>0</v>
      </c>
      <c r="K6" s="3172">
        <v>0</v>
      </c>
      <c r="L6" s="3173">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2981</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2">
        <v>1.53</v>
      </c>
      <c r="J7" s="3172">
        <v>1.01</v>
      </c>
      <c r="K7" s="3172">
        <v>1.62</v>
      </c>
      <c r="L7" s="3173">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2979</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2976</v>
      </c>
      <c r="B9" s="3169">
        <f t="shared" si="24"/>
        <v>464.37293017158942</v>
      </c>
      <c r="C9" s="3169">
        <f t="shared" ref="C9" si="45">C10*(1+O9)</f>
        <v>344.73679941385956</v>
      </c>
      <c r="D9" s="3169">
        <f t="shared" ref="D9" si="46">C9</f>
        <v>344.73679941385956</v>
      </c>
      <c r="E9" s="3169">
        <f t="shared" ref="E9" si="47">E10*(1+P9)</f>
        <v>663.2377795103107</v>
      </c>
      <c r="F9" s="3170">
        <f t="shared" ref="F9" si="48">F10*(1+Q9)</f>
        <v>304.75936311478398</v>
      </c>
      <c r="G9" s="3484">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2966</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84"/>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2967</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84"/>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2963</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90"/>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2954</v>
      </c>
      <c r="B13" s="3087">
        <v>439</v>
      </c>
      <c r="C13" s="3087">
        <v>327</v>
      </c>
      <c r="D13" s="3087">
        <f t="shared" si="76"/>
        <v>327</v>
      </c>
      <c r="E13" s="3087">
        <v>627</v>
      </c>
      <c r="F13" s="3088">
        <v>283</v>
      </c>
      <c r="G13" s="3489">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2958</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84"/>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2577</v>
      </c>
      <c r="B15" s="2628">
        <f t="shared" si="88"/>
        <v>419.31181600000002</v>
      </c>
      <c r="C15" s="2628">
        <f t="shared" si="88"/>
        <v>313.95436800000004</v>
      </c>
      <c r="D15" s="2628">
        <f t="shared" si="76"/>
        <v>313.95436800000004</v>
      </c>
      <c r="E15" s="2628">
        <f t="shared" si="89"/>
        <v>596.63028431999999</v>
      </c>
      <c r="F15" s="2628">
        <f t="shared" si="89"/>
        <v>274.74220703999998</v>
      </c>
      <c r="G15" s="3484"/>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2578</v>
      </c>
      <c r="B16" s="2628">
        <f t="shared" si="88"/>
        <v>405.524</v>
      </c>
      <c r="C16" s="2628">
        <f t="shared" si="88"/>
        <v>307.79840000000002</v>
      </c>
      <c r="D16" s="2628">
        <f t="shared" si="76"/>
        <v>307.79840000000002</v>
      </c>
      <c r="E16" s="2628">
        <f t="shared" si="89"/>
        <v>574.67759999999998</v>
      </c>
      <c r="F16" s="2628">
        <f t="shared" si="89"/>
        <v>270.20280000000002</v>
      </c>
      <c r="G16" s="3490"/>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969</v>
      </c>
      <c r="B17" s="2620">
        <v>392</v>
      </c>
      <c r="C17" s="2620">
        <v>302</v>
      </c>
      <c r="D17" s="2620">
        <f t="shared" si="76"/>
        <v>302</v>
      </c>
      <c r="E17" s="2620">
        <v>553</v>
      </c>
      <c r="F17" s="2621">
        <v>266</v>
      </c>
      <c r="G17" s="3489">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968</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84"/>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958</v>
      </c>
      <c r="B19" s="2628">
        <f t="shared" si="97"/>
        <v>360.06949782209392</v>
      </c>
      <c r="C19" s="2628">
        <f t="shared" si="97"/>
        <v>289.84672674747821</v>
      </c>
      <c r="D19" s="2628">
        <f t="shared" si="98"/>
        <v>289.84672674747821</v>
      </c>
      <c r="E19" s="2628">
        <f t="shared" si="99"/>
        <v>501.06543001181495</v>
      </c>
      <c r="F19" s="2628">
        <f t="shared" si="99"/>
        <v>256.82882500744967</v>
      </c>
      <c r="G19" s="3484"/>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967</v>
      </c>
      <c r="B20" s="2628">
        <f t="shared" si="97"/>
        <v>346.720748986128</v>
      </c>
      <c r="C20" s="2628">
        <f t="shared" si="97"/>
        <v>284.30282172386285</v>
      </c>
      <c r="D20" s="2628">
        <f t="shared" si="98"/>
        <v>284.30282172386285</v>
      </c>
      <c r="E20" s="2628">
        <f t="shared" si="99"/>
        <v>479.58023546306947</v>
      </c>
      <c r="F20" s="2628">
        <f t="shared" si="99"/>
        <v>253.25788877571213</v>
      </c>
      <c r="G20" s="3485"/>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966</v>
      </c>
      <c r="B21" s="2620">
        <v>333</v>
      </c>
      <c r="C21" s="2620">
        <v>277</v>
      </c>
      <c r="D21" s="2620">
        <f t="shared" si="98"/>
        <v>277</v>
      </c>
      <c r="E21" s="2620">
        <v>459</v>
      </c>
      <c r="F21" s="2621">
        <v>249</v>
      </c>
      <c r="G21" s="3483">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965</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84"/>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964</v>
      </c>
      <c r="B23" s="2628">
        <f t="shared" si="101"/>
        <v>322.34053690220776</v>
      </c>
      <c r="C23" s="2628">
        <f t="shared" si="101"/>
        <v>271.46160770422546</v>
      </c>
      <c r="D23" s="2628">
        <f t="shared" si="98"/>
        <v>271.46160770422546</v>
      </c>
      <c r="E23" s="2628">
        <f t="shared" si="102"/>
        <v>442.69434542172456</v>
      </c>
      <c r="F23" s="2628">
        <f t="shared" si="102"/>
        <v>241.34030753190925</v>
      </c>
      <c r="G23" s="3484"/>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963</v>
      </c>
      <c r="B24" s="2628">
        <f t="shared" si="101"/>
        <v>319.87748030386797</v>
      </c>
      <c r="C24" s="2628">
        <f t="shared" si="101"/>
        <v>269.60135833173649</v>
      </c>
      <c r="D24" s="2628">
        <f t="shared" si="98"/>
        <v>269.60135833173649</v>
      </c>
      <c r="E24" s="2628">
        <f t="shared" si="102"/>
        <v>439.18089823583784</v>
      </c>
      <c r="F24" s="2628">
        <f t="shared" si="102"/>
        <v>239.23503918706311</v>
      </c>
      <c r="G24" s="3485"/>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962</v>
      </c>
      <c r="B25" s="2642">
        <v>318</v>
      </c>
      <c r="C25" s="2642">
        <v>268</v>
      </c>
      <c r="D25" s="2642">
        <f t="shared" si="98"/>
        <v>268</v>
      </c>
      <c r="E25" s="2642">
        <v>437</v>
      </c>
      <c r="F25" s="2643">
        <v>237</v>
      </c>
      <c r="G25" s="3483">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961</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84"/>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960</v>
      </c>
      <c r="B27" s="2628">
        <f t="shared" si="103"/>
        <v>314.72141172386546</v>
      </c>
      <c r="C27" s="2628">
        <f t="shared" si="103"/>
        <v>263.03901319069001</v>
      </c>
      <c r="D27" s="2628">
        <f t="shared" si="98"/>
        <v>263.03901319069001</v>
      </c>
      <c r="E27" s="2628">
        <f t="shared" si="104"/>
        <v>433.65745506782821</v>
      </c>
      <c r="F27" s="2628">
        <f t="shared" si="104"/>
        <v>233.23005080045735</v>
      </c>
      <c r="G27" s="3484"/>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959</v>
      </c>
      <c r="B28" s="2647">
        <f t="shared" si="103"/>
        <v>307.34512863658733</v>
      </c>
      <c r="C28" s="2647">
        <f t="shared" si="103"/>
        <v>257.80556031626975</v>
      </c>
      <c r="D28" s="2647">
        <f t="shared" si="98"/>
        <v>257.80556031626975</v>
      </c>
      <c r="E28" s="2647">
        <f t="shared" si="104"/>
        <v>422.70928459677179</v>
      </c>
      <c r="F28" s="2647">
        <f t="shared" si="104"/>
        <v>229.73803270336617</v>
      </c>
      <c r="G28" s="3485"/>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2636</v>
      </c>
      <c r="X28" s="2724">
        <v>1</v>
      </c>
      <c r="Y28" s="2724">
        <v>1</v>
      </c>
      <c r="Z28" s="2724">
        <v>1</v>
      </c>
      <c r="AA28" s="2724">
        <v>1</v>
      </c>
      <c r="AB28" s="2724">
        <v>1</v>
      </c>
      <c r="AD28" s="2955">
        <f>I28/100</f>
        <v>2.9700000000000001E-2</v>
      </c>
      <c r="AE28" s="2955">
        <f>J28/100</f>
        <v>2.3399999999999997E-2</v>
      </c>
      <c r="AF28" s="2955">
        <f>AE28</f>
        <v>2.3399999999999997E-2</v>
      </c>
      <c r="AG28" s="2955">
        <f>K28/100</f>
        <v>3.2799999999999996E-2</v>
      </c>
      <c r="AH28" s="2955">
        <f>L28/100</f>
        <v>1.3600000000000001E-2</v>
      </c>
    </row>
    <row r="29" spans="1:34" ht="13.5" thickBot="1">
      <c r="A29" s="2615" t="s">
        <v>2579</v>
      </c>
      <c r="B29" s="2620">
        <v>299</v>
      </c>
      <c r="C29" s="2620">
        <v>252</v>
      </c>
      <c r="D29" s="2620">
        <f t="shared" si="98"/>
        <v>252</v>
      </c>
      <c r="E29" s="2620">
        <v>409</v>
      </c>
      <c r="F29" s="2621">
        <v>227</v>
      </c>
      <c r="G29" s="3486">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2580</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87"/>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2581</v>
      </c>
      <c r="B31" s="2628">
        <f t="shared" si="107"/>
        <v>288.2649053828776</v>
      </c>
      <c r="C31" s="2628">
        <f t="shared" si="107"/>
        <v>243.64564425013293</v>
      </c>
      <c r="D31" s="2628">
        <f t="shared" si="98"/>
        <v>243.64564425013293</v>
      </c>
      <c r="E31" s="2628">
        <f t="shared" si="108"/>
        <v>393.31080825986544</v>
      </c>
      <c r="F31" s="2628">
        <f t="shared" si="108"/>
        <v>223.07903790551154</v>
      </c>
      <c r="G31" s="3487"/>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2582</v>
      </c>
      <c r="B32" s="2628">
        <f t="shared" si="107"/>
        <v>282.50186729015837</v>
      </c>
      <c r="C32" s="2628">
        <f t="shared" si="107"/>
        <v>238.09796174155468</v>
      </c>
      <c r="D32" s="2628">
        <f t="shared" si="98"/>
        <v>238.09796174155468</v>
      </c>
      <c r="E32" s="2628">
        <f t="shared" si="108"/>
        <v>385.33438646014054</v>
      </c>
      <c r="F32" s="2628">
        <f t="shared" si="108"/>
        <v>221.55034055567739</v>
      </c>
      <c r="G32" s="3488"/>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2583</v>
      </c>
      <c r="B33" s="2658">
        <v>278</v>
      </c>
      <c r="C33" s="2658">
        <v>234</v>
      </c>
      <c r="D33" s="2658">
        <f t="shared" si="98"/>
        <v>234</v>
      </c>
      <c r="E33" s="2658">
        <v>379</v>
      </c>
      <c r="F33" s="2659">
        <v>220</v>
      </c>
      <c r="G33" s="3483">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2584</v>
      </c>
      <c r="B34" s="2628">
        <f>B33/(1+N33)</f>
        <v>275.49301357645425</v>
      </c>
      <c r="C34" s="2628">
        <f>C33/(1+O33)</f>
        <v>232.41954707985698</v>
      </c>
      <c r="D34" s="2628">
        <f t="shared" si="98"/>
        <v>232.41954707985698</v>
      </c>
      <c r="E34" s="2628">
        <f t="shared" ref="E34:F36" si="109">E33/(1+P33)</f>
        <v>375.32184591008121</v>
      </c>
      <c r="F34" s="2628">
        <f t="shared" si="109"/>
        <v>218.03766105054513</v>
      </c>
      <c r="G34" s="3484"/>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2585</v>
      </c>
      <c r="B35" s="2628">
        <f>B34/(1+N34)</f>
        <v>275.24529281292263</v>
      </c>
      <c r="C35" s="2628">
        <f>C34/(1+O34)</f>
        <v>231.74747938962707</v>
      </c>
      <c r="D35" s="2628">
        <f t="shared" si="98"/>
        <v>231.74747938962707</v>
      </c>
      <c r="E35" s="2628">
        <f t="shared" si="109"/>
        <v>375.35938184826603</v>
      </c>
      <c r="F35" s="2628">
        <f t="shared" si="109"/>
        <v>216.78033510692495</v>
      </c>
      <c r="G35" s="3484"/>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2586</v>
      </c>
      <c r="B36" s="2628">
        <f>B35/(1+N35)</f>
        <v>275.19025476197027</v>
      </c>
      <c r="C36" s="2660">
        <v>232</v>
      </c>
      <c r="D36" s="2660">
        <f t="shared" si="98"/>
        <v>232</v>
      </c>
      <c r="E36" s="2628">
        <f t="shared" si="109"/>
        <v>375.65990977608692</v>
      </c>
      <c r="F36" s="2628">
        <f t="shared" si="109"/>
        <v>214.12518283971252</v>
      </c>
      <c r="G36" s="3485"/>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2587</v>
      </c>
      <c r="B37" s="2620">
        <v>275</v>
      </c>
      <c r="C37" s="2620">
        <v>232</v>
      </c>
      <c r="D37" s="2620">
        <f t="shared" si="98"/>
        <v>232</v>
      </c>
      <c r="E37" s="2620">
        <v>376</v>
      </c>
      <c r="F37" s="2621">
        <v>213</v>
      </c>
      <c r="G37" s="3483">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2588</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84">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2589</v>
      </c>
      <c r="B39" s="2628">
        <f t="shared" si="110"/>
        <v>275.19335084830601</v>
      </c>
      <c r="C39" s="2628">
        <f t="shared" si="110"/>
        <v>230.18088050139744</v>
      </c>
      <c r="D39" s="2628">
        <f t="shared" si="98"/>
        <v>230.18088050139744</v>
      </c>
      <c r="E39" s="2628">
        <f t="shared" si="111"/>
        <v>377.58482925212331</v>
      </c>
      <c r="F39" s="2628">
        <f t="shared" si="111"/>
        <v>210.90687997847917</v>
      </c>
      <c r="G39" s="3484">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2590</v>
      </c>
      <c r="B40" s="2628">
        <f t="shared" si="110"/>
        <v>276.29854502841971</v>
      </c>
      <c r="C40" s="2628">
        <f t="shared" si="110"/>
        <v>229.79023709833027</v>
      </c>
      <c r="D40" s="2628">
        <f t="shared" si="98"/>
        <v>229.79023709833027</v>
      </c>
      <c r="E40" s="2628">
        <f t="shared" si="111"/>
        <v>379.78759731655936</v>
      </c>
      <c r="F40" s="2628">
        <f t="shared" si="111"/>
        <v>211.32953905659235</v>
      </c>
      <c r="G40" s="3485">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2591</v>
      </c>
      <c r="B41" s="2620">
        <v>269</v>
      </c>
      <c r="C41" s="2620">
        <v>221</v>
      </c>
      <c r="D41" s="2620">
        <f t="shared" si="98"/>
        <v>221</v>
      </c>
      <c r="E41" s="2620">
        <v>373</v>
      </c>
      <c r="F41" s="2621">
        <v>196</v>
      </c>
      <c r="G41" s="3483">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2592</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84">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2593</v>
      </c>
      <c r="B43" s="2628">
        <f t="shared" si="112"/>
        <v>242.95398227588385</v>
      </c>
      <c r="C43" s="2628">
        <f t="shared" si="112"/>
        <v>199.59137053614126</v>
      </c>
      <c r="D43" s="2628">
        <f t="shared" si="98"/>
        <v>199.59137053614126</v>
      </c>
      <c r="E43" s="2628">
        <f t="shared" si="113"/>
        <v>335.92189522342125</v>
      </c>
      <c r="F43" s="2628">
        <f t="shared" si="113"/>
        <v>183.10139991109489</v>
      </c>
      <c r="G43" s="3484">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2594</v>
      </c>
      <c r="B44" s="2628">
        <f t="shared" si="112"/>
        <v>232.06990378821649</v>
      </c>
      <c r="C44" s="2628">
        <f t="shared" si="112"/>
        <v>192.74878854286936</v>
      </c>
      <c r="D44" s="2628">
        <f t="shared" si="98"/>
        <v>192.74878854286936</v>
      </c>
      <c r="E44" s="2628">
        <f t="shared" si="113"/>
        <v>319.71247284992984</v>
      </c>
      <c r="F44" s="2628">
        <f t="shared" si="113"/>
        <v>175.67053622862409</v>
      </c>
      <c r="G44" s="3485">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2595</v>
      </c>
      <c r="B45" s="2620">
        <v>220</v>
      </c>
      <c r="C45" s="2620">
        <v>187</v>
      </c>
      <c r="D45" s="2620">
        <f t="shared" si="98"/>
        <v>187</v>
      </c>
      <c r="E45" s="2620">
        <v>301</v>
      </c>
      <c r="F45" s="2621">
        <v>168</v>
      </c>
      <c r="G45" s="3483">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2596</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84">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2597</v>
      </c>
      <c r="B47" s="2628">
        <f t="shared" si="114"/>
        <v>210.630522469011</v>
      </c>
      <c r="C47" s="2628">
        <f t="shared" si="114"/>
        <v>181.69567812247232</v>
      </c>
      <c r="D47" s="2628">
        <f t="shared" si="98"/>
        <v>181.69567812247232</v>
      </c>
      <c r="E47" s="2628">
        <f t="shared" si="115"/>
        <v>286.13517466736738</v>
      </c>
      <c r="F47" s="2628">
        <f t="shared" si="115"/>
        <v>165.47535084591149</v>
      </c>
      <c r="G47" s="3484">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2598</v>
      </c>
      <c r="B48" s="2628">
        <f t="shared" si="114"/>
        <v>208.83454537875372</v>
      </c>
      <c r="C48" s="2628">
        <f t="shared" si="114"/>
        <v>183.77230517090351</v>
      </c>
      <c r="D48" s="2628">
        <f t="shared" si="98"/>
        <v>183.77230517090351</v>
      </c>
      <c r="E48" s="2628">
        <f t="shared" si="115"/>
        <v>281.10342338870947</v>
      </c>
      <c r="F48" s="2628">
        <f t="shared" si="115"/>
        <v>168.97309388942256</v>
      </c>
      <c r="G48" s="3485">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2599</v>
      </c>
      <c r="B49" s="2658">
        <v>214</v>
      </c>
      <c r="C49" s="2658">
        <v>188</v>
      </c>
      <c r="D49" s="2658">
        <f t="shared" si="98"/>
        <v>188</v>
      </c>
      <c r="E49" s="2658">
        <v>289</v>
      </c>
      <c r="F49" s="2659">
        <v>166</v>
      </c>
      <c r="G49" s="3483">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2600</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84">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2601</v>
      </c>
      <c r="B51" s="2628">
        <f t="shared" si="116"/>
        <v>206.31694671589116</v>
      </c>
      <c r="C51" s="2628">
        <f t="shared" si="116"/>
        <v>183.61041121036101</v>
      </c>
      <c r="D51" s="2628">
        <f t="shared" si="98"/>
        <v>183.61041121036101</v>
      </c>
      <c r="E51" s="2628">
        <f t="shared" si="117"/>
        <v>276.66850301795557</v>
      </c>
      <c r="F51" s="2628">
        <f t="shared" si="117"/>
        <v>165.1360938278614</v>
      </c>
      <c r="G51" s="3484">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2602</v>
      </c>
      <c r="B52" s="2661">
        <f t="shared" si="116"/>
        <v>196.62341248059772</v>
      </c>
      <c r="C52" s="2661">
        <f t="shared" si="116"/>
        <v>170.99125648199012</v>
      </c>
      <c r="D52" s="2661">
        <f t="shared" si="98"/>
        <v>170.99125648199012</v>
      </c>
      <c r="E52" s="2661">
        <f t="shared" si="117"/>
        <v>266.07857570490052</v>
      </c>
      <c r="F52" s="2661">
        <f t="shared" si="117"/>
        <v>154.53499328828505</v>
      </c>
      <c r="G52" s="3485">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2603</v>
      </c>
      <c r="B53" s="2620">
        <v>188</v>
      </c>
      <c r="C53" s="2620">
        <v>165</v>
      </c>
      <c r="D53" s="2620">
        <f t="shared" si="98"/>
        <v>165</v>
      </c>
      <c r="E53" s="2620">
        <v>254</v>
      </c>
      <c r="F53" s="2621">
        <v>148</v>
      </c>
      <c r="G53" s="3483">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2604</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84">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2605</v>
      </c>
      <c r="B55" s="2628">
        <f t="shared" si="120"/>
        <v>168.82017748715555</v>
      </c>
      <c r="C55" s="2628">
        <f t="shared" si="120"/>
        <v>148.06267029972753</v>
      </c>
      <c r="D55" s="2628">
        <f t="shared" si="98"/>
        <v>148.06267029972753</v>
      </c>
      <c r="E55" s="2628">
        <f t="shared" si="121"/>
        <v>216.46288379323747</v>
      </c>
      <c r="F55" s="2628">
        <f t="shared" si="121"/>
        <v>134.23529411764704</v>
      </c>
      <c r="G55" s="3484">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2606</v>
      </c>
      <c r="B56" s="2628">
        <f t="shared" si="120"/>
        <v>163.84913591779542</v>
      </c>
      <c r="C56" s="2628">
        <f t="shared" si="120"/>
        <v>145.0283378746594</v>
      </c>
      <c r="D56" s="2628">
        <f t="shared" si="98"/>
        <v>145.0283378746594</v>
      </c>
      <c r="E56" s="2628">
        <f t="shared" si="121"/>
        <v>204.95180722891567</v>
      </c>
      <c r="F56" s="2628">
        <f t="shared" si="121"/>
        <v>125.95920303605313</v>
      </c>
      <c r="G56" s="3485">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2607</v>
      </c>
      <c r="B57" s="2642">
        <v>159</v>
      </c>
      <c r="C57" s="2642">
        <v>141</v>
      </c>
      <c r="D57" s="2642">
        <f t="shared" si="98"/>
        <v>141</v>
      </c>
      <c r="E57" s="2642">
        <v>195</v>
      </c>
      <c r="F57" s="2643">
        <v>122</v>
      </c>
      <c r="G57" s="3483">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2608</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84">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2609</v>
      </c>
      <c r="B59" s="2628">
        <f t="shared" si="124"/>
        <v>146.57412060301507</v>
      </c>
      <c r="C59" s="2628">
        <f t="shared" si="124"/>
        <v>136.46831955922866</v>
      </c>
      <c r="D59" s="2628">
        <f t="shared" si="98"/>
        <v>136.46831955922866</v>
      </c>
      <c r="E59" s="2628">
        <f t="shared" si="125"/>
        <v>166.73864894795128</v>
      </c>
      <c r="F59" s="2628">
        <f t="shared" si="125"/>
        <v>115.05882352941177</v>
      </c>
      <c r="G59" s="3484">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2610</v>
      </c>
      <c r="B60" s="2628">
        <f t="shared" si="124"/>
        <v>144.04145728643215</v>
      </c>
      <c r="C60" s="2628">
        <f t="shared" si="124"/>
        <v>136.12396694214877</v>
      </c>
      <c r="D60" s="2628">
        <f t="shared" si="98"/>
        <v>136.12396694214877</v>
      </c>
      <c r="E60" s="2628">
        <f t="shared" si="125"/>
        <v>158.32225913621264</v>
      </c>
      <c r="F60" s="2628">
        <f t="shared" si="125"/>
        <v>114.04278074866311</v>
      </c>
      <c r="G60" s="3485">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2611</v>
      </c>
      <c r="B61" s="2642">
        <v>138</v>
      </c>
      <c r="C61" s="2642">
        <v>131</v>
      </c>
      <c r="D61" s="2642">
        <f t="shared" si="98"/>
        <v>131</v>
      </c>
      <c r="E61" s="2642">
        <v>155</v>
      </c>
      <c r="F61" s="2643">
        <v>114</v>
      </c>
      <c r="G61" s="3483">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2612</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84">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2613</v>
      </c>
      <c r="B63" s="2628">
        <f t="shared" si="128"/>
        <v>124.29032258064517</v>
      </c>
      <c r="C63" s="2628">
        <f t="shared" si="128"/>
        <v>123.8968609865471</v>
      </c>
      <c r="D63" s="2628">
        <f t="shared" si="98"/>
        <v>123.8968609865471</v>
      </c>
      <c r="E63" s="2628">
        <f t="shared" si="129"/>
        <v>138.00507614213197</v>
      </c>
      <c r="F63" s="2628">
        <f t="shared" si="129"/>
        <v>107.96106557377048</v>
      </c>
      <c r="G63" s="3484">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2614</v>
      </c>
      <c r="B64" s="2628">
        <f t="shared" si="128"/>
        <v>122.57204301075269</v>
      </c>
      <c r="C64" s="2628">
        <f t="shared" si="128"/>
        <v>123.4932735426009</v>
      </c>
      <c r="D64" s="2628">
        <f t="shared" si="98"/>
        <v>123.4932735426009</v>
      </c>
      <c r="E64" s="2628">
        <f t="shared" si="129"/>
        <v>129.82233502538071</v>
      </c>
      <c r="F64" s="2628">
        <f t="shared" si="129"/>
        <v>107.39446721311475</v>
      </c>
      <c r="G64" s="3485">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2615</v>
      </c>
      <c r="B65" s="2658">
        <v>121</v>
      </c>
      <c r="C65" s="2658">
        <v>122</v>
      </c>
      <c r="D65" s="2658">
        <f t="shared" si="98"/>
        <v>122</v>
      </c>
      <c r="E65" s="2658">
        <v>124</v>
      </c>
      <c r="F65" s="2659">
        <v>107</v>
      </c>
      <c r="G65" s="3483">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2616</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84">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2617</v>
      </c>
      <c r="B67" s="2628">
        <f t="shared" si="132"/>
        <v>116.99099099099099</v>
      </c>
      <c r="C67" s="2628">
        <f t="shared" si="132"/>
        <v>118.84848484848486</v>
      </c>
      <c r="D67" s="2628">
        <f t="shared" si="98"/>
        <v>118.84848484848486</v>
      </c>
      <c r="E67" s="2628">
        <f t="shared" si="133"/>
        <v>117.60960960960961</v>
      </c>
      <c r="F67" s="2628">
        <f t="shared" si="133"/>
        <v>104</v>
      </c>
      <c r="G67" s="3484">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2618</v>
      </c>
      <c r="B68" s="2661">
        <f t="shared" si="132"/>
        <v>112.48648648648648</v>
      </c>
      <c r="C68" s="2661">
        <f t="shared" si="132"/>
        <v>115.21212121212122</v>
      </c>
      <c r="D68" s="2661">
        <f t="shared" si="98"/>
        <v>115.21212121212122</v>
      </c>
      <c r="E68" s="2661">
        <f t="shared" si="133"/>
        <v>110.4024024024024</v>
      </c>
      <c r="F68" s="2661">
        <f t="shared" si="133"/>
        <v>104</v>
      </c>
      <c r="G68" s="3485">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2619</v>
      </c>
      <c r="B69" s="2679">
        <v>111</v>
      </c>
      <c r="C69" s="2679">
        <v>114</v>
      </c>
      <c r="D69" s="2679">
        <f t="shared" si="98"/>
        <v>114</v>
      </c>
      <c r="E69" s="2679">
        <v>108</v>
      </c>
      <c r="F69" s="2680">
        <v>104</v>
      </c>
      <c r="G69" s="3483">
        <v>2003</v>
      </c>
      <c r="H69" s="2669">
        <v>4</v>
      </c>
      <c r="I69" s="2681"/>
      <c r="J69" s="2681"/>
      <c r="K69" s="2681"/>
      <c r="L69" s="2681"/>
      <c r="N69" s="2682"/>
      <c r="O69" s="2681"/>
      <c r="P69" s="2681"/>
      <c r="Q69" s="2681"/>
      <c r="S69" s="2682"/>
      <c r="T69" s="2681"/>
      <c r="U69" s="2681"/>
      <c r="V69" s="2681"/>
      <c r="X69" s="2673"/>
      <c r="Y69" s="2673"/>
      <c r="Z69" s="2673"/>
    </row>
    <row r="70" spans="1:26">
      <c r="A70" s="2615" t="s">
        <v>2620</v>
      </c>
      <c r="B70" s="2683">
        <f t="shared" ref="B70:C72" si="134">B71+(B$69-B$73)/4</f>
        <v>109.75</v>
      </c>
      <c r="C70" s="2683">
        <f t="shared" si="134"/>
        <v>112.25</v>
      </c>
      <c r="D70" s="2683">
        <f t="shared" si="98"/>
        <v>112.25</v>
      </c>
      <c r="E70" s="2683">
        <f t="shared" ref="E70:F72" si="135">E71+(E$69-E$73)/4</f>
        <v>107.25</v>
      </c>
      <c r="F70" s="2683">
        <f t="shared" si="135"/>
        <v>103.5</v>
      </c>
      <c r="G70" s="3484">
        <v>2003</v>
      </c>
      <c r="H70" s="2639">
        <v>3</v>
      </c>
      <c r="I70" s="2681"/>
      <c r="J70" s="2681"/>
      <c r="K70" s="2681"/>
      <c r="L70" s="2681"/>
      <c r="X70" s="2673"/>
      <c r="Y70" s="2673"/>
      <c r="Z70" s="2673"/>
    </row>
    <row r="71" spans="1:26">
      <c r="A71" s="2615" t="s">
        <v>2621</v>
      </c>
      <c r="B71" s="2683">
        <f t="shared" si="134"/>
        <v>108.5</v>
      </c>
      <c r="C71" s="2683">
        <f t="shared" si="134"/>
        <v>110.5</v>
      </c>
      <c r="D71" s="2683">
        <f t="shared" si="98"/>
        <v>110.5</v>
      </c>
      <c r="E71" s="2683">
        <f t="shared" si="135"/>
        <v>106.5</v>
      </c>
      <c r="F71" s="2683">
        <f t="shared" si="135"/>
        <v>103</v>
      </c>
      <c r="G71" s="3484">
        <v>2003</v>
      </c>
      <c r="H71" s="2619">
        <v>2</v>
      </c>
      <c r="I71" s="2681"/>
      <c r="J71" s="2681"/>
      <c r="K71" s="2681"/>
      <c r="L71" s="2681"/>
      <c r="X71" s="2673"/>
      <c r="Y71" s="2673"/>
      <c r="Z71" s="2673"/>
    </row>
    <row r="72" spans="1:26" ht="13.5" thickBot="1">
      <c r="A72" s="2615" t="s">
        <v>2622</v>
      </c>
      <c r="B72" s="2683">
        <f t="shared" si="134"/>
        <v>107.25</v>
      </c>
      <c r="C72" s="2683">
        <f t="shared" si="134"/>
        <v>108.75</v>
      </c>
      <c r="D72" s="2683">
        <f t="shared" si="98"/>
        <v>108.75</v>
      </c>
      <c r="E72" s="2683">
        <f t="shared" si="135"/>
        <v>105.75</v>
      </c>
      <c r="F72" s="2683">
        <f t="shared" si="135"/>
        <v>102.5</v>
      </c>
      <c r="G72" s="3485">
        <v>2003</v>
      </c>
      <c r="H72" s="2684">
        <v>1</v>
      </c>
      <c r="I72" s="2681"/>
      <c r="J72" s="2681"/>
      <c r="K72" s="2681"/>
      <c r="L72" s="2681"/>
      <c r="S72" s="2623"/>
      <c r="T72" s="2624"/>
      <c r="U72" s="2624"/>
      <c r="X72" s="2673"/>
      <c r="Y72" s="2673"/>
      <c r="Z72" s="2673"/>
    </row>
    <row r="73" spans="1:26" ht="13.5" thickBot="1">
      <c r="A73" s="2615" t="s">
        <v>2623</v>
      </c>
      <c r="B73" s="2685">
        <v>106</v>
      </c>
      <c r="C73" s="2685">
        <v>107</v>
      </c>
      <c r="D73" s="2685">
        <f t="shared" si="98"/>
        <v>107</v>
      </c>
      <c r="E73" s="2685">
        <v>105</v>
      </c>
      <c r="F73" s="2686">
        <v>102</v>
      </c>
      <c r="G73" s="3483">
        <v>2002</v>
      </c>
      <c r="H73" s="2634">
        <v>4</v>
      </c>
      <c r="I73" s="2681"/>
      <c r="J73" s="2681"/>
      <c r="K73" s="2681"/>
      <c r="L73" s="2681"/>
      <c r="N73" s="2682"/>
      <c r="O73" s="2681"/>
      <c r="P73" s="2681"/>
      <c r="Q73" s="2681"/>
      <c r="S73" s="2682"/>
      <c r="T73" s="2681"/>
      <c r="U73" s="2681"/>
      <c r="V73" s="2681"/>
      <c r="X73" s="2673"/>
      <c r="Y73" s="2673"/>
      <c r="Z73" s="2673"/>
    </row>
    <row r="74" spans="1:26">
      <c r="A74" s="2615" t="s">
        <v>2624</v>
      </c>
      <c r="B74" s="2683">
        <f t="shared" ref="B74:C76" si="136">B75+(B$73-B$77)/4</f>
        <v>105</v>
      </c>
      <c r="C74" s="2683">
        <f t="shared" si="136"/>
        <v>106</v>
      </c>
      <c r="D74" s="2683">
        <f t="shared" si="98"/>
        <v>106</v>
      </c>
      <c r="E74" s="2683">
        <f t="shared" ref="E74:F76" si="137">E75+(E$73-E$77)/4</f>
        <v>104.5</v>
      </c>
      <c r="F74" s="2683">
        <f t="shared" si="137"/>
        <v>101.5</v>
      </c>
      <c r="G74" s="3484">
        <v>2002</v>
      </c>
      <c r="H74" s="2639">
        <v>3</v>
      </c>
      <c r="I74" s="2681"/>
      <c r="J74" s="2681"/>
      <c r="K74" s="2681"/>
      <c r="L74" s="2681"/>
      <c r="X74" s="2673"/>
      <c r="Y74" s="2673"/>
      <c r="Z74" s="2673"/>
    </row>
    <row r="75" spans="1:26">
      <c r="A75" s="2615" t="s">
        <v>2625</v>
      </c>
      <c r="B75" s="2683">
        <f t="shared" si="136"/>
        <v>104</v>
      </c>
      <c r="C75" s="2683">
        <f t="shared" si="136"/>
        <v>105</v>
      </c>
      <c r="D75" s="2683">
        <f t="shared" si="98"/>
        <v>105</v>
      </c>
      <c r="E75" s="2683">
        <f t="shared" si="137"/>
        <v>104</v>
      </c>
      <c r="F75" s="2683">
        <f t="shared" si="137"/>
        <v>101</v>
      </c>
      <c r="G75" s="3484">
        <v>2002</v>
      </c>
      <c r="H75" s="2619">
        <v>2</v>
      </c>
      <c r="I75" s="2681"/>
      <c r="J75" s="2681"/>
      <c r="K75" s="2681"/>
      <c r="L75" s="2681"/>
      <c r="X75" s="2673"/>
      <c r="Y75" s="2673"/>
      <c r="Z75" s="2673"/>
    </row>
    <row r="76" spans="1:26" s="2650" customFormat="1" ht="13.5" thickBot="1">
      <c r="A76" s="2646" t="s">
        <v>2626</v>
      </c>
      <c r="B76" s="2687">
        <f t="shared" si="136"/>
        <v>103</v>
      </c>
      <c r="C76" s="2687">
        <f t="shared" si="136"/>
        <v>104</v>
      </c>
      <c r="D76" s="2687">
        <f t="shared" si="98"/>
        <v>104</v>
      </c>
      <c r="E76" s="2687">
        <f t="shared" si="137"/>
        <v>103.5</v>
      </c>
      <c r="F76" s="2687">
        <f t="shared" si="137"/>
        <v>100.5</v>
      </c>
      <c r="G76" s="3485">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2627</v>
      </c>
      <c r="G79" s="2697"/>
      <c r="N79" s="2697"/>
      <c r="S79" s="2697"/>
    </row>
    <row r="80" spans="1:26" s="2696" customFormat="1">
      <c r="A80" s="2696" t="s">
        <v>2628</v>
      </c>
      <c r="G80" s="2697"/>
      <c r="N80" s="2697"/>
      <c r="S80" s="2697"/>
    </row>
    <row r="81" spans="1:22" s="2696" customFormat="1">
      <c r="A81" s="2696" t="s">
        <v>2629</v>
      </c>
      <c r="G81" s="2697"/>
      <c r="I81" s="2698"/>
      <c r="J81" s="2698"/>
      <c r="K81" s="2698"/>
      <c r="L81" s="2698"/>
      <c r="N81" s="2699"/>
      <c r="O81" s="2698"/>
      <c r="P81" s="2698"/>
      <c r="Q81" s="2698"/>
      <c r="S81" s="2699"/>
      <c r="T81" s="2698"/>
      <c r="U81" s="2698"/>
      <c r="V81" s="2698"/>
    </row>
    <row r="82" spans="1:22" s="2696" customFormat="1">
      <c r="A82" s="2696" t="s">
        <v>2630</v>
      </c>
      <c r="G82" s="2697"/>
      <c r="N82" s="2697"/>
      <c r="S82" s="2697"/>
    </row>
    <row r="89" spans="1:22" ht="13.5" thickBot="1"/>
    <row r="90" spans="1:22">
      <c r="G90" s="2622"/>
      <c r="S90" s="2700" t="s">
        <v>2631</v>
      </c>
      <c r="T90" s="2701" t="s">
        <v>2632</v>
      </c>
      <c r="U90" s="2701" t="s">
        <v>2633</v>
      </c>
      <c r="V90" s="2701" t="s">
        <v>2634</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2936</v>
      </c>
      <c r="B1" s="3048"/>
      <c r="C1" s="3048"/>
      <c r="D1" s="3048"/>
      <c r="E1" s="3048"/>
      <c r="F1" s="3048"/>
    </row>
    <row r="2" spans="1:6" ht="14.25">
      <c r="A2" s="3049" t="s">
        <v>2931</v>
      </c>
      <c r="B2" s="3050" t="e">
        <f ca="1">SUMIF(B7:B14,"&lt;&gt;#ref!",B7:B14)</f>
        <v>#DIV/0!</v>
      </c>
      <c r="C2" s="3049" t="s">
        <v>2932</v>
      </c>
      <c r="D2" s="3048"/>
      <c r="E2" s="3048"/>
      <c r="F2" s="3048"/>
    </row>
    <row r="3" spans="1:6" ht="14.25">
      <c r="A3" s="3049" t="s">
        <v>2964</v>
      </c>
      <c r="B3" s="3050" t="e">
        <f ca="1">ROUND(B2*10000/E3,0)</f>
        <v>#DIV/0!</v>
      </c>
      <c r="C3" s="3049" t="s">
        <v>2075</v>
      </c>
      <c r="D3" s="3049" t="s">
        <v>2933</v>
      </c>
      <c r="E3" s="3050">
        <f ca="1">SUMIF(E7:E14,"&lt;&gt;#ref!",E7:E14)</f>
        <v>0</v>
      </c>
      <c r="F3" s="3048"/>
    </row>
    <row r="4" spans="1:6" ht="14.25">
      <c r="A4" s="3049" t="s">
        <v>2940</v>
      </c>
      <c r="B4" s="3050" t="e">
        <f ca="1">ROUND(B2*10000/E4,0)</f>
        <v>#DIV/0!</v>
      </c>
      <c r="C4" s="3049" t="s">
        <v>2075</v>
      </c>
      <c r="D4" s="3049" t="s">
        <v>2941</v>
      </c>
      <c r="E4" s="3050">
        <f ca="1">SUMIF(F7:F14,"&lt;&gt;#ref!",F7:F14)</f>
        <v>0</v>
      </c>
      <c r="F4" s="3048"/>
    </row>
    <row r="5" spans="1:6" ht="14.25">
      <c r="A5" s="3051"/>
      <c r="B5" s="1863"/>
      <c r="C5" s="1863"/>
      <c r="D5" s="1863"/>
      <c r="E5" s="1863"/>
      <c r="F5" s="3048"/>
    </row>
    <row r="6" spans="1:6" ht="28.5">
      <c r="A6" s="3052" t="s">
        <v>2937</v>
      </c>
      <c r="B6" s="3049" t="s">
        <v>2934</v>
      </c>
      <c r="C6" s="3050"/>
      <c r="D6" s="1863"/>
      <c r="E6" s="3049" t="s">
        <v>2935</v>
      </c>
      <c r="F6" s="3049" t="s">
        <v>2939</v>
      </c>
    </row>
    <row r="7" spans="1:6" ht="14.25">
      <c r="A7" s="258" t="s">
        <v>2938</v>
      </c>
      <c r="B7" s="3053" t="e">
        <f ca="1">SUMIF(INDIRECT("'"&amp;A7&amp;"'"&amp;"!A:A"),"总价",INDIRECT("'"&amp;A7&amp;"'"&amp;"!B:B"))</f>
        <v>#DIV/0!</v>
      </c>
      <c r="C7" s="3049" t="s">
        <v>2932</v>
      </c>
      <c r="D7" s="1863"/>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2932</v>
      </c>
      <c r="D8" s="1863"/>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2932</v>
      </c>
      <c r="D9" s="1863"/>
      <c r="E9" s="3054" t="e">
        <f t="shared" ca="1" si="1"/>
        <v>#REF!</v>
      </c>
      <c r="F9" s="3054" t="e">
        <f t="shared" ca="1" si="2"/>
        <v>#REF!</v>
      </c>
    </row>
    <row r="10" spans="1:6" ht="14.25">
      <c r="A10" s="258"/>
      <c r="B10" s="3053" t="e">
        <f t="shared" ca="1" si="0"/>
        <v>#REF!</v>
      </c>
      <c r="C10" s="3049" t="s">
        <v>2932</v>
      </c>
      <c r="D10" s="1863"/>
      <c r="E10" s="3054" t="e">
        <f t="shared" ca="1" si="1"/>
        <v>#REF!</v>
      </c>
      <c r="F10" s="3054" t="e">
        <f t="shared" ca="1" si="2"/>
        <v>#REF!</v>
      </c>
    </row>
    <row r="11" spans="1:6" ht="14.25">
      <c r="A11" s="258"/>
      <c r="B11" s="3053" t="e">
        <f t="shared" ca="1" si="0"/>
        <v>#REF!</v>
      </c>
      <c r="C11" s="3049" t="s">
        <v>2932</v>
      </c>
      <c r="D11" s="1863"/>
      <c r="E11" s="3054" t="e">
        <f t="shared" ca="1" si="1"/>
        <v>#REF!</v>
      </c>
      <c r="F11" s="3054" t="e">
        <f t="shared" ca="1" si="2"/>
        <v>#REF!</v>
      </c>
    </row>
    <row r="12" spans="1:6" ht="14.25">
      <c r="A12" s="258"/>
      <c r="B12" s="3053" t="e">
        <f t="shared" ca="1" si="0"/>
        <v>#REF!</v>
      </c>
      <c r="C12" s="3049" t="s">
        <v>2932</v>
      </c>
      <c r="D12" s="1863"/>
      <c r="E12" s="3054" t="e">
        <f t="shared" ca="1" si="1"/>
        <v>#REF!</v>
      </c>
      <c r="F12" s="3054" t="e">
        <f t="shared" ca="1" si="2"/>
        <v>#REF!</v>
      </c>
    </row>
    <row r="13" spans="1:6" ht="14.25">
      <c r="A13" s="258"/>
      <c r="B13" s="3053" t="e">
        <f t="shared" ca="1" si="0"/>
        <v>#REF!</v>
      </c>
      <c r="C13" s="3049" t="s">
        <v>2932</v>
      </c>
      <c r="D13" s="1863"/>
      <c r="E13" s="3054" t="e">
        <f t="shared" ca="1" si="1"/>
        <v>#REF!</v>
      </c>
      <c r="F13" s="3054" t="e">
        <f t="shared" ca="1" si="2"/>
        <v>#REF!</v>
      </c>
    </row>
    <row r="14" spans="1:6" ht="14.25">
      <c r="A14" s="3047"/>
      <c r="B14" s="3053" t="e">
        <f t="shared" ca="1" si="0"/>
        <v>#REF!</v>
      </c>
      <c r="C14" s="3049" t="s">
        <v>2932</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56.25">
      <c r="A7" s="1777" t="s">
        <v>2742</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2929</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2019）怀来县不动产权第0002793、0002770、0003147号]证载土地终止日期为商业2056年5月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2370</v>
      </c>
      <c r="F1" s="2349">
        <f ca="1">J54</f>
        <v>-5</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2">
        <f ca="1">C8+C12+C14</f>
        <v>0</v>
      </c>
      <c r="D7" s="2457" t="s">
        <v>2457</v>
      </c>
      <c r="E7" s="2451"/>
      <c r="F7" s="2452"/>
      <c r="G7" s="1575"/>
      <c r="H7" s="779">
        <v>1</v>
      </c>
      <c r="I7" s="780" t="s">
        <v>2454</v>
      </c>
      <c r="J7" s="52">
        <f ca="1">J8+J12+J14</f>
        <v>0</v>
      </c>
      <c r="K7" s="2457" t="s">
        <v>2457</v>
      </c>
      <c r="L7" s="2451"/>
      <c r="M7" s="2452"/>
    </row>
    <row r="8" spans="1:25" ht="18" customHeight="1">
      <c r="A8" s="1812" t="s">
        <v>1823</v>
      </c>
      <c r="B8" s="3492" t="s">
        <v>2459</v>
      </c>
      <c r="C8" s="1807">
        <f ca="1">ROUND(F8*F10*F9*(1-F11)/10000,0)</f>
        <v>0</v>
      </c>
      <c r="D8" s="1804" t="s">
        <v>2530</v>
      </c>
      <c r="E8" s="60" t="s">
        <v>637</v>
      </c>
      <c r="F8" s="783">
        <f ca="1">INDIRECT("'数据-取费表'!u"&amp;$G$1)</f>
        <v>0</v>
      </c>
      <c r="G8" s="1575"/>
      <c r="H8" s="2465" t="s">
        <v>1823</v>
      </c>
      <c r="I8" s="3492" t="s">
        <v>2459</v>
      </c>
      <c r="J8" s="781">
        <f ca="1">ROUND(M8*M10*M9*(1-M11)/10000,0)</f>
        <v>0</v>
      </c>
      <c r="K8" s="339" t="s">
        <v>2530</v>
      </c>
      <c r="L8" s="782" t="s">
        <v>1737</v>
      </c>
      <c r="M8" s="783">
        <f ca="1">INDIRECT("'数据-取费表'!z"&amp;$G$1)</f>
        <v>0</v>
      </c>
    </row>
    <row r="9" spans="1:25" ht="18" customHeight="1">
      <c r="A9" s="2461"/>
      <c r="B9" s="3493"/>
      <c r="C9" s="1808"/>
      <c r="D9" s="1805"/>
      <c r="E9" s="60" t="s">
        <v>638</v>
      </c>
      <c r="F9" s="783">
        <f ca="1">IF(INDIRECT("'数据-取费表'!ah"&amp;$G$1)="",INDIRECT("'数据-取费表'!k"&amp;$G$1),INDIRECT("'数据-取费表'!ah"&amp;$G$1))</f>
        <v>0</v>
      </c>
      <c r="G9" s="1575"/>
      <c r="H9" s="2450"/>
      <c r="I9" s="3493"/>
      <c r="J9" s="786"/>
      <c r="K9" s="787"/>
      <c r="L9" s="782" t="s">
        <v>1738</v>
      </c>
      <c r="M9" s="783">
        <f ca="1">F9</f>
        <v>0</v>
      </c>
    </row>
    <row r="10" spans="1:25" ht="18" customHeight="1">
      <c r="A10" s="2454"/>
      <c r="B10" s="3494"/>
      <c r="C10" s="1808"/>
      <c r="D10" s="1805"/>
      <c r="E10" s="60" t="s">
        <v>639</v>
      </c>
      <c r="F10" s="783">
        <f ca="1">INDIRECT("'数据-取费表'!ai"&amp;$G$1)</f>
        <v>365</v>
      </c>
      <c r="G10" s="1575"/>
      <c r="H10" s="2450"/>
      <c r="I10" s="3494"/>
      <c r="J10" s="786"/>
      <c r="K10" s="787"/>
      <c r="L10" s="782" t="s">
        <v>1739</v>
      </c>
      <c r="M10" s="783">
        <f ca="1">INDIRECT("'数据-取费表'!ai"&amp;$G$1)</f>
        <v>365</v>
      </c>
    </row>
    <row r="11" spans="1:25" ht="18" customHeight="1">
      <c r="A11" s="784"/>
      <c r="B11" s="3495"/>
      <c r="C11" s="1808"/>
      <c r="D11" s="1805"/>
      <c r="E11" s="60" t="s">
        <v>640</v>
      </c>
      <c r="F11" s="792">
        <f ca="1">INDIRECT("'数据-取费表'!w"&amp;$G$1)</f>
        <v>0</v>
      </c>
      <c r="G11" s="1575"/>
      <c r="H11" s="2466"/>
      <c r="I11" s="3494"/>
      <c r="J11" s="786"/>
      <c r="K11" s="787"/>
      <c r="L11" s="793" t="s">
        <v>1740</v>
      </c>
      <c r="M11" s="794">
        <f ca="1">INDIRECT("'数据-取费表'!ab"&amp;$G$1)</f>
        <v>0</v>
      </c>
    </row>
    <row r="12" spans="1:25" ht="18" customHeight="1">
      <c r="A12" s="1812" t="s">
        <v>1824</v>
      </c>
      <c r="B12" s="2455" t="s">
        <v>2455</v>
      </c>
      <c r="C12" s="797">
        <f ca="1">ROUND(IF(F12="押一",C8/12*F13,IF(F12="押二",C8/12*2*F13,IF(F12="押三",C8/12*3*F13,C13*F13))),0)</f>
        <v>0</v>
      </c>
      <c r="D12" s="2462" t="s">
        <v>2961</v>
      </c>
      <c r="E12" s="2459" t="s">
        <v>2460</v>
      </c>
      <c r="F12" s="2582"/>
      <c r="G12" s="1575"/>
      <c r="H12" s="2522" t="s">
        <v>1824</v>
      </c>
      <c r="I12" s="2527" t="s">
        <v>2455</v>
      </c>
      <c r="J12" s="781">
        <f ca="1">ROUND(IF(M12="押一",J8/12*M13,IF(M12="押二",J8/12*2*M13,IF(M12="押三",J8/12*3*M13,J13*M13))),0)</f>
        <v>0</v>
      </c>
      <c r="K12" s="2462" t="s">
        <v>2961</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2820</v>
      </c>
      <c r="J16" s="52">
        <f ca="1">C31</f>
        <v>0</v>
      </c>
      <c r="K16" s="25"/>
      <c r="L16" s="799"/>
      <c r="M16" s="800"/>
    </row>
    <row r="17" spans="1:25" s="2046" customFormat="1" ht="18" customHeight="1">
      <c r="A17" s="801" t="s">
        <v>1848</v>
      </c>
      <c r="B17" s="782" t="s">
        <v>647</v>
      </c>
      <c r="C17" s="52">
        <f ca="1">ROUND(C16*F17,0)</f>
        <v>0</v>
      </c>
      <c r="D17" s="804" t="s">
        <v>648</v>
      </c>
      <c r="E17" s="804" t="s">
        <v>649</v>
      </c>
      <c r="F17" s="805">
        <f>'数据-取费表'!B33</f>
        <v>0.03</v>
      </c>
      <c r="G17" s="1576"/>
      <c r="H17" s="801" t="s">
        <v>2067</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1849</v>
      </c>
      <c r="B18" s="782" t="s">
        <v>650</v>
      </c>
      <c r="C18" s="52">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5" t="s">
        <v>652</v>
      </c>
      <c r="L18" s="1964"/>
      <c r="M18" s="55"/>
    </row>
    <row r="19" spans="1:25" s="2046" customFormat="1" ht="18" customHeight="1">
      <c r="A19" s="801" t="s">
        <v>1850</v>
      </c>
      <c r="B19" s="782" t="s">
        <v>653</v>
      </c>
      <c r="C19" s="52">
        <f ca="1">ROUND(F19*(INDIRECT("'数据-取费表'!k"&amp;$G$1)+INDIRECT("'数据-取费表'!S"&amp;$G$1))/10000,0)</f>
        <v>0</v>
      </c>
      <c r="D19" s="782" t="s">
        <v>654</v>
      </c>
      <c r="E19" s="782" t="s">
        <v>655</v>
      </c>
      <c r="F19" s="55">
        <f>'数据-取费表'!B35</f>
        <v>150</v>
      </c>
      <c r="G19" s="1576"/>
      <c r="H19" s="801" t="s">
        <v>2066</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2">
        <f ca="1">ROUND(C16*F20,0)</f>
        <v>0</v>
      </c>
      <c r="D20" s="782" t="s">
        <v>648</v>
      </c>
      <c r="E20" s="782" t="s">
        <v>649</v>
      </c>
      <c r="F20" s="807">
        <f>'数据-取费表'!B36</f>
        <v>1.4999999999999999E-2</v>
      </c>
      <c r="G20" s="1576"/>
      <c r="H20" s="801" t="s">
        <v>1830</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2">
        <f ca="1">SUM(C16:C20)</f>
        <v>0</v>
      </c>
      <c r="D21" s="259" t="s">
        <v>663</v>
      </c>
      <c r="E21" s="1964"/>
      <c r="F21" s="55"/>
      <c r="G21" s="1575"/>
      <c r="H21" s="1812" t="s">
        <v>1848</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2">
        <f ca="1">ROUND(C21*F22,0)</f>
        <v>0</v>
      </c>
      <c r="D22" s="810" t="s">
        <v>667</v>
      </c>
      <c r="E22" s="782" t="s">
        <v>649</v>
      </c>
      <c r="F22" s="807">
        <f>'数据-取费表'!B37</f>
        <v>0.02</v>
      </c>
      <c r="G22" s="1576"/>
      <c r="H22" s="1814" t="s">
        <v>1849</v>
      </c>
      <c r="I22" s="1804" t="s">
        <v>668</v>
      </c>
      <c r="J22" s="53">
        <f ca="1">ROUND(M22*M23/10000,0)</f>
        <v>0</v>
      </c>
      <c r="K22" s="812" t="s">
        <v>669</v>
      </c>
      <c r="L22" s="782" t="s">
        <v>670</v>
      </c>
      <c r="M22" s="638">
        <f>'数据-取费表'!B52</f>
        <v>8</v>
      </c>
      <c r="N22" s="2045"/>
      <c r="O22" s="2045"/>
      <c r="P22" s="2045"/>
      <c r="Q22" s="2045"/>
      <c r="R22" s="2045"/>
      <c r="S22" s="2045"/>
      <c r="T22" s="2045"/>
      <c r="U22" s="2045"/>
      <c r="V22" s="2045"/>
      <c r="W22" s="2045"/>
      <c r="X22" s="2045"/>
      <c r="Y22" s="2045"/>
    </row>
    <row r="23" spans="1:25" s="2046" customFormat="1" ht="18" customHeight="1">
      <c r="A23" s="801" t="s">
        <v>1877</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2"/>
      <c r="D24" s="2533" t="str">
        <f>IF(F25&lt;=1,"单利计息。","复利计息。")&amp;"建造成本、管理费用、销售费用产生的利息。"</f>
        <v>复利计息。建造成本、管理费用、销售费用产生的利息。</v>
      </c>
      <c r="E24" s="1964"/>
      <c r="F24" s="55"/>
      <c r="G24" s="1575"/>
      <c r="H24" s="1813" t="s">
        <v>2067</v>
      </c>
      <c r="I24" s="782" t="s">
        <v>676</v>
      </c>
      <c r="J24" s="52">
        <f ca="1">ROUND(J16*M24,0)</f>
        <v>0</v>
      </c>
      <c r="K24" s="1959" t="s">
        <v>677</v>
      </c>
      <c r="L24" s="782" t="s">
        <v>649</v>
      </c>
      <c r="M24" s="815">
        <f ca="1">INDIRECT("'数据-取费表'!Ak"&amp;$G$1)</f>
        <v>0</v>
      </c>
    </row>
    <row r="25" spans="1:25" s="2046" customFormat="1" ht="18" customHeight="1">
      <c r="A25" s="801" t="s">
        <v>1874</v>
      </c>
      <c r="B25" s="782" t="s">
        <v>2433</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5</v>
      </c>
      <c r="G25" s="1576"/>
      <c r="H25" s="801" t="s">
        <v>1877</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2">
        <f ca="1">ROUND(IF('数据-取费表'!B22&lt;=1,F23*F26*F25/2,F23*(POWER((1+F26),F25/2)-1)),4)</f>
        <v>2.5000000000000001E-3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2"/>
      <c r="D27" s="259" t="s">
        <v>685</v>
      </c>
      <c r="E27" s="1964"/>
      <c r="F27" s="55"/>
      <c r="G27" s="1575"/>
      <c r="H27" s="795" t="s">
        <v>1827</v>
      </c>
      <c r="I27" s="2957" t="s">
        <v>2817</v>
      </c>
      <c r="J27" s="797">
        <f ca="1">J7-J18</f>
        <v>0</v>
      </c>
      <c r="K27" s="1961" t="s">
        <v>700</v>
      </c>
      <c r="L27" s="1963"/>
      <c r="M27" s="818"/>
    </row>
    <row r="28" spans="1:25" ht="18" customHeight="1">
      <c r="A28" s="801" t="s">
        <v>1874</v>
      </c>
      <c r="B28" s="782" t="s">
        <v>2434</v>
      </c>
      <c r="C28" s="52">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2818</v>
      </c>
      <c r="C31" s="2505">
        <f ca="1">ROUND((C21+C22+C25+C28)/(1-F23-C26-C29-C30),0)</f>
        <v>0</v>
      </c>
      <c r="D31" s="2506"/>
      <c r="E31" s="2507"/>
      <c r="F31" s="2508"/>
      <c r="G31" s="1576"/>
      <c r="H31" s="821" t="s">
        <v>1871</v>
      </c>
      <c r="I31" s="2958" t="s">
        <v>2819</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2">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3">
        <f ca="1">ROUND(F36*F37/10000,1)</f>
        <v>0</v>
      </c>
      <c r="D36" s="812" t="s">
        <v>669</v>
      </c>
      <c r="E36" s="782" t="s">
        <v>670</v>
      </c>
      <c r="F36" s="638">
        <f>'数据-取费表'!B52</f>
        <v>8</v>
      </c>
      <c r="G36" s="2044"/>
      <c r="H36" s="2047"/>
      <c r="I36" s="3491"/>
      <c r="J36" s="2061"/>
      <c r="K36" s="2062"/>
      <c r="L36" s="2061"/>
      <c r="M36" s="2061"/>
    </row>
    <row r="37" spans="1:18" ht="18" customHeight="1">
      <c r="A37" s="813"/>
      <c r="B37" s="791"/>
      <c r="C37" s="68"/>
      <c r="D37" s="814"/>
      <c r="E37" s="782" t="s">
        <v>674</v>
      </c>
      <c r="F37" s="783">
        <f ca="1">INDIRECT("'数据-取费表'!r"&amp;$G$1)</f>
        <v>0</v>
      </c>
      <c r="G37" s="2044"/>
      <c r="H37" s="2047"/>
      <c r="I37" s="3491"/>
      <c r="J37" s="2059"/>
      <c r="K37" s="2060"/>
      <c r="L37" s="2059"/>
      <c r="M37" s="2059"/>
    </row>
    <row r="38" spans="1:18" ht="18" customHeight="1">
      <c r="A38" s="801" t="s">
        <v>1876</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65" t="s">
        <v>2949</v>
      </c>
      <c r="F43" s="3066">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3">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7" t="s">
        <v>2952</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098" t="str">
        <f ca="1">IF(M48="住宅",0,IF(L49&gt;J52,L61,J61))</f>
        <v>0</v>
      </c>
      <c r="O47" s="2355" t="s">
        <v>2406</v>
      </c>
      <c r="P47" s="1575"/>
      <c r="Q47" s="1586"/>
      <c r="R47" s="1575"/>
    </row>
    <row r="48" spans="1:18" s="2041" customFormat="1" ht="18" customHeight="1" thickBot="1">
      <c r="A48" s="2066"/>
      <c r="C48" s="2069"/>
      <c r="D48" s="2070"/>
      <c r="E48" s="2070"/>
      <c r="F48" s="2071"/>
      <c r="G48" s="2072"/>
      <c r="I48" s="3089" t="s">
        <v>2340</v>
      </c>
      <c r="J48" s="2342"/>
      <c r="K48" s="3095" t="s">
        <v>2345</v>
      </c>
      <c r="L48" s="3099">
        <f ca="1">INDIRECT("'数据-取费表'!d"&amp;$G$1)</f>
        <v>0</v>
      </c>
      <c r="M48" s="3064"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68" t="s">
        <v>2341</v>
      </c>
      <c r="J49" s="2343"/>
      <c r="K49" s="3096"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68" t="s">
        <v>2342</v>
      </c>
      <c r="J50" s="2344"/>
      <c r="K50" s="3097"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68" t="s">
        <v>2343</v>
      </c>
      <c r="J51" s="3093">
        <f>SUMPRODUCT((I64:I66=J48)*(J63:L63=J49)*(J64:L66))</f>
        <v>0</v>
      </c>
      <c r="K51" s="3097" t="s">
        <v>2349</v>
      </c>
      <c r="L51" s="2345"/>
      <c r="O51" s="2362" t="s">
        <v>2379</v>
      </c>
      <c r="P51" s="2360" t="s">
        <v>2403</v>
      </c>
      <c r="Q51" s="2361">
        <f ca="1">C31</f>
        <v>0</v>
      </c>
      <c r="R51" s="2360" t="s">
        <v>2376</v>
      </c>
    </row>
    <row r="52" spans="1:18" s="2041" customFormat="1" ht="18" customHeight="1" thickBot="1">
      <c r="A52" s="2078"/>
      <c r="F52" s="2067"/>
      <c r="I52" s="3090" t="s">
        <v>2344</v>
      </c>
      <c r="J52" s="3094">
        <f>IF(J50="",J51,J50+J51-YEAR('数据-取费表'!B3))</f>
        <v>0</v>
      </c>
      <c r="K52" s="3068" t="s">
        <v>2350</v>
      </c>
      <c r="L52" s="3100">
        <f ca="1">ROUND(-PV(INDIRECT("'数据-取费表'!h"&amp;$G$1),L49,(C40-C14*J36),0),0)</f>
        <v>0</v>
      </c>
      <c r="O52" s="2362" t="s">
        <v>2380</v>
      </c>
      <c r="P52" s="2360" t="s">
        <v>2381</v>
      </c>
      <c r="Q52" s="2363" t="e">
        <f ca="1">J59</f>
        <v>#VALUE!</v>
      </c>
      <c r="R52" s="2364"/>
    </row>
    <row r="53" spans="1:18" s="2041" customFormat="1" ht="18" customHeight="1" thickBot="1">
      <c r="A53" s="2078"/>
      <c r="F53" s="2067"/>
      <c r="I53" s="3091" t="s">
        <v>2417</v>
      </c>
      <c r="J53" s="2346"/>
      <c r="K53" s="3091" t="s">
        <v>2416</v>
      </c>
      <c r="L53" s="2346"/>
      <c r="O53" s="2362" t="s">
        <v>2382</v>
      </c>
      <c r="P53" s="2360" t="s">
        <v>2383</v>
      </c>
      <c r="Q53" s="2363">
        <f>J53</f>
        <v>0</v>
      </c>
      <c r="R53" s="2364"/>
    </row>
    <row r="54" spans="1:18" s="2041" customFormat="1" ht="29.25" thickBot="1">
      <c r="A54" s="2078"/>
      <c r="I54" s="3092" t="s">
        <v>2965</v>
      </c>
      <c r="J54" s="3171">
        <f ca="1">IF(M48="住宅",MAX(J52,L49-'数据-取费表'!B20),MIN(J52,L49-'数据-取费表'!B20))</f>
        <v>-5</v>
      </c>
      <c r="K54" s="3496"/>
      <c r="L54" s="3497"/>
      <c r="O54" s="2362" t="s">
        <v>2384</v>
      </c>
      <c r="P54" s="2360" t="s">
        <v>2385</v>
      </c>
      <c r="Q54" s="2361">
        <f ca="1">J54</f>
        <v>-5</v>
      </c>
      <c r="R54" s="2360" t="s">
        <v>2386</v>
      </c>
    </row>
    <row r="55" spans="1:18" s="2041" customFormat="1" ht="18" customHeight="1" thickBot="1">
      <c r="A55" s="2078"/>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9" t="s">
        <v>2387</v>
      </c>
      <c r="P55" s="2360" t="s">
        <v>2404</v>
      </c>
      <c r="Q55" s="2361">
        <f ca="1">Q49+Q50</f>
        <v>0</v>
      </c>
      <c r="R55" s="2364" t="s">
        <v>2388</v>
      </c>
    </row>
    <row r="56" spans="1:18" s="2041" customFormat="1" ht="16.5" thickBot="1">
      <c r="A56" s="2078"/>
      <c r="B56" s="2079"/>
      <c r="C56" s="2079"/>
      <c r="I56" s="3103" t="s">
        <v>2351</v>
      </c>
      <c r="J56" s="3044" t="e">
        <f ca="1">ROUND(IF(J48="钢混",J58/J51,1-(1-2%)*(J51-J58)/J51),3)</f>
        <v>#VALUE!</v>
      </c>
      <c r="K56" s="3104" t="s">
        <v>2352</v>
      </c>
      <c r="L56" s="2347"/>
      <c r="O56" s="2365" t="s">
        <v>2407</v>
      </c>
      <c r="P56" s="1575"/>
      <c r="Q56" s="1586"/>
      <c r="R56" s="1575"/>
    </row>
    <row r="57" spans="1:18" s="2041" customFormat="1" ht="43.5" thickBot="1">
      <c r="A57" s="2078"/>
      <c r="B57" s="2079"/>
      <c r="C57" s="2079"/>
      <c r="I57" s="3105" t="s">
        <v>2353</v>
      </c>
      <c r="J57" s="3115" t="s">
        <v>1677</v>
      </c>
      <c r="K57" s="3068" t="s">
        <v>2358</v>
      </c>
      <c r="L57" s="1890">
        <f ca="1">IF(L49&lt;J52,"——",L49-J52)</f>
        <v>0</v>
      </c>
      <c r="O57" s="2356" t="s">
        <v>2371</v>
      </c>
      <c r="P57" s="2357" t="s">
        <v>2372</v>
      </c>
      <c r="Q57" s="2358" t="s">
        <v>2373</v>
      </c>
      <c r="R57" s="2357" t="s">
        <v>2374</v>
      </c>
    </row>
    <row r="58" spans="1:18" s="2041" customFormat="1" ht="29.25" thickBot="1">
      <c r="A58" s="2078"/>
      <c r="B58" s="2079"/>
      <c r="C58" s="2079"/>
      <c r="I58" s="3106" t="s">
        <v>2354</v>
      </c>
      <c r="J58" s="3107" t="str">
        <f ca="1">IF(OR(M48="住宅",J52&lt;L49,J57="是"),"——",J52-L49)</f>
        <v>——</v>
      </c>
      <c r="K58" s="3068"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06" t="s">
        <v>2355</v>
      </c>
      <c r="J59" s="3045" t="e">
        <f ca="1">IF(J56&lt;0.4,0.4,J56)</f>
        <v>#VALUE!</v>
      </c>
      <c r="K59" s="3068"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06" t="s">
        <v>2356</v>
      </c>
      <c r="J60" s="3107" t="str">
        <f ca="1">IF(OR(M48="住宅",J52&lt;L49,J57="是"),"——",ROUND(C30*J59,0))</f>
        <v>——</v>
      </c>
      <c r="K60" s="3068"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08" t="s">
        <v>2357</v>
      </c>
      <c r="J61" s="3109" t="str">
        <f ca="1">IF(OR(M48="住宅",J52&lt;L49,J57="是"),"0",ROUND(J60/(1+J53)^J54,0))</f>
        <v>0</v>
      </c>
      <c r="K61" s="3110" t="s">
        <v>2362</v>
      </c>
      <c r="L61" s="3109"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1" t="s">
        <v>2363</v>
      </c>
      <c r="J63" s="3112" t="s">
        <v>2364</v>
      </c>
      <c r="K63" s="3112" t="s">
        <v>2365</v>
      </c>
      <c r="L63" s="3112" t="s">
        <v>2346</v>
      </c>
      <c r="M63" s="3113" t="s">
        <v>2930</v>
      </c>
      <c r="O63" s="2362" t="s">
        <v>2384</v>
      </c>
      <c r="P63" s="2360" t="s">
        <v>2392</v>
      </c>
      <c r="Q63" s="2361">
        <f ca="1">L60</f>
        <v>0</v>
      </c>
      <c r="R63" s="2364" t="s">
        <v>2393</v>
      </c>
    </row>
    <row r="64" spans="1:18" s="2041" customFormat="1" ht="15.75" thickBot="1">
      <c r="A64" s="2078"/>
      <c r="B64" s="2079"/>
      <c r="C64" s="2079"/>
      <c r="I64" s="3111" t="s">
        <v>2366</v>
      </c>
      <c r="J64" s="3112">
        <v>70</v>
      </c>
      <c r="K64" s="3112">
        <v>50</v>
      </c>
      <c r="L64" s="3112">
        <v>80</v>
      </c>
      <c r="M64" s="3114">
        <v>0.02</v>
      </c>
      <c r="O64" s="2359" t="s">
        <v>2387</v>
      </c>
      <c r="P64" s="2360" t="s">
        <v>2404</v>
      </c>
      <c r="Q64" s="2361" t="e">
        <f ca="1">Q58+Q59</f>
        <v>#DIV/0!</v>
      </c>
      <c r="R64" s="2364" t="s">
        <v>2388</v>
      </c>
    </row>
    <row r="65" spans="1:18" s="2041" customFormat="1" ht="16.5" thickBot="1">
      <c r="A65" s="2078"/>
      <c r="B65" s="2079"/>
      <c r="C65" s="2079"/>
      <c r="I65" s="3111" t="s">
        <v>2367</v>
      </c>
      <c r="J65" s="3112">
        <v>50</v>
      </c>
      <c r="K65" s="3112">
        <v>35</v>
      </c>
      <c r="L65" s="3112">
        <v>60</v>
      </c>
      <c r="M65" s="844">
        <v>0</v>
      </c>
      <c r="O65" s="2365" t="s">
        <v>2411</v>
      </c>
      <c r="P65" s="1575"/>
      <c r="Q65" s="1586"/>
      <c r="R65" s="1575"/>
    </row>
    <row r="66" spans="1:18" s="2041" customFormat="1" ht="15.75" thickBot="1">
      <c r="A66" s="2078"/>
      <c r="B66" s="2079"/>
      <c r="C66" s="2079"/>
      <c r="I66" s="3111" t="s">
        <v>2368</v>
      </c>
      <c r="J66" s="3112">
        <v>40</v>
      </c>
      <c r="K66" s="3112">
        <v>30</v>
      </c>
      <c r="L66" s="3112">
        <v>50</v>
      </c>
      <c r="M66" s="3114">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8" sqref="K1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207" t="s">
        <v>3066</v>
      </c>
      <c r="E1" s="2586"/>
      <c r="F1" s="2758" t="s">
        <v>3065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10898</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24" t="s">
        <v>522</v>
      </c>
      <c r="D4" s="3425"/>
      <c r="E4" s="3448" t="s">
        <v>523</v>
      </c>
      <c r="F4" s="3449"/>
      <c r="G4" s="3424" t="s">
        <v>524</v>
      </c>
      <c r="H4" s="3425"/>
      <c r="I4" s="3424" t="s">
        <v>525</v>
      </c>
      <c r="J4" s="3425"/>
      <c r="K4" s="851"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07" t="s">
        <v>524</v>
      </c>
      <c r="AC4" s="3407" t="s">
        <v>525</v>
      </c>
    </row>
    <row r="5" spans="1:29" ht="15">
      <c r="A5" s="513"/>
      <c r="B5" s="514"/>
      <c r="C5" s="3435" t="s">
        <v>2917</v>
      </c>
      <c r="D5" s="3436"/>
      <c r="E5" s="3498" t="s">
        <v>3102</v>
      </c>
      <c r="F5" s="3499"/>
      <c r="G5" s="3500" t="s">
        <v>3103</v>
      </c>
      <c r="H5" s="3501"/>
      <c r="I5" s="3500" t="s">
        <v>3105</v>
      </c>
      <c r="J5" s="3501"/>
      <c r="K5" s="85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2921</v>
      </c>
      <c r="D6" s="3434"/>
      <c r="E6" s="3452" t="s">
        <v>2921</v>
      </c>
      <c r="F6" s="3453"/>
      <c r="G6" s="3433" t="s">
        <v>2921</v>
      </c>
      <c r="H6" s="3434"/>
      <c r="I6" s="3433" t="s">
        <v>2921</v>
      </c>
      <c r="J6" s="3434"/>
      <c r="K6" s="85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862"/>
      <c r="B7" s="2869" t="s">
        <v>529</v>
      </c>
      <c r="C7" s="517">
        <f>'数据-取费表'!B2</f>
        <v>43805</v>
      </c>
      <c r="D7" s="518">
        <v>100</v>
      </c>
      <c r="E7" s="519">
        <f>C7</f>
        <v>43805</v>
      </c>
      <c r="F7" s="520">
        <f>SUMIF(58:58,YEAR(E7)&amp;"-"&amp;MONTH(E7),59:59)</f>
        <v>100</v>
      </c>
      <c r="G7" s="521">
        <f>C7</f>
        <v>43805</v>
      </c>
      <c r="H7" s="518">
        <f>SUMIF(58:58,YEAR(G7)&amp;"-"&amp;MONTH(G7),59:59)</f>
        <v>100</v>
      </c>
      <c r="I7" s="521">
        <f>C7</f>
        <v>43805</v>
      </c>
      <c r="J7" s="518">
        <f>SUMIF(58:58,YEAR(I7)&amp;"-"&amp;MONTH(I7),59:59)</f>
        <v>100</v>
      </c>
      <c r="K7" s="853"/>
      <c r="L7" s="2117"/>
      <c r="M7" s="2118"/>
      <c r="N7" s="2118"/>
      <c r="O7" s="2118"/>
      <c r="P7" s="3410" t="s">
        <v>530</v>
      </c>
      <c r="Q7" s="3419"/>
      <c r="R7" s="1551" t="s">
        <v>13</v>
      </c>
      <c r="S7" s="1552">
        <f t="shared" ref="S7:S15" si="0">F7</f>
        <v>100</v>
      </c>
      <c r="T7" s="1551" t="s">
        <v>13</v>
      </c>
      <c r="U7" s="1552">
        <f t="shared" ref="U7:U15" si="1">H7</f>
        <v>100</v>
      </c>
      <c r="V7" s="1551" t="s">
        <v>13</v>
      </c>
      <c r="W7" s="1552">
        <f t="shared" ref="W7:W15" si="2">J7</f>
        <v>100</v>
      </c>
      <c r="X7" s="1553"/>
      <c r="Y7" s="3410" t="s">
        <v>530</v>
      </c>
      <c r="Z7" s="3411"/>
      <c r="AA7" s="1554">
        <f>D7/F7</f>
        <v>1</v>
      </c>
      <c r="AB7" s="1554">
        <f>D7/H7</f>
        <v>1</v>
      </c>
      <c r="AC7" s="1554">
        <f>D7/J7</f>
        <v>1</v>
      </c>
    </row>
    <row r="8" spans="1:29" s="1213" customFormat="1" ht="15.75" thickBot="1">
      <c r="A8" s="2863"/>
      <c r="B8" s="2870" t="s">
        <v>531</v>
      </c>
      <c r="C8" s="523" t="s">
        <v>3036</v>
      </c>
      <c r="D8" s="518">
        <v>100</v>
      </c>
      <c r="E8" s="523" t="s">
        <v>3036</v>
      </c>
      <c r="F8" s="520">
        <f>SUMIF(61:61,E8,62:62)-SUMIF(61:61,C8,62:62)+100</f>
        <v>100</v>
      </c>
      <c r="G8" s="523" t="s">
        <v>3036</v>
      </c>
      <c r="H8" s="518">
        <f>SUMIF(61:61,G8,62:62)-SUMIF(61:61,C8,62:62)+100</f>
        <v>100</v>
      </c>
      <c r="I8" s="523" t="s">
        <v>3036</v>
      </c>
      <c r="J8" s="518">
        <f>SUMIF(61:61,I8,62:62)-SUMIF(61:61,C8,62:62)+100</f>
        <v>100</v>
      </c>
      <c r="K8" s="853"/>
      <c r="L8" s="2117"/>
      <c r="M8" s="2118"/>
      <c r="N8" s="2118"/>
      <c r="O8" s="2118"/>
      <c r="P8" s="3410" t="s">
        <v>533</v>
      </c>
      <c r="Q8" s="3411"/>
      <c r="R8" s="1551" t="s">
        <v>13</v>
      </c>
      <c r="S8" s="1552">
        <f t="shared" si="0"/>
        <v>100</v>
      </c>
      <c r="T8" s="1551" t="s">
        <v>13</v>
      </c>
      <c r="U8" s="1552">
        <f t="shared" si="1"/>
        <v>100</v>
      </c>
      <c r="V8" s="1551" t="s">
        <v>13</v>
      </c>
      <c r="W8" s="1552">
        <f t="shared" si="2"/>
        <v>100</v>
      </c>
      <c r="X8" s="1553"/>
      <c r="Y8" s="3410" t="s">
        <v>533</v>
      </c>
      <c r="Z8" s="3411"/>
      <c r="AA8" s="1554">
        <f t="shared" ref="AA8:AA46" si="3">D8/F8</f>
        <v>1</v>
      </c>
      <c r="AB8" s="1554">
        <f t="shared" ref="AB8:AB46" si="4">D8/H8</f>
        <v>1</v>
      </c>
      <c r="AC8" s="1554">
        <f t="shared" ref="AC8:AC46" si="5">D8/J8</f>
        <v>1</v>
      </c>
    </row>
    <row r="9" spans="1:29" s="1213" customFormat="1" ht="15">
      <c r="A9" s="2864"/>
      <c r="B9" s="2871" t="s">
        <v>2751</v>
      </c>
      <c r="C9" s="3180" t="s">
        <v>3037</v>
      </c>
      <c r="D9" s="252">
        <v>100</v>
      </c>
      <c r="E9" s="3180" t="s">
        <v>3037</v>
      </c>
      <c r="F9" s="857">
        <f>SUMIF(63:63,E9,64:64)-SUMIF(63:63,C9,64:64)+100</f>
        <v>100</v>
      </c>
      <c r="G9" s="3180" t="s">
        <v>3037</v>
      </c>
      <c r="H9" s="252">
        <f>SUMIF(63:63,G9,64:64)-SUMIF(63:63,C9,64:64)+100</f>
        <v>100</v>
      </c>
      <c r="I9" s="3180" t="s">
        <v>3037</v>
      </c>
      <c r="J9" s="252">
        <f>SUMIF(63:63,I9,64:64)-SUMIF(63:63,C9,64:64)+100</f>
        <v>100</v>
      </c>
      <c r="K9" s="853"/>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75" t="s">
        <v>536</v>
      </c>
      <c r="Z9" s="1143" t="str">
        <f t="shared" ref="Z9:Z15" si="7">Q9</f>
        <v>用途</v>
      </c>
      <c r="AA9" s="1554">
        <f t="shared" si="3"/>
        <v>1</v>
      </c>
      <c r="AB9" s="1554">
        <f t="shared" si="4"/>
        <v>1</v>
      </c>
      <c r="AC9" s="1554">
        <f t="shared" si="5"/>
        <v>1</v>
      </c>
    </row>
    <row r="10" spans="1:29" s="1331" customFormat="1" ht="27">
      <c r="A10" s="2865"/>
      <c r="B10" s="2870" t="s">
        <v>2752</v>
      </c>
      <c r="C10" s="859" t="s">
        <v>3038</v>
      </c>
      <c r="D10" s="253">
        <v>100</v>
      </c>
      <c r="E10" s="859" t="s">
        <v>3038</v>
      </c>
      <c r="F10" s="861">
        <f>SUMIF(65:65,E10,66:66)-SUMIF(65:65,C10,66:66)+100</f>
        <v>100</v>
      </c>
      <c r="G10" s="859" t="s">
        <v>3038</v>
      </c>
      <c r="H10" s="253">
        <f>SUMIF(65:65,G10,66:66)-SUMIF(65:65,C10,66:66)+100</f>
        <v>100</v>
      </c>
      <c r="I10" s="859" t="s">
        <v>3038</v>
      </c>
      <c r="J10" s="253">
        <f>SUMIF(65:65,I10,66:66)-SUMIF(65:65,C10,66:66)+100</f>
        <v>100</v>
      </c>
      <c r="K10" s="862">
        <v>2</v>
      </c>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75" thickBot="1">
      <c r="A11" s="2866"/>
      <c r="B11" s="2870" t="s">
        <v>2753</v>
      </c>
      <c r="C11" s="531">
        <v>2</v>
      </c>
      <c r="D11" s="253">
        <v>100</v>
      </c>
      <c r="E11" s="531">
        <v>1.5</v>
      </c>
      <c r="F11" s="861">
        <f>LOOKUP(E11,68:68,69:69)-LOOKUP(C11,68:68,69:69)+100</f>
        <v>102</v>
      </c>
      <c r="G11" s="531">
        <v>1.1000000000000001</v>
      </c>
      <c r="H11" s="253">
        <f>LOOKUP(G11,68:68,69:69)-LOOKUP(C11,68:68,69:69)+100</f>
        <v>102</v>
      </c>
      <c r="I11" s="531">
        <v>2</v>
      </c>
      <c r="J11" s="253">
        <f>LOOKUP(I11,68:68,69:69)-LOOKUP(C11,68:68,69:69)+100</f>
        <v>100</v>
      </c>
      <c r="K11" s="862">
        <v>2</v>
      </c>
      <c r="L11" s="2122"/>
      <c r="M11" s="2116"/>
      <c r="N11" s="2116"/>
      <c r="O11" s="2123"/>
      <c r="P11" s="3418"/>
      <c r="Q11" s="1144" t="str">
        <f t="shared" si="6"/>
        <v>容积率</v>
      </c>
      <c r="R11" s="1551" t="s">
        <v>11</v>
      </c>
      <c r="S11" s="1552">
        <f t="shared" si="0"/>
        <v>102</v>
      </c>
      <c r="T11" s="1551" t="s">
        <v>11</v>
      </c>
      <c r="U11" s="1552">
        <f t="shared" si="1"/>
        <v>102</v>
      </c>
      <c r="V11" s="1551" t="s">
        <v>11</v>
      </c>
      <c r="W11" s="1552">
        <f t="shared" si="2"/>
        <v>100</v>
      </c>
      <c r="X11" s="1553"/>
      <c r="Y11" s="3375"/>
      <c r="Z11" s="1143" t="str">
        <f t="shared" si="7"/>
        <v>容积率</v>
      </c>
      <c r="AA11" s="1554">
        <f t="shared" si="3"/>
        <v>0.98039215686274506</v>
      </c>
      <c r="AB11" s="1554">
        <f t="shared" si="4"/>
        <v>0.98039215686274506</v>
      </c>
      <c r="AC11" s="1554">
        <f t="shared" si="5"/>
        <v>1</v>
      </c>
    </row>
    <row r="12" spans="1:29" s="1213" customFormat="1" ht="15" hidden="1">
      <c r="A12" s="2867"/>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18"/>
      <c r="Q12" s="1144">
        <f t="shared" si="6"/>
        <v>111</v>
      </c>
      <c r="R12" s="1551" t="s">
        <v>11</v>
      </c>
      <c r="S12" s="1552">
        <f t="shared" si="0"/>
        <v>100</v>
      </c>
      <c r="T12" s="1551" t="s">
        <v>11</v>
      </c>
      <c r="U12" s="1552">
        <f t="shared" si="1"/>
        <v>100</v>
      </c>
      <c r="V12" s="1551" t="s">
        <v>11</v>
      </c>
      <c r="W12" s="1552">
        <f t="shared" si="2"/>
        <v>100</v>
      </c>
      <c r="X12" s="1553"/>
      <c r="Y12" s="3375"/>
      <c r="Z12" s="1143">
        <f t="shared" si="7"/>
        <v>111</v>
      </c>
      <c r="AA12" s="1554">
        <f>D12/F12</f>
        <v>1</v>
      </c>
      <c r="AB12" s="1554">
        <f>D12/H12</f>
        <v>1</v>
      </c>
      <c r="AC12" s="1554">
        <f>D12/J12</f>
        <v>1</v>
      </c>
    </row>
    <row r="13" spans="1:29" ht="15" hidden="1">
      <c r="A13" s="2867"/>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18"/>
      <c r="Q13" s="1144">
        <f t="shared" si="6"/>
        <v>111</v>
      </c>
      <c r="R13" s="1551" t="s">
        <v>11</v>
      </c>
      <c r="S13" s="1552">
        <f t="shared" si="0"/>
        <v>100</v>
      </c>
      <c r="T13" s="1551" t="s">
        <v>11</v>
      </c>
      <c r="U13" s="1552">
        <f t="shared" si="1"/>
        <v>100</v>
      </c>
      <c r="V13" s="1551" t="s">
        <v>11</v>
      </c>
      <c r="W13" s="1552">
        <f t="shared" si="2"/>
        <v>100</v>
      </c>
      <c r="X13" s="1553"/>
      <c r="Y13" s="3375"/>
      <c r="Z13" s="1143">
        <f t="shared" si="7"/>
        <v>111</v>
      </c>
      <c r="AA13" s="1554">
        <f t="shared" si="3"/>
        <v>1</v>
      </c>
      <c r="AB13" s="1554">
        <f t="shared" si="4"/>
        <v>1</v>
      </c>
      <c r="AC13" s="1554">
        <f t="shared" si="5"/>
        <v>1</v>
      </c>
    </row>
    <row r="14" spans="1:29" ht="15.75" hidden="1" thickBot="1">
      <c r="A14" s="2868"/>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18"/>
      <c r="Q14" s="1144">
        <f t="shared" si="6"/>
        <v>111</v>
      </c>
      <c r="R14" s="1551" t="s">
        <v>11</v>
      </c>
      <c r="S14" s="1552">
        <f t="shared" si="0"/>
        <v>100</v>
      </c>
      <c r="T14" s="1551" t="s">
        <v>11</v>
      </c>
      <c r="U14" s="1552">
        <f t="shared" si="1"/>
        <v>100</v>
      </c>
      <c r="V14" s="1551" t="s">
        <v>11</v>
      </c>
      <c r="W14" s="1552">
        <f t="shared" si="2"/>
        <v>100</v>
      </c>
      <c r="X14" s="1553"/>
      <c r="Y14" s="3375"/>
      <c r="Z14" s="1143">
        <f t="shared" si="7"/>
        <v>111</v>
      </c>
      <c r="AA14" s="1554">
        <f t="shared" si="3"/>
        <v>1</v>
      </c>
      <c r="AB14" s="1554">
        <f t="shared" si="4"/>
        <v>1</v>
      </c>
      <c r="AC14" s="1554">
        <f t="shared" si="5"/>
        <v>1</v>
      </c>
    </row>
    <row r="15" spans="1:29" ht="114">
      <c r="A15" s="2860" t="s">
        <v>2749</v>
      </c>
      <c r="B15" s="165" t="s">
        <v>295</v>
      </c>
      <c r="C15" s="865" t="str">
        <f>估价对象房地状况!C3</f>
        <v>估价对象周边居住用地比例较大，但尚未发展成熟，多为在建建筑物，社区发展一般，综合评价居住社区成熟度一般</v>
      </c>
      <c r="D15" s="547">
        <v>100</v>
      </c>
      <c r="E15" s="3195" t="s">
        <v>3096</v>
      </c>
      <c r="F15" s="549">
        <f>SUMIF(76:76,E16,77:77)-SUMIF(76:76,C16,77:77)+100</f>
        <v>100</v>
      </c>
      <c r="G15" s="3194" t="s">
        <v>3099</v>
      </c>
      <c r="H15" s="547">
        <f>SUMIF(76:76,G16,77:77)-SUMIF(76:76,C16,77:77)+100</f>
        <v>103</v>
      </c>
      <c r="I15" s="3195" t="s">
        <v>3096</v>
      </c>
      <c r="J15" s="547">
        <f>SUMIF(76:76,I16,77:77)-SUMIF(76:76,C16,77:77)+100</f>
        <v>100</v>
      </c>
      <c r="K15" s="866">
        <v>3</v>
      </c>
      <c r="L15" s="2124"/>
      <c r="M15" s="2116"/>
      <c r="N15" s="2116"/>
      <c r="O15" s="2123"/>
      <c r="P15" s="3420" t="s">
        <v>540</v>
      </c>
      <c r="Q15" s="1555" t="str">
        <f t="shared" si="6"/>
        <v>居住社区成熟度</v>
      </c>
      <c r="R15" s="1556" t="s">
        <v>11</v>
      </c>
      <c r="S15" s="1557">
        <f t="shared" si="0"/>
        <v>100</v>
      </c>
      <c r="T15" s="1556" t="s">
        <v>11</v>
      </c>
      <c r="U15" s="1557">
        <f t="shared" si="1"/>
        <v>103</v>
      </c>
      <c r="V15" s="1556" t="s">
        <v>11</v>
      </c>
      <c r="W15" s="1557">
        <f t="shared" si="2"/>
        <v>100</v>
      </c>
      <c r="X15" s="1550"/>
      <c r="Y15" s="3420" t="s">
        <v>540</v>
      </c>
      <c r="Z15" s="1558" t="str">
        <f t="shared" si="7"/>
        <v>居住社区成熟度</v>
      </c>
      <c r="AA15" s="1559">
        <f t="shared" si="3"/>
        <v>1</v>
      </c>
      <c r="AB15" s="1559">
        <f t="shared" si="4"/>
        <v>0.970873786407767</v>
      </c>
      <c r="AC15" s="1559">
        <f t="shared" si="5"/>
        <v>1</v>
      </c>
    </row>
    <row r="16" spans="1:29" ht="15">
      <c r="A16" s="530"/>
      <c r="B16" s="867"/>
      <c r="C16" s="574" t="s">
        <v>3030</v>
      </c>
      <c r="D16" s="553"/>
      <c r="E16" s="574" t="s">
        <v>3030</v>
      </c>
      <c r="F16" s="555"/>
      <c r="G16" s="556" t="s">
        <v>3029</v>
      </c>
      <c r="H16" s="557"/>
      <c r="I16" s="574" t="s">
        <v>3030</v>
      </c>
      <c r="J16" s="553"/>
      <c r="K16" s="868"/>
      <c r="L16" s="2124"/>
      <c r="M16" s="2116"/>
      <c r="N16" s="2116"/>
      <c r="O16" s="2123"/>
      <c r="P16" s="3421"/>
      <c r="Q16" s="1555"/>
      <c r="R16" s="1556"/>
      <c r="S16" s="1557"/>
      <c r="T16" s="1556"/>
      <c r="U16" s="1557"/>
      <c r="V16" s="1556"/>
      <c r="W16" s="1557"/>
      <c r="X16" s="1550"/>
      <c r="Y16" s="3421"/>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79" t="s">
        <v>3097</v>
      </c>
      <c r="F17" s="561">
        <f>SUMIF(78:78,E18,79:79)-SUMIF(78:78,C18,79:79)+100</f>
        <v>100</v>
      </c>
      <c r="G17" s="3178" t="s">
        <v>3097</v>
      </c>
      <c r="H17" s="563">
        <f>SUMIF(78:78,G18,79:79)-SUMIF(78:78,C18,79:79)+100</f>
        <v>100</v>
      </c>
      <c r="I17" s="3179" t="s">
        <v>3097</v>
      </c>
      <c r="J17" s="563">
        <f>SUMIF(78:78,I18,79:79)-SUMIF(78:78,C18,79:79)+100</f>
        <v>100</v>
      </c>
      <c r="K17" s="866">
        <v>2</v>
      </c>
      <c r="L17" s="2124"/>
      <c r="M17" s="2116"/>
      <c r="N17" s="2116"/>
      <c r="O17" s="2123"/>
      <c r="P17" s="3421"/>
      <c r="Q17" s="1555" t="str">
        <f>B17</f>
        <v>交通便捷度</v>
      </c>
      <c r="R17" s="1556" t="s">
        <v>11</v>
      </c>
      <c r="S17" s="1557">
        <f>F17</f>
        <v>100</v>
      </c>
      <c r="T17" s="1556" t="s">
        <v>11</v>
      </c>
      <c r="U17" s="1557">
        <f>H17</f>
        <v>100</v>
      </c>
      <c r="V17" s="1556" t="s">
        <v>11</v>
      </c>
      <c r="W17" s="1557">
        <f>J17</f>
        <v>100</v>
      </c>
      <c r="X17" s="1550"/>
      <c r="Y17" s="3421"/>
      <c r="Z17" s="1558" t="str">
        <f>Q17</f>
        <v>交通便捷度</v>
      </c>
      <c r="AA17" s="1559">
        <f t="shared" si="3"/>
        <v>1</v>
      </c>
      <c r="AB17" s="1559">
        <f t="shared" si="4"/>
        <v>1</v>
      </c>
      <c r="AC17" s="1559">
        <f t="shared" si="5"/>
        <v>1</v>
      </c>
    </row>
    <row r="18" spans="1:29" ht="15">
      <c r="A18" s="530"/>
      <c r="B18" s="593"/>
      <c r="C18" s="574" t="s">
        <v>3030</v>
      </c>
      <c r="D18" s="557"/>
      <c r="E18" s="574" t="s">
        <v>3030</v>
      </c>
      <c r="F18" s="561"/>
      <c r="G18" s="574" t="s">
        <v>3030</v>
      </c>
      <c r="H18" s="553"/>
      <c r="I18" s="566" t="s">
        <v>3030</v>
      </c>
      <c r="J18" s="553"/>
      <c r="K18" s="868"/>
      <c r="L18" s="2124"/>
      <c r="M18" s="2116"/>
      <c r="N18" s="2116"/>
      <c r="O18" s="2123"/>
      <c r="P18" s="3421"/>
      <c r="Q18" s="1555"/>
      <c r="R18" s="1556"/>
      <c r="S18" s="1557"/>
      <c r="T18" s="1556"/>
      <c r="U18" s="1557"/>
      <c r="V18" s="1556"/>
      <c r="W18" s="1557"/>
      <c r="X18" s="1550"/>
      <c r="Y18" s="3421"/>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21"/>
      <c r="Q19" s="1555" t="str">
        <f>B19</f>
        <v>公共配套设施</v>
      </c>
      <c r="R19" s="1556" t="s">
        <v>11</v>
      </c>
      <c r="S19" s="1557">
        <f>F19</f>
        <v>100</v>
      </c>
      <c r="T19" s="1556" t="s">
        <v>11</v>
      </c>
      <c r="U19" s="1557">
        <f>H19</f>
        <v>100</v>
      </c>
      <c r="V19" s="1556" t="s">
        <v>11</v>
      </c>
      <c r="W19" s="1557">
        <f>J19</f>
        <v>100</v>
      </c>
      <c r="X19" s="1550"/>
      <c r="Y19" s="3421"/>
      <c r="Z19" s="1558" t="str">
        <f>Q19</f>
        <v>公共配套设施</v>
      </c>
      <c r="AA19" s="1559">
        <f t="shared" si="3"/>
        <v>1</v>
      </c>
      <c r="AB19" s="1559">
        <f t="shared" si="4"/>
        <v>1</v>
      </c>
      <c r="AC19" s="1559">
        <f t="shared" si="5"/>
        <v>1</v>
      </c>
    </row>
    <row r="20" spans="1:29" ht="15">
      <c r="A20" s="530"/>
      <c r="B20" s="593"/>
      <c r="C20" s="574" t="s">
        <v>3030</v>
      </c>
      <c r="D20" s="553"/>
      <c r="E20" s="574" t="s">
        <v>3030</v>
      </c>
      <c r="F20" s="555"/>
      <c r="G20" s="574" t="s">
        <v>3030</v>
      </c>
      <c r="H20" s="553"/>
      <c r="I20" s="554" t="s">
        <v>3030</v>
      </c>
      <c r="J20" s="553"/>
      <c r="K20" s="868"/>
      <c r="L20" s="2124"/>
      <c r="M20" s="2116"/>
      <c r="N20" s="2116"/>
      <c r="O20" s="2123"/>
      <c r="P20" s="3421"/>
      <c r="Q20" s="1555"/>
      <c r="R20" s="1556"/>
      <c r="S20" s="1557"/>
      <c r="T20" s="1556"/>
      <c r="U20" s="1557"/>
      <c r="V20" s="1556"/>
      <c r="W20" s="1557"/>
      <c r="X20" s="1550"/>
      <c r="Y20" s="3421"/>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21"/>
      <c r="Q21" s="2540" t="str">
        <f>B21</f>
        <v>基础设施水平</v>
      </c>
      <c r="R21" s="1556" t="s">
        <v>11</v>
      </c>
      <c r="S21" s="1557">
        <f>F21</f>
        <v>100</v>
      </c>
      <c r="T21" s="1556" t="s">
        <v>11</v>
      </c>
      <c r="U21" s="1557">
        <f>H21</f>
        <v>100</v>
      </c>
      <c r="V21" s="1556" t="s">
        <v>11</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919"/>
      <c r="C22" s="871" t="s">
        <v>3086</v>
      </c>
      <c r="D22" s="553"/>
      <c r="E22" s="871" t="s">
        <v>3086</v>
      </c>
      <c r="F22" s="555"/>
      <c r="G22" s="871" t="s">
        <v>3086</v>
      </c>
      <c r="H22" s="553"/>
      <c r="I22" s="871" t="s">
        <v>3086</v>
      </c>
      <c r="J22" s="553"/>
      <c r="K22" s="2560"/>
      <c r="L22" s="2124"/>
      <c r="M22" s="2116"/>
      <c r="N22" s="2116"/>
      <c r="O22" s="2123"/>
      <c r="P22" s="3421"/>
      <c r="Q22" s="2540"/>
      <c r="R22" s="1556"/>
      <c r="S22" s="1557"/>
      <c r="T22" s="1556"/>
      <c r="U22" s="1557"/>
      <c r="V22" s="1556"/>
      <c r="W22" s="1557"/>
      <c r="X22" s="2542"/>
      <c r="Y22" s="3421"/>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21"/>
      <c r="Q23" s="1555" t="str">
        <f>B23</f>
        <v>自然及人文环境</v>
      </c>
      <c r="R23" s="1556" t="s">
        <v>11</v>
      </c>
      <c r="S23" s="1557">
        <f>F23</f>
        <v>100</v>
      </c>
      <c r="T23" s="1556" t="s">
        <v>11</v>
      </c>
      <c r="U23" s="1557">
        <f>H23</f>
        <v>100</v>
      </c>
      <c r="V23" s="1556" t="s">
        <v>11</v>
      </c>
      <c r="W23" s="1557">
        <f>J23</f>
        <v>102</v>
      </c>
      <c r="X23" s="1550"/>
      <c r="Y23" s="3421"/>
      <c r="Z23" s="1558" t="str">
        <f>Q23</f>
        <v>自然及人文环境</v>
      </c>
      <c r="AA23" s="1559">
        <f t="shared" si="3"/>
        <v>1</v>
      </c>
      <c r="AB23" s="1559">
        <f t="shared" si="4"/>
        <v>1</v>
      </c>
      <c r="AC23" s="1559">
        <f t="shared" si="5"/>
        <v>0.98039215686274506</v>
      </c>
    </row>
    <row r="24" spans="1:29" ht="15.75" thickBot="1">
      <c r="A24" s="530"/>
      <c r="B24" s="593"/>
      <c r="C24" s="574" t="s">
        <v>3029</v>
      </c>
      <c r="D24" s="553"/>
      <c r="E24" s="554" t="s">
        <v>3029</v>
      </c>
      <c r="F24" s="555"/>
      <c r="G24" s="556" t="s">
        <v>3029</v>
      </c>
      <c r="H24" s="553"/>
      <c r="I24" s="554" t="s">
        <v>3035</v>
      </c>
      <c r="J24" s="553"/>
      <c r="K24" s="868"/>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hidden="1">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1"/>
      <c r="Q25" s="1555" t="str">
        <f t="shared" ref="Q25:Q46" si="11">B25</f>
        <v>楼层-1</v>
      </c>
      <c r="R25" s="1556" t="s">
        <v>11</v>
      </c>
      <c r="S25" s="1557">
        <f>F25</f>
        <v>100</v>
      </c>
      <c r="T25" s="1556" t="s">
        <v>11</v>
      </c>
      <c r="U25" s="1557">
        <f>H25</f>
        <v>100</v>
      </c>
      <c r="V25" s="1556" t="s">
        <v>11</v>
      </c>
      <c r="W25" s="1557">
        <f>J25</f>
        <v>100</v>
      </c>
      <c r="X25" s="1550"/>
      <c r="Y25" s="3421"/>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1"/>
      <c r="Q26" s="1555" t="str">
        <f t="shared" si="11"/>
        <v>朝向</v>
      </c>
      <c r="R26" s="1556" t="s">
        <v>11</v>
      </c>
      <c r="S26" s="1557">
        <f>F26</f>
        <v>100</v>
      </c>
      <c r="T26" s="1556" t="s">
        <v>11</v>
      </c>
      <c r="U26" s="1557">
        <f>H26</f>
        <v>100</v>
      </c>
      <c r="V26" s="1556" t="s">
        <v>11</v>
      </c>
      <c r="W26" s="1557">
        <f>J26</f>
        <v>100</v>
      </c>
      <c r="X26" s="1550"/>
      <c r="Y26" s="3421"/>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1"/>
      <c r="Q27" s="1144" t="str">
        <f t="shared" si="11"/>
        <v>道路级别</v>
      </c>
      <c r="R27" s="1551" t="s">
        <v>11</v>
      </c>
      <c r="S27" s="1552">
        <f>F27</f>
        <v>100</v>
      </c>
      <c r="T27" s="1551" t="s">
        <v>11</v>
      </c>
      <c r="U27" s="1552">
        <f>H27</f>
        <v>100</v>
      </c>
      <c r="V27" s="1551" t="s">
        <v>11</v>
      </c>
      <c r="W27" s="1552">
        <f>J27</f>
        <v>100</v>
      </c>
      <c r="X27" s="1553"/>
      <c r="Y27" s="3421"/>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1"/>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1"/>
      <c r="Q29" s="1555">
        <f t="shared" si="11"/>
        <v>111</v>
      </c>
      <c r="R29" s="1556" t="s">
        <v>11</v>
      </c>
      <c r="S29" s="1557">
        <f t="shared" si="12"/>
        <v>100</v>
      </c>
      <c r="T29" s="1556" t="s">
        <v>11</v>
      </c>
      <c r="U29" s="1557">
        <f t="shared" si="13"/>
        <v>100</v>
      </c>
      <c r="V29" s="1556" t="s">
        <v>11</v>
      </c>
      <c r="W29" s="1557">
        <f t="shared" si="14"/>
        <v>100</v>
      </c>
      <c r="X29" s="1550"/>
      <c r="Y29" s="3421"/>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1"/>
      <c r="Q30" s="1555">
        <f t="shared" si="11"/>
        <v>111</v>
      </c>
      <c r="R30" s="1556" t="s">
        <v>11</v>
      </c>
      <c r="S30" s="1557">
        <f t="shared" si="12"/>
        <v>100</v>
      </c>
      <c r="T30" s="1556" t="s">
        <v>11</v>
      </c>
      <c r="U30" s="1557">
        <f t="shared" si="13"/>
        <v>100</v>
      </c>
      <c r="V30" s="1556" t="s">
        <v>11</v>
      </c>
      <c r="W30" s="1557">
        <f t="shared" si="14"/>
        <v>100</v>
      </c>
      <c r="X30" s="1550"/>
      <c r="Y30" s="3421"/>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1"/>
      <c r="Q31" s="1555">
        <f t="shared" si="11"/>
        <v>111</v>
      </c>
      <c r="R31" s="1556" t="s">
        <v>11</v>
      </c>
      <c r="S31" s="1557">
        <f t="shared" si="12"/>
        <v>100</v>
      </c>
      <c r="T31" s="1556" t="s">
        <v>11</v>
      </c>
      <c r="U31" s="1557">
        <f t="shared" si="13"/>
        <v>100</v>
      </c>
      <c r="V31" s="1556" t="s">
        <v>11</v>
      </c>
      <c r="W31" s="1557">
        <f t="shared" si="14"/>
        <v>100</v>
      </c>
      <c r="X31" s="1550"/>
      <c r="Y31" s="3421"/>
      <c r="Z31" s="1558">
        <f t="shared" si="15"/>
        <v>111</v>
      </c>
      <c r="AA31" s="1559">
        <f t="shared" si="3"/>
        <v>1</v>
      </c>
      <c r="AB31" s="1559">
        <f t="shared" si="4"/>
        <v>1</v>
      </c>
      <c r="AC31" s="1559">
        <f t="shared" si="5"/>
        <v>1</v>
      </c>
    </row>
    <row r="32" spans="1:29" ht="15">
      <c r="A32" s="2858" t="s">
        <v>2750</v>
      </c>
      <c r="B32" s="3199" t="s">
        <v>725</v>
      </c>
      <c r="C32" s="876" t="s">
        <v>3093</v>
      </c>
      <c r="D32" s="595">
        <v>100</v>
      </c>
      <c r="E32" s="876" t="s">
        <v>3093</v>
      </c>
      <c r="F32" s="573">
        <f>SUMIF(100:100,E32,101:101)-SUMIF(100:100,C32,101:101)+100</f>
        <v>100</v>
      </c>
      <c r="G32" s="876" t="s">
        <v>3093</v>
      </c>
      <c r="H32" s="595">
        <f>SUMIF(100:100,G32,101:101)-SUMIF(100:100,C32,101:101)+100</f>
        <v>100</v>
      </c>
      <c r="I32" s="876" t="s">
        <v>3093</v>
      </c>
      <c r="J32" s="538">
        <f>SUMIF(100:100,I32,101:101)-SUMIF(100:100,C32,101:101)+100</f>
        <v>100</v>
      </c>
      <c r="K32" s="862">
        <v>6</v>
      </c>
      <c r="L32" s="2124"/>
      <c r="M32" s="2116"/>
      <c r="N32" s="2116"/>
      <c r="O32" s="2123"/>
      <c r="P32" s="3422" t="s">
        <v>550</v>
      </c>
      <c r="Q32" s="1555" t="str">
        <f t="shared" si="11"/>
        <v>建筑类型</v>
      </c>
      <c r="R32" s="1556" t="s">
        <v>11</v>
      </c>
      <c r="S32" s="1557">
        <f t="shared" si="12"/>
        <v>100</v>
      </c>
      <c r="T32" s="1556" t="s">
        <v>11</v>
      </c>
      <c r="U32" s="1557">
        <f t="shared" si="13"/>
        <v>100</v>
      </c>
      <c r="V32" s="1556" t="s">
        <v>11</v>
      </c>
      <c r="W32" s="1557">
        <f t="shared" si="14"/>
        <v>100</v>
      </c>
      <c r="X32" s="1550"/>
      <c r="Y32" s="3423" t="s">
        <v>550</v>
      </c>
      <c r="Z32" s="1558" t="str">
        <f t="shared" si="15"/>
        <v>建筑类型</v>
      </c>
      <c r="AA32" s="1559">
        <f t="shared" si="3"/>
        <v>1</v>
      </c>
      <c r="AB32" s="1559">
        <f t="shared" si="4"/>
        <v>1</v>
      </c>
      <c r="AC32" s="1559">
        <f t="shared" si="5"/>
        <v>1</v>
      </c>
    </row>
    <row r="33" spans="1:29" s="1332" customFormat="1" ht="15">
      <c r="A33" s="601"/>
      <c r="B33" s="525" t="s">
        <v>726</v>
      </c>
      <c r="C33" s="877">
        <f>'数据-汇总表'!E31</f>
        <v>888914.7</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23"/>
      <c r="Q33" s="1587" t="str">
        <f t="shared" si="11"/>
        <v>项目建筑规模</v>
      </c>
      <c r="R33" s="1560" t="s">
        <v>11</v>
      </c>
      <c r="S33" s="1561">
        <f t="shared" si="12"/>
        <v>100</v>
      </c>
      <c r="T33" s="1560" t="s">
        <v>11</v>
      </c>
      <c r="U33" s="1561">
        <f t="shared" si="13"/>
        <v>96</v>
      </c>
      <c r="V33" s="1560" t="s">
        <v>11</v>
      </c>
      <c r="W33" s="1561">
        <f t="shared" si="14"/>
        <v>98</v>
      </c>
      <c r="X33" s="1562"/>
      <c r="Y33" s="3423"/>
      <c r="Z33" s="1563" t="str">
        <f t="shared" si="15"/>
        <v>项目建筑规模</v>
      </c>
      <c r="AA33" s="1559">
        <f t="shared" si="3"/>
        <v>1</v>
      </c>
      <c r="AB33" s="1559">
        <f t="shared" si="4"/>
        <v>1.0416666666666667</v>
      </c>
      <c r="AC33" s="1559">
        <f t="shared" si="5"/>
        <v>1.0204081632653061</v>
      </c>
    </row>
    <row r="34" spans="1:29" ht="15">
      <c r="A34" s="592"/>
      <c r="B34" s="525" t="s">
        <v>727</v>
      </c>
      <c r="C34" s="878" t="s">
        <v>3039</v>
      </c>
      <c r="D34" s="538">
        <v>100</v>
      </c>
      <c r="E34" s="879" t="s">
        <v>3039</v>
      </c>
      <c r="F34" s="573">
        <f>SUMIF(105:105,E34,106:106)-SUMIF(105:105,C34,106:106)+100</f>
        <v>100</v>
      </c>
      <c r="G34" s="878" t="s">
        <v>3039</v>
      </c>
      <c r="H34" s="538">
        <f>SUMIF(105:105,G34,106:106)-SUMIF(105:105,C34,106:106)+100</f>
        <v>100</v>
      </c>
      <c r="I34" s="879" t="s">
        <v>3039</v>
      </c>
      <c r="J34" s="538">
        <f>SUMIF(105:105,I34,106:106)-SUMIF(105:105,C34,106:106)+100</f>
        <v>100</v>
      </c>
      <c r="K34" s="862">
        <v>2</v>
      </c>
      <c r="L34" s="2124"/>
      <c r="M34" s="2116"/>
      <c r="N34" s="2116"/>
      <c r="O34" s="2123"/>
      <c r="P34" s="3423"/>
      <c r="Q34" s="1555" t="str">
        <f t="shared" si="11"/>
        <v>建筑结构</v>
      </c>
      <c r="R34" s="1556" t="s">
        <v>11</v>
      </c>
      <c r="S34" s="1557">
        <f t="shared" si="12"/>
        <v>100</v>
      </c>
      <c r="T34" s="1556" t="s">
        <v>11</v>
      </c>
      <c r="U34" s="1557">
        <f t="shared" si="13"/>
        <v>100</v>
      </c>
      <c r="V34" s="1556" t="s">
        <v>11</v>
      </c>
      <c r="W34" s="1557">
        <f t="shared" si="14"/>
        <v>100</v>
      </c>
      <c r="X34" s="1550"/>
      <c r="Y34" s="3423"/>
      <c r="Z34" s="1558" t="str">
        <f t="shared" si="15"/>
        <v>建筑结构</v>
      </c>
      <c r="AA34" s="1559">
        <f t="shared" si="3"/>
        <v>1</v>
      </c>
      <c r="AB34" s="1559">
        <f t="shared" si="4"/>
        <v>1</v>
      </c>
      <c r="AC34" s="1559">
        <f t="shared" si="5"/>
        <v>1</v>
      </c>
    </row>
    <row r="35" spans="1:29" ht="15">
      <c r="A35" s="592"/>
      <c r="B35" s="525" t="s">
        <v>728</v>
      </c>
      <c r="C35" s="872" t="s">
        <v>3092</v>
      </c>
      <c r="D35" s="538">
        <v>100</v>
      </c>
      <c r="E35" s="872" t="s">
        <v>3092</v>
      </c>
      <c r="F35" s="573">
        <f>SUMIF(107:107,E35,108:108)-SUMIF(107:107,C35,108:108)+100</f>
        <v>100</v>
      </c>
      <c r="G35" s="872" t="s">
        <v>3092</v>
      </c>
      <c r="H35" s="538">
        <f>SUMIF(107:107,G35,108:108)-SUMIF(107:107,C35,108:108)+100</f>
        <v>100</v>
      </c>
      <c r="I35" s="872" t="s">
        <v>3092</v>
      </c>
      <c r="J35" s="538">
        <f>SUMIF(107:107,I35,108:108)-SUMIF(107:107,C35,108:108)+100</f>
        <v>100</v>
      </c>
      <c r="K35" s="862">
        <v>3</v>
      </c>
      <c r="L35" s="2124"/>
      <c r="M35" s="2116"/>
      <c r="N35" s="2116"/>
      <c r="O35" s="2123"/>
      <c r="P35" s="3423"/>
      <c r="Q35" s="1555" t="str">
        <f t="shared" si="11"/>
        <v>建筑品质</v>
      </c>
      <c r="R35" s="1556" t="s">
        <v>11</v>
      </c>
      <c r="S35" s="1557">
        <f t="shared" si="12"/>
        <v>100</v>
      </c>
      <c r="T35" s="1556" t="s">
        <v>11</v>
      </c>
      <c r="U35" s="1557">
        <f t="shared" si="13"/>
        <v>100</v>
      </c>
      <c r="V35" s="1556" t="s">
        <v>11</v>
      </c>
      <c r="W35" s="1557">
        <f t="shared" si="14"/>
        <v>100</v>
      </c>
      <c r="X35" s="1550"/>
      <c r="Y35" s="3423"/>
      <c r="Z35" s="1558" t="str">
        <f t="shared" si="15"/>
        <v>建筑品质</v>
      </c>
      <c r="AA35" s="1559">
        <f t="shared" si="3"/>
        <v>1</v>
      </c>
      <c r="AB35" s="1559">
        <f t="shared" si="4"/>
        <v>1</v>
      </c>
      <c r="AC35" s="1559">
        <f t="shared" si="5"/>
        <v>1</v>
      </c>
    </row>
    <row r="36" spans="1:29" ht="15">
      <c r="A36" s="592"/>
      <c r="B36" s="525" t="s">
        <v>729</v>
      </c>
      <c r="C36" s="597" t="s">
        <v>3040</v>
      </c>
      <c r="D36" s="538">
        <v>100</v>
      </c>
      <c r="E36" s="872" t="s">
        <v>3040</v>
      </c>
      <c r="F36" s="573">
        <f>SUMIF(109:109,E36,110:110)-SUMIF(109:109,C36,110:110)+100</f>
        <v>100</v>
      </c>
      <c r="G36" s="597" t="s">
        <v>3040</v>
      </c>
      <c r="H36" s="538">
        <f>SUMIF(109:109,G36,110:110)-SUMIF(109:109,C36,110:110)+100</f>
        <v>100</v>
      </c>
      <c r="I36" s="872" t="s">
        <v>3040</v>
      </c>
      <c r="J36" s="538">
        <f>SUMIF(109:109,I36,110:110)-SUMIF(109:109,C36,110:110)+100</f>
        <v>100</v>
      </c>
      <c r="K36" s="862">
        <v>3</v>
      </c>
      <c r="L36" s="2124"/>
      <c r="M36" s="2116"/>
      <c r="N36" s="2116"/>
      <c r="O36" s="2123"/>
      <c r="P36" s="3423"/>
      <c r="Q36" s="1555" t="str">
        <f t="shared" si="11"/>
        <v>公共部分装修</v>
      </c>
      <c r="R36" s="1556" t="s">
        <v>11</v>
      </c>
      <c r="S36" s="1557">
        <f t="shared" si="12"/>
        <v>100</v>
      </c>
      <c r="T36" s="1556" t="s">
        <v>11</v>
      </c>
      <c r="U36" s="1557">
        <f t="shared" si="13"/>
        <v>100</v>
      </c>
      <c r="V36" s="1556" t="s">
        <v>11</v>
      </c>
      <c r="W36" s="1557">
        <f t="shared" si="14"/>
        <v>100</v>
      </c>
      <c r="X36" s="1550"/>
      <c r="Y36" s="3423"/>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23"/>
      <c r="Q37" s="1144" t="str">
        <f t="shared" si="11"/>
        <v>成新度</v>
      </c>
      <c r="R37" s="1551" t="s">
        <v>11</v>
      </c>
      <c r="S37" s="1552">
        <f t="shared" si="12"/>
        <v>100</v>
      </c>
      <c r="T37" s="1551" t="s">
        <v>11</v>
      </c>
      <c r="U37" s="1552">
        <f t="shared" si="13"/>
        <v>100</v>
      </c>
      <c r="V37" s="1551" t="s">
        <v>11</v>
      </c>
      <c r="W37" s="1552">
        <f t="shared" si="14"/>
        <v>100</v>
      </c>
      <c r="X37" s="1553"/>
      <c r="Y37" s="3423"/>
      <c r="Z37" s="1143" t="str">
        <f t="shared" si="15"/>
        <v>成新度</v>
      </c>
      <c r="AA37" s="1554">
        <f t="shared" si="3"/>
        <v>1</v>
      </c>
      <c r="AB37" s="1554">
        <f t="shared" si="4"/>
        <v>1</v>
      </c>
      <c r="AC37" s="1554">
        <f t="shared" si="5"/>
        <v>1</v>
      </c>
    </row>
    <row r="38" spans="1:29" ht="15">
      <c r="A38" s="592"/>
      <c r="B38" s="525" t="s">
        <v>731</v>
      </c>
      <c r="C38" s="597" t="s">
        <v>3041</v>
      </c>
      <c r="D38" s="538">
        <v>100</v>
      </c>
      <c r="E38" s="872" t="s">
        <v>3041</v>
      </c>
      <c r="F38" s="573">
        <f>SUMIF(114:114,E38,115:115)-SUMIF(114:114,C38,115:115)+100</f>
        <v>100</v>
      </c>
      <c r="G38" s="597" t="s">
        <v>3041</v>
      </c>
      <c r="H38" s="538">
        <f>SUMIF(114:114,G38,115:115)-SUMIF(114:114,C38,115:115)+100</f>
        <v>100</v>
      </c>
      <c r="I38" s="872" t="s">
        <v>3041</v>
      </c>
      <c r="J38" s="538">
        <f>SUMIF(114:114,I38,115:115)-SUMIF(114:114,C38,115:115)+100</f>
        <v>100</v>
      </c>
      <c r="K38" s="862">
        <v>2</v>
      </c>
      <c r="L38" s="2124"/>
      <c r="M38" s="2116"/>
      <c r="N38" s="2116"/>
      <c r="O38" s="2123"/>
      <c r="P38" s="3423" t="s">
        <v>550</v>
      </c>
      <c r="Q38" s="1555" t="str">
        <f t="shared" si="11"/>
        <v>物业管理</v>
      </c>
      <c r="R38" s="1556" t="s">
        <v>11</v>
      </c>
      <c r="S38" s="1557">
        <f t="shared" si="12"/>
        <v>100</v>
      </c>
      <c r="T38" s="1556" t="s">
        <v>11</v>
      </c>
      <c r="U38" s="1557">
        <f t="shared" si="13"/>
        <v>100</v>
      </c>
      <c r="V38" s="1556" t="s">
        <v>11</v>
      </c>
      <c r="W38" s="1557">
        <f t="shared" si="14"/>
        <v>100</v>
      </c>
      <c r="X38" s="1550"/>
      <c r="Y38" s="3423" t="s">
        <v>550</v>
      </c>
      <c r="Z38" s="1558" t="str">
        <f t="shared" si="15"/>
        <v>物业管理</v>
      </c>
      <c r="AA38" s="1559">
        <f t="shared" si="3"/>
        <v>1</v>
      </c>
      <c r="AB38" s="1559">
        <f t="shared" si="4"/>
        <v>1</v>
      </c>
      <c r="AC38" s="1559">
        <f t="shared" si="5"/>
        <v>1</v>
      </c>
    </row>
    <row r="39" spans="1:29" ht="15">
      <c r="A39" s="592"/>
      <c r="B39" s="1877" t="s">
        <v>2560</v>
      </c>
      <c r="C39" s="872" t="s">
        <v>3086</v>
      </c>
      <c r="D39" s="538">
        <v>100</v>
      </c>
      <c r="E39" s="872" t="s">
        <v>3086</v>
      </c>
      <c r="F39" s="573">
        <f>SUMIF(116:116,E39,117:117)-SUMIF(116:116,C39,117:117)+100</f>
        <v>100</v>
      </c>
      <c r="G39" s="872" t="s">
        <v>3086</v>
      </c>
      <c r="H39" s="538">
        <f>SUMIF(116:116,G39,117:117)-SUMIF(116:116,C39,117:117)+100</f>
        <v>100</v>
      </c>
      <c r="I39" s="872" t="s">
        <v>3086</v>
      </c>
      <c r="J39" s="538">
        <f>SUMIF(116:116,I39,117:117)-SUMIF(116:116,C39,117:117)+100</f>
        <v>100</v>
      </c>
      <c r="K39" s="862">
        <v>1</v>
      </c>
      <c r="L39" s="2124"/>
      <c r="M39" s="2116"/>
      <c r="N39" s="2116"/>
      <c r="O39" s="2123"/>
      <c r="P39" s="3423"/>
      <c r="Q39" s="1555" t="str">
        <f t="shared" si="11"/>
        <v>市政基础设施</v>
      </c>
      <c r="R39" s="1556" t="s">
        <v>11</v>
      </c>
      <c r="S39" s="1557">
        <f t="shared" si="12"/>
        <v>100</v>
      </c>
      <c r="T39" s="1556" t="s">
        <v>11</v>
      </c>
      <c r="U39" s="1557">
        <f t="shared" si="13"/>
        <v>100</v>
      </c>
      <c r="V39" s="1556" t="s">
        <v>11</v>
      </c>
      <c r="W39" s="1557">
        <f t="shared" si="14"/>
        <v>100</v>
      </c>
      <c r="X39" s="1550"/>
      <c r="Y39" s="3423"/>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23"/>
      <c r="Q40" s="1555" t="str">
        <f t="shared" si="11"/>
        <v>房型</v>
      </c>
      <c r="R40" s="1556" t="s">
        <v>11</v>
      </c>
      <c r="S40" s="1557">
        <f t="shared" si="12"/>
        <v>100</v>
      </c>
      <c r="T40" s="1556" t="s">
        <v>11</v>
      </c>
      <c r="U40" s="1557">
        <f t="shared" si="13"/>
        <v>100</v>
      </c>
      <c r="V40" s="1556" t="s">
        <v>11</v>
      </c>
      <c r="W40" s="1557">
        <f t="shared" si="14"/>
        <v>100</v>
      </c>
      <c r="X40" s="1550"/>
      <c r="Y40" s="3423"/>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3"/>
      <c r="Q41" s="1587" t="str">
        <f t="shared" si="11"/>
        <v>单套/主力户型建筑面积</v>
      </c>
      <c r="R41" s="1560" t="s">
        <v>11</v>
      </c>
      <c r="S41" s="1561">
        <f t="shared" si="12"/>
        <v>100</v>
      </c>
      <c r="T41" s="1560" t="s">
        <v>11</v>
      </c>
      <c r="U41" s="1561">
        <f t="shared" si="13"/>
        <v>100</v>
      </c>
      <c r="V41" s="1560" t="s">
        <v>11</v>
      </c>
      <c r="W41" s="1561">
        <f t="shared" si="14"/>
        <v>100</v>
      </c>
      <c r="X41" s="1562"/>
      <c r="Y41" s="3423"/>
      <c r="Z41" s="1563" t="str">
        <f t="shared" si="15"/>
        <v>单套/主力户型建筑面积</v>
      </c>
      <c r="AA41" s="1559">
        <f t="shared" si="3"/>
        <v>1</v>
      </c>
      <c r="AB41" s="1559">
        <f t="shared" si="4"/>
        <v>1</v>
      </c>
      <c r="AC41" s="1559">
        <f t="shared" si="5"/>
        <v>1</v>
      </c>
    </row>
    <row r="42" spans="1:29" ht="15">
      <c r="A42" s="592"/>
      <c r="B42" s="525" t="s">
        <v>734</v>
      </c>
      <c r="C42" s="597" t="s">
        <v>3042</v>
      </c>
      <c r="D42" s="538">
        <v>100</v>
      </c>
      <c r="E42" s="872" t="s">
        <v>3040</v>
      </c>
      <c r="F42" s="573">
        <f>SUMIF(122:122,E42,123:123)-SUMIF(122:122,C42,123:123)+100</f>
        <v>109</v>
      </c>
      <c r="G42" s="597" t="s">
        <v>3042</v>
      </c>
      <c r="H42" s="538">
        <f>SUMIF(122:122,G42,123:123)-SUMIF(122:122,C42,123:123)+100</f>
        <v>100</v>
      </c>
      <c r="I42" s="872" t="s">
        <v>3040</v>
      </c>
      <c r="J42" s="538">
        <f>SUMIF(122:122,I42,123:123)-SUMIF(122:122,C42,123:123)+100</f>
        <v>109</v>
      </c>
      <c r="K42" s="862">
        <v>3</v>
      </c>
      <c r="L42" s="2124"/>
      <c r="M42" s="2116"/>
      <c r="N42" s="2116"/>
      <c r="O42" s="2123"/>
      <c r="P42" s="3423"/>
      <c r="Q42" s="1555" t="str">
        <f t="shared" si="11"/>
        <v>内部装修</v>
      </c>
      <c r="R42" s="1556" t="s">
        <v>11</v>
      </c>
      <c r="S42" s="1557">
        <f t="shared" si="12"/>
        <v>109</v>
      </c>
      <c r="T42" s="1556" t="s">
        <v>11</v>
      </c>
      <c r="U42" s="1557">
        <f t="shared" si="13"/>
        <v>100</v>
      </c>
      <c r="V42" s="1556" t="s">
        <v>11</v>
      </c>
      <c r="W42" s="1557">
        <f t="shared" si="14"/>
        <v>109</v>
      </c>
      <c r="X42" s="1550"/>
      <c r="Y42" s="3423"/>
      <c r="Z42" s="1558" t="str">
        <f t="shared" si="15"/>
        <v>内部装修</v>
      </c>
      <c r="AA42" s="1559">
        <f t="shared" si="3"/>
        <v>0.91743119266055051</v>
      </c>
      <c r="AB42" s="1559">
        <f t="shared" si="4"/>
        <v>1</v>
      </c>
      <c r="AC42" s="1559">
        <f t="shared" si="5"/>
        <v>0.91743119266055051</v>
      </c>
    </row>
    <row r="43" spans="1:29" ht="27">
      <c r="A43" s="592"/>
      <c r="B43" s="525" t="s">
        <v>735</v>
      </c>
      <c r="C43" s="597" t="s">
        <v>3035</v>
      </c>
      <c r="D43" s="538">
        <v>100</v>
      </c>
      <c r="E43" s="872" t="s">
        <v>3035</v>
      </c>
      <c r="F43" s="573">
        <f>SUMIF(124:124,E43,125:125)-SUMIF(124:124,C43,125:125)+100</f>
        <v>100</v>
      </c>
      <c r="G43" s="597" t="s">
        <v>3035</v>
      </c>
      <c r="H43" s="538">
        <f>SUMIF(124:124,G43,125:125)-SUMIF(124:124,C43,125:125)+100</f>
        <v>100</v>
      </c>
      <c r="I43" s="872" t="s">
        <v>3035</v>
      </c>
      <c r="J43" s="538">
        <f>SUMIF(124:124,I43,125:125)-SUMIF(124:124,C43,125:125)+100</f>
        <v>100</v>
      </c>
      <c r="K43" s="862">
        <v>2</v>
      </c>
      <c r="L43" s="2124"/>
      <c r="M43" s="2116"/>
      <c r="N43" s="2116"/>
      <c r="O43" s="2123"/>
      <c r="P43" s="3423"/>
      <c r="Q43" s="1555" t="str">
        <f t="shared" si="11"/>
        <v>内部装修维护情况</v>
      </c>
      <c r="R43" s="1556" t="s">
        <v>11</v>
      </c>
      <c r="S43" s="1557">
        <f t="shared" si="12"/>
        <v>100</v>
      </c>
      <c r="T43" s="1556" t="s">
        <v>11</v>
      </c>
      <c r="U43" s="1557">
        <f t="shared" si="13"/>
        <v>100</v>
      </c>
      <c r="V43" s="1556" t="s">
        <v>11</v>
      </c>
      <c r="W43" s="1557">
        <f t="shared" si="14"/>
        <v>100</v>
      </c>
      <c r="X43" s="1550"/>
      <c r="Y43" s="3423"/>
      <c r="Z43" s="1558" t="str">
        <f t="shared" si="15"/>
        <v>内部装修维护情况</v>
      </c>
      <c r="AA43" s="1559">
        <f t="shared" si="3"/>
        <v>1</v>
      </c>
      <c r="AB43" s="1559">
        <f t="shared" si="4"/>
        <v>1</v>
      </c>
      <c r="AC43" s="1559">
        <f t="shared" si="5"/>
        <v>1</v>
      </c>
    </row>
    <row r="44" spans="1:29" s="1213" customFormat="1" ht="15.75" thickBot="1">
      <c r="A44" s="598"/>
      <c r="B44" s="3182" t="s">
        <v>3061</v>
      </c>
      <c r="C44" s="3181" t="s">
        <v>3101</v>
      </c>
      <c r="D44" s="253">
        <v>100</v>
      </c>
      <c r="E44" s="3181" t="s">
        <v>3101</v>
      </c>
      <c r="F44" s="861">
        <f>SUMIF(126:126,E44,127:127)-SUMIF(126:126,C44,127:127)+100</f>
        <v>100</v>
      </c>
      <c r="G44" s="3181" t="s">
        <v>3044</v>
      </c>
      <c r="H44" s="253">
        <f>SUMIF(126:126,G44,127:127)-SUMIF(126:126,C44,127:127)+100</f>
        <v>100</v>
      </c>
      <c r="I44" s="3181" t="s">
        <v>3044</v>
      </c>
      <c r="J44" s="253">
        <f>SUMIF(126:126,I44,127:127)-SUMIF(126:126,C44,127:127)+100</f>
        <v>100</v>
      </c>
      <c r="K44" s="863"/>
      <c r="L44" s="2117"/>
      <c r="M44" s="2118"/>
      <c r="N44" s="2118"/>
      <c r="O44" s="2119"/>
      <c r="P44" s="3423"/>
      <c r="Q44" s="1144" t="str">
        <f t="shared" si="11"/>
        <v>层高</v>
      </c>
      <c r="R44" s="1551" t="s">
        <v>11</v>
      </c>
      <c r="S44" s="1552">
        <f t="shared" si="12"/>
        <v>100</v>
      </c>
      <c r="T44" s="1551" t="s">
        <v>11</v>
      </c>
      <c r="U44" s="1552">
        <f t="shared" si="13"/>
        <v>100</v>
      </c>
      <c r="V44" s="1551" t="s">
        <v>11</v>
      </c>
      <c r="W44" s="1552">
        <f t="shared" si="14"/>
        <v>100</v>
      </c>
      <c r="X44" s="1553"/>
      <c r="Y44" s="3423"/>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3"/>
      <c r="Q45" s="1555">
        <f t="shared" si="11"/>
        <v>111</v>
      </c>
      <c r="R45" s="1556" t="s">
        <v>11</v>
      </c>
      <c r="S45" s="1557">
        <f t="shared" si="12"/>
        <v>100</v>
      </c>
      <c r="T45" s="1556" t="s">
        <v>11</v>
      </c>
      <c r="U45" s="1557">
        <f t="shared" si="13"/>
        <v>100</v>
      </c>
      <c r="V45" s="1556" t="s">
        <v>11</v>
      </c>
      <c r="W45" s="1557">
        <f t="shared" si="14"/>
        <v>100</v>
      </c>
      <c r="X45" s="1550"/>
      <c r="Y45" s="3423"/>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4"/>
      <c r="Q46" s="1555">
        <f t="shared" si="11"/>
        <v>0.95</v>
      </c>
      <c r="R46" s="1556" t="s">
        <v>10</v>
      </c>
      <c r="S46" s="1557">
        <f t="shared" si="12"/>
        <v>100</v>
      </c>
      <c r="T46" s="1556" t="s">
        <v>10</v>
      </c>
      <c r="U46" s="1557">
        <f t="shared" si="13"/>
        <v>100</v>
      </c>
      <c r="V46" s="1556" t="s">
        <v>10</v>
      </c>
      <c r="W46" s="1557">
        <f t="shared" si="14"/>
        <v>100</v>
      </c>
      <c r="X46" s="1550"/>
      <c r="Y46" s="3504"/>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418" t="str">
        <f>A47</f>
        <v>成交单价（元/平方米）</v>
      </c>
      <c r="Q47" s="3418"/>
      <c r="R47" s="3503">
        <f>E47</f>
        <v>13000</v>
      </c>
      <c r="S47" s="3503"/>
      <c r="T47" s="3503">
        <f>G47</f>
        <v>11000</v>
      </c>
      <c r="U47" s="3503"/>
      <c r="V47" s="3503">
        <f>I47</f>
        <v>11000</v>
      </c>
      <c r="W47" s="3503"/>
      <c r="X47" s="1542"/>
      <c r="Y47" s="1564"/>
      <c r="Z47" s="1542"/>
      <c r="AA47" s="1542"/>
      <c r="AB47" s="1542"/>
      <c r="AC47" s="1542"/>
    </row>
    <row r="48" spans="1:29" ht="15.75" thickBot="1">
      <c r="A48" s="613" t="s">
        <v>2755</v>
      </c>
      <c r="B48" s="885"/>
      <c r="C48" s="2593">
        <f>R49</f>
        <v>10898</v>
      </c>
      <c r="D48" s="2594"/>
      <c r="E48" s="2595">
        <f>R48</f>
        <v>11693</v>
      </c>
      <c r="F48" s="2595"/>
      <c r="G48" s="2593">
        <f>T48</f>
        <v>10906</v>
      </c>
      <c r="H48" s="2594"/>
      <c r="I48" s="2595">
        <f>V48</f>
        <v>10096</v>
      </c>
      <c r="J48" s="2594"/>
      <c r="K48" s="1589"/>
      <c r="L48" s="2126"/>
      <c r="M48" s="2127"/>
      <c r="N48" s="2127"/>
      <c r="O48" s="2127"/>
      <c r="P48" s="3418" t="str">
        <f>A48</f>
        <v>比较价格（元/平方米）</v>
      </c>
      <c r="Q48" s="3418"/>
      <c r="R48" s="3503">
        <f>IF(F1="售价",ROUND(PRODUCT(R47,AA7:AA46),0),ROUND(PRODUCT(R47,AA7:AA46),1))</f>
        <v>11693</v>
      </c>
      <c r="S48" s="3503"/>
      <c r="T48" s="3503">
        <f>IF(F1="售价",ROUND(PRODUCT(T47,AB7:AB46),0),ROUND(PRODUCT(T47,AB7:AB46),1))</f>
        <v>10906</v>
      </c>
      <c r="U48" s="3503"/>
      <c r="V48" s="3503">
        <f>IF(F1="售价",ROUND(PRODUCT(V47,AC7:AC46),0),ROUND(PRODUCT(V47,AC7:AC46),1))</f>
        <v>10096</v>
      </c>
      <c r="W48" s="3503"/>
      <c r="X48" s="1542"/>
      <c r="Y48" s="1542"/>
      <c r="Z48" s="1542"/>
      <c r="AA48" s="1542"/>
      <c r="AB48" s="1542"/>
      <c r="AC48" s="1542"/>
    </row>
    <row r="49" spans="1:29" ht="15.75" thickBot="1">
      <c r="A49" s="619" t="s">
        <v>2923</v>
      </c>
      <c r="B49" s="620"/>
      <c r="C49" s="2596">
        <f>R49</f>
        <v>10898</v>
      </c>
      <c r="D49" s="2596"/>
      <c r="E49" s="2596"/>
      <c r="F49" s="2596"/>
      <c r="G49" s="2596"/>
      <c r="H49" s="2596"/>
      <c r="I49" s="2596"/>
      <c r="J49" s="2596"/>
      <c r="K49" s="1590"/>
      <c r="L49" s="2126"/>
      <c r="M49" s="2127"/>
      <c r="N49" s="2127"/>
      <c r="O49" s="2127"/>
      <c r="P49" s="3439" t="str">
        <f>A49</f>
        <v>估价对象XX用房的比较价格（楼面单价，元/平方米）</v>
      </c>
      <c r="Q49" s="3440"/>
      <c r="R49" s="3502">
        <f>IF(F1="售价",ROUND(AVERAGE(R48:V48),0),ROUND(AVERAGE(R48:V48),1))</f>
        <v>10898</v>
      </c>
      <c r="S49" s="3502"/>
      <c r="T49" s="3502"/>
      <c r="U49" s="3502"/>
      <c r="V49" s="3502"/>
      <c r="W49" s="3502"/>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0.11177627640468657</v>
      </c>
      <c r="F52" s="625" t="str">
        <f>IF(OR(E52&gt;=0.3,E52&lt;=-0.3),"超过30%","")</f>
        <v/>
      </c>
      <c r="G52" s="624">
        <f>IF(G47&lt;G48,G48/G47-1,G47/G48-1)</f>
        <v>8.61910874747851E-3</v>
      </c>
      <c r="H52" s="625" t="str">
        <f>IF(OR(G52&gt;=0.3,G52&lt;=-0.3),"超过30%","")</f>
        <v/>
      </c>
      <c r="I52" s="624">
        <f>IF(I47&lt;I48,I48/I47-1,I47/I48-1)</f>
        <v>8.9540412044373907E-2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7.2162112598569639E-2</v>
      </c>
      <c r="F53" s="625" t="str">
        <f>IF(OR(E53&gt;=0.2,E53&lt;=-0.2),"超过20%","")</f>
        <v/>
      </c>
      <c r="G53" s="624">
        <f>IF(G48&lt;I48,I48/G48-1,G48/I48-1)</f>
        <v>8.0229793977812935E-2</v>
      </c>
      <c r="H53" s="625" t="str">
        <f>IF(OR(G53&gt;=0.2,G53&lt;=-0.2),"超过20%","")</f>
        <v/>
      </c>
      <c r="I53" s="624">
        <f>IF(I48&lt;E48,E48/I48-1,I48/E48-1)</f>
        <v>0.15818145800316952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4" t="s">
        <v>3062</v>
      </c>
      <c r="D100" s="3174" t="s">
        <v>3064</v>
      </c>
      <c r="E100" s="3174" t="s">
        <v>3063</v>
      </c>
      <c r="F100" s="3174" t="s">
        <v>3094</v>
      </c>
      <c r="G100" s="3174" t="s">
        <v>3095</v>
      </c>
      <c r="H100" s="3174"/>
      <c r="I100" s="3174"/>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5" t="s">
        <v>3060</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6" t="s">
        <v>3047</v>
      </c>
      <c r="D107" s="3176" t="s">
        <v>3048</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5" t="s">
        <v>3049</v>
      </c>
      <c r="D109" s="3175" t="s">
        <v>3050</v>
      </c>
      <c r="E109" s="3175" t="s">
        <v>3051</v>
      </c>
      <c r="F109" s="3176" t="s">
        <v>3052</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5" t="s">
        <v>3053</v>
      </c>
      <c r="D114" s="3175" t="s">
        <v>3048</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3175" t="s">
        <v>3045</v>
      </c>
      <c r="D116" s="3175" t="s">
        <v>3046</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5" t="s">
        <v>3049</v>
      </c>
      <c r="D122" s="3175" t="s">
        <v>3050</v>
      </c>
      <c r="E122" s="3175" t="s">
        <v>3051</v>
      </c>
      <c r="F122" s="3176" t="s">
        <v>3052</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5" t="s">
        <v>3043</v>
      </c>
      <c r="D126" s="3175" t="s">
        <v>3044</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5" sqref="D1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3107</v>
      </c>
      <c r="D1" s="3236" t="s">
        <v>951</v>
      </c>
      <c r="E1" s="2348" t="s">
        <v>2370</v>
      </c>
      <c r="F1" s="2349">
        <f ca="1">J53</f>
        <v>36.44</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408902</v>
      </c>
      <c r="C2" s="2039"/>
      <c r="D2" s="2037"/>
      <c r="E2" s="2038"/>
      <c r="F2" s="2038"/>
      <c r="G2" s="1573"/>
      <c r="H2" s="2039"/>
      <c r="I2" s="2039"/>
      <c r="J2" s="2039"/>
      <c r="K2" s="2040"/>
      <c r="L2" s="2039"/>
      <c r="M2" s="2039"/>
    </row>
    <row r="3" spans="1:33" ht="18" customHeight="1" thickBot="1">
      <c r="A3" s="831" t="s">
        <v>1726</v>
      </c>
      <c r="B3" s="832">
        <f ca="1">IF(ISERROR(B2*10000/F43),0,ROUND(B2*10000/F43,0))</f>
        <v>4600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2454</v>
      </c>
      <c r="C5" s="54">
        <f ca="1">C6+C10+C12</f>
        <v>27613</v>
      </c>
      <c r="D5" s="2457" t="s">
        <v>2457</v>
      </c>
      <c r="E5" s="2451"/>
      <c r="F5" s="2452"/>
      <c r="G5" s="1575"/>
      <c r="H5" s="779">
        <v>1</v>
      </c>
      <c r="I5" s="780" t="s">
        <v>2454</v>
      </c>
      <c r="J5" s="54">
        <f ca="1">J6+J10+J12</f>
        <v>0</v>
      </c>
      <c r="K5" s="2457" t="s">
        <v>2457</v>
      </c>
      <c r="L5" s="2451"/>
      <c r="M5" s="2452"/>
    </row>
    <row r="6" spans="1:33" ht="18" customHeight="1">
      <c r="A6" s="1812" t="s">
        <v>1823</v>
      </c>
      <c r="B6" s="3492" t="s">
        <v>2459</v>
      </c>
      <c r="C6" s="781">
        <f ca="1">ROUND(F6*F8*F7*(1-F9)/10000,0)</f>
        <v>27579</v>
      </c>
      <c r="D6" s="2458" t="s">
        <v>2458</v>
      </c>
      <c r="E6" s="782" t="s">
        <v>1737</v>
      </c>
      <c r="F6" s="783">
        <f ca="1">INDIRECT("'数据-取费表'!u"&amp;$G$1)</f>
        <v>1</v>
      </c>
      <c r="G6" s="1575"/>
      <c r="H6" s="2465" t="s">
        <v>2464</v>
      </c>
      <c r="I6" s="3492" t="s">
        <v>2459</v>
      </c>
      <c r="J6" s="781">
        <f ca="1">ROUND(M6*M8*M7*(1-M9)/10000,0)</f>
        <v>0</v>
      </c>
      <c r="K6" s="339" t="s">
        <v>1736</v>
      </c>
      <c r="L6" s="782" t="s">
        <v>1737</v>
      </c>
      <c r="M6" s="783">
        <f ca="1">INDIRECT("'数据-取费表'!z"&amp;$G$1)</f>
        <v>0</v>
      </c>
    </row>
    <row r="7" spans="1:33" ht="18" customHeight="1">
      <c r="A7" s="2461"/>
      <c r="B7" s="3493"/>
      <c r="C7" s="786"/>
      <c r="D7" s="787"/>
      <c r="E7" s="782" t="s">
        <v>1738</v>
      </c>
      <c r="F7" s="783">
        <f ca="1">IF(INDIRECT("'数据-取费表'!ah"&amp;$G$1)="",INDIRECT("'数据-取费表'!k"&amp;$G$1),INDIRECT("'数据-取费表'!ah"&amp;$G$1))</f>
        <v>888914.7</v>
      </c>
      <c r="G7" s="1575"/>
      <c r="H7" s="2450"/>
      <c r="I7" s="3493"/>
      <c r="J7" s="786"/>
      <c r="K7" s="787"/>
      <c r="L7" s="782" t="s">
        <v>1738</v>
      </c>
      <c r="M7" s="783">
        <f ca="1">F7</f>
        <v>888914.7</v>
      </c>
    </row>
    <row r="8" spans="1:33" ht="18" customHeight="1">
      <c r="A8" s="2454"/>
      <c r="B8" s="3494"/>
      <c r="C8" s="786"/>
      <c r="D8" s="787"/>
      <c r="E8" s="782" t="s">
        <v>1739</v>
      </c>
      <c r="F8" s="783">
        <f ca="1">INDIRECT("'数据-取费表'!ai"&amp;$G$1)</f>
        <v>365</v>
      </c>
      <c r="G8" s="1575"/>
      <c r="H8" s="2450"/>
      <c r="I8" s="3494"/>
      <c r="J8" s="786"/>
      <c r="K8" s="787"/>
      <c r="L8" s="782" t="s">
        <v>1739</v>
      </c>
      <c r="M8" s="783">
        <f ca="1">INDIRECT("'数据-取费表'!ai"&amp;$G$1)</f>
        <v>365</v>
      </c>
    </row>
    <row r="9" spans="1:33" ht="18" customHeight="1">
      <c r="A9" s="784"/>
      <c r="B9" s="3495"/>
      <c r="C9" s="786"/>
      <c r="D9" s="787"/>
      <c r="E9" s="782" t="s">
        <v>1740</v>
      </c>
      <c r="F9" s="792">
        <f ca="1">INDIRECT("'数据-取费表'!w"&amp;$G$1)</f>
        <v>0.15</v>
      </c>
      <c r="G9" s="1575"/>
      <c r="H9" s="2466"/>
      <c r="I9" s="3494"/>
      <c r="J9" s="786"/>
      <c r="K9" s="787"/>
      <c r="L9" s="793" t="s">
        <v>1740</v>
      </c>
      <c r="M9" s="794">
        <f ca="1">INDIRECT("'数据-取费表'!ab"&amp;$G$1)</f>
        <v>0</v>
      </c>
    </row>
    <row r="10" spans="1:33" ht="18" customHeight="1">
      <c r="A10" s="1812" t="s">
        <v>2462</v>
      </c>
      <c r="B10" s="2455" t="s">
        <v>2455</v>
      </c>
      <c r="C10" s="797">
        <f ca="1">ROUND(IF(F10="押一",C6/12*F11,IF(F10="押二",C6/12*2*F11,IF(F10="押三",C6/12*3*F11,C11*F11))),0)</f>
        <v>34</v>
      </c>
      <c r="D10" s="2462" t="s">
        <v>2961</v>
      </c>
      <c r="E10" s="2459" t="s">
        <v>2460</v>
      </c>
      <c r="F10" s="3183" t="s">
        <v>3054</v>
      </c>
      <c r="G10" s="1575"/>
      <c r="H10" s="2522" t="s">
        <v>2465</v>
      </c>
      <c r="I10" s="2527" t="s">
        <v>2455</v>
      </c>
      <c r="J10" s="781">
        <f ca="1">ROUND(IF(M10="押一",J6/12*M11,IF(M10="押二",J6/12*2*M11,IF(M10="押三",J6/12*3*M11,J11*M11))),0)</f>
        <v>0</v>
      </c>
      <c r="K10" s="2462" t="s">
        <v>2961</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1741</v>
      </c>
      <c r="C13" s="790">
        <f ca="1">ROUND(C29*F13,0)</f>
        <v>305329</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186672</v>
      </c>
      <c r="D14" s="1961" t="s">
        <v>1744</v>
      </c>
      <c r="E14" s="1962"/>
      <c r="F14" s="803"/>
      <c r="G14" s="1575"/>
      <c r="H14" s="1631" t="s">
        <v>1829</v>
      </c>
      <c r="I14" s="2213" t="s">
        <v>2821</v>
      </c>
      <c r="J14" s="52">
        <f ca="1">C29</f>
        <v>305329</v>
      </c>
      <c r="K14" s="25"/>
      <c r="L14" s="799"/>
      <c r="M14" s="800"/>
    </row>
    <row r="15" spans="1:33" s="2046" customFormat="1" ht="18" customHeight="1" thickBot="1">
      <c r="A15" s="1630" t="s">
        <v>1884</v>
      </c>
      <c r="B15" s="782" t="s">
        <v>647</v>
      </c>
      <c r="C15" s="52">
        <f ca="1">ROUND(C14*F15,0)</f>
        <v>5600</v>
      </c>
      <c r="D15" s="804" t="s">
        <v>1745</v>
      </c>
      <c r="E15" s="804" t="s">
        <v>1746</v>
      </c>
      <c r="F15" s="805">
        <f>'数据-取费表'!B33</f>
        <v>0.03</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2">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30386</v>
      </c>
      <c r="K16" s="1803" t="s">
        <v>1749</v>
      </c>
      <c r="L16" s="2447"/>
      <c r="M16" s="2452"/>
    </row>
    <row r="17" spans="1:33" s="2046" customFormat="1" ht="18" customHeight="1">
      <c r="A17" s="1630" t="s">
        <v>1886</v>
      </c>
      <c r="B17" s="782" t="s">
        <v>653</v>
      </c>
      <c r="C17" s="52">
        <f ca="1">ROUND(F17*(F43+INDIRECT("'数据-取费表'!S"&amp;$G$1))/10000,0)</f>
        <v>13334</v>
      </c>
      <c r="D17" s="782" t="s">
        <v>1750</v>
      </c>
      <c r="E17" s="782" t="s">
        <v>1751</v>
      </c>
      <c r="F17" s="55">
        <f>'数据-取费表'!B35</f>
        <v>150</v>
      </c>
      <c r="G17" s="1576"/>
      <c r="H17" s="1631" t="s">
        <v>1829</v>
      </c>
      <c r="I17" s="782" t="s">
        <v>656</v>
      </c>
      <c r="J17" s="52">
        <f ca="1">ROUND(IF(项目基本情况!B11="自然人",J6*M17/(1+'数据-取费表'!C42),J18+J19+J20),0)</f>
        <v>25806</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2">
        <f ca="1">ROUND(C14*F18,0)</f>
        <v>2800</v>
      </c>
      <c r="D18" s="782" t="s">
        <v>1745</v>
      </c>
      <c r="E18" s="782" t="s">
        <v>1746</v>
      </c>
      <c r="F18" s="807">
        <f>'数据-取费表'!B36</f>
        <v>1.4999999999999999E-2</v>
      </c>
      <c r="G18" s="1576"/>
      <c r="H18" s="1630" t="s">
        <v>1883</v>
      </c>
      <c r="I18" s="782" t="s">
        <v>1754</v>
      </c>
      <c r="J18" s="52">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2">
        <f ca="1">SUM(C14:C18)</f>
        <v>208406</v>
      </c>
      <c r="D19" s="259" t="s">
        <v>1756</v>
      </c>
      <c r="E19" s="1964"/>
      <c r="F19" s="55"/>
      <c r="G19" s="1575"/>
      <c r="H19" s="1630" t="s">
        <v>1884</v>
      </c>
      <c r="I19" s="782" t="s">
        <v>1757</v>
      </c>
      <c r="J19" s="52">
        <f ca="1">IF(K19="按租金收入计税",ROUND(J6*M19/(1+'数据-取费表'!C42),1),ROUND(C29*F33*0.7,1))</f>
        <v>25647.599999999999</v>
      </c>
      <c r="K19" s="809" t="s">
        <v>665</v>
      </c>
      <c r="L19" s="782" t="s">
        <v>1746</v>
      </c>
      <c r="M19" s="807">
        <f>IF(K19="按租金收入计税",'数据-取费表'!B51,'数据-取费表'!B50)</f>
        <v>1.2E-2</v>
      </c>
    </row>
    <row r="20" spans="1:33" s="2046" customFormat="1" ht="18" customHeight="1">
      <c r="A20" s="1631" t="s">
        <v>1888</v>
      </c>
      <c r="B20" s="782" t="s">
        <v>666</v>
      </c>
      <c r="C20" s="52">
        <f ca="1">ROUND(C19*F20,0)</f>
        <v>4168</v>
      </c>
      <c r="D20" s="810" t="s">
        <v>1758</v>
      </c>
      <c r="E20" s="782" t="s">
        <v>1746</v>
      </c>
      <c r="F20" s="807">
        <f>'数据-取费表'!B37</f>
        <v>0.02</v>
      </c>
      <c r="G20" s="1576"/>
      <c r="H20" s="1633" t="s">
        <v>1879</v>
      </c>
      <c r="I20" s="339" t="s">
        <v>1759</v>
      </c>
      <c r="J20" s="53">
        <f ca="1">ROUND(M20*M21/10000,0)</f>
        <v>158</v>
      </c>
      <c r="K20" s="812" t="s">
        <v>1760</v>
      </c>
      <c r="L20" s="782" t="s">
        <v>1761</v>
      </c>
      <c r="M20" s="638">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2" t="s">
        <v>1763</v>
      </c>
      <c r="D21" s="810" t="s">
        <v>2295</v>
      </c>
      <c r="E21" s="782" t="s">
        <v>1764</v>
      </c>
      <c r="F21" s="807">
        <f>'数据-取费表'!B38</f>
        <v>0.02</v>
      </c>
      <c r="G21" s="1576"/>
      <c r="H21" s="2467"/>
      <c r="I21" s="791"/>
      <c r="J21" s="68"/>
      <c r="K21" s="814"/>
      <c r="L21" s="782" t="s">
        <v>1765</v>
      </c>
      <c r="M21" s="783">
        <f ca="1">INDIRECT("'数据-取费表'!r"&amp;$G$1)</f>
        <v>197536.6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2"/>
      <c r="D22" s="2533" t="str">
        <f>IF(F23&lt;=1,"单利计息。","复利计息。")&amp;"建造成本、管理费用、销售费用产生的利息。"</f>
        <v>复利计息。建造成本、管理费用、销售费用产生的利息。</v>
      </c>
      <c r="E22" s="1964"/>
      <c r="F22" s="55"/>
      <c r="G22" s="1575"/>
      <c r="H22" s="1631" t="s">
        <v>1888</v>
      </c>
      <c r="I22" s="782" t="s">
        <v>1767</v>
      </c>
      <c r="J22" s="52">
        <f ca="1">ROUND(J14*M22,0)</f>
        <v>4580</v>
      </c>
      <c r="K22" s="2445" t="s">
        <v>1768</v>
      </c>
      <c r="L22" s="782" t="s">
        <v>1746</v>
      </c>
      <c r="M22" s="815">
        <f ca="1">INDIRECT("'数据-取费表'!Ak"&amp;$G$1)</f>
        <v>1.4999999999999999E-2</v>
      </c>
    </row>
    <row r="23" spans="1:33" s="2046" customFormat="1" ht="18" customHeight="1">
      <c r="A23" s="1630" t="s">
        <v>1830</v>
      </c>
      <c r="B23" s="782" t="s">
        <v>2531</v>
      </c>
      <c r="C23" s="52">
        <f ca="1">ROUND(IF('数据-取费表'!B22&lt;=1,(C19+C20)*F24*F23/2,(C19+C20)*(POWER((1+F24),F23/2)-1)),0)</f>
        <v>26150</v>
      </c>
      <c r="D23" s="2532" t="str">
        <f>IF(F23&lt;=1,"(建造成本+管理费用)×利率×(建设周期÷2)","(建造成本+管理费用)×((1+利率)^(建设周期÷2)-1)")</f>
        <v>(建造成本+管理费用)×((1+利率)^(建设周期÷2)-1)</v>
      </c>
      <c r="E23" s="782" t="s">
        <v>1769</v>
      </c>
      <c r="F23" s="638">
        <f>'数据-取费表'!B20</f>
        <v>5</v>
      </c>
      <c r="G23" s="1576"/>
      <c r="H23" s="1631" t="s">
        <v>1889</v>
      </c>
      <c r="I23" s="782" t="s">
        <v>679</v>
      </c>
      <c r="J23" s="52">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2">
        <f ca="1">ROUND(IF('数据-取费表'!B22&lt;=1,F21*F24*F23/2,F21*(POWER((1+F24),F23/2)-1)),4)</f>
        <v>2.5000000000000001E-3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2"/>
      <c r="D25" s="259" t="s">
        <v>1774</v>
      </c>
      <c r="E25" s="1964"/>
      <c r="F25" s="55"/>
      <c r="G25" s="1575"/>
      <c r="H25" s="1811" t="s">
        <v>1775</v>
      </c>
      <c r="I25" s="2956" t="s">
        <v>2817</v>
      </c>
      <c r="J25" s="790">
        <f ca="1">J5-J16</f>
        <v>-30386</v>
      </c>
      <c r="K25" s="2509" t="s">
        <v>1776</v>
      </c>
      <c r="L25" s="2510"/>
      <c r="M25" s="2511"/>
    </row>
    <row r="26" spans="1:33" ht="18" customHeight="1">
      <c r="A26" s="1630" t="s">
        <v>1830</v>
      </c>
      <c r="B26" s="782" t="s">
        <v>2434</v>
      </c>
      <c r="C26" s="52">
        <f ca="1">ROUND((C19+C20)*F26,0)</f>
        <v>42515</v>
      </c>
      <c r="D26" s="810" t="s">
        <v>1777</v>
      </c>
      <c r="E26" s="793" t="s">
        <v>1778</v>
      </c>
      <c r="F26" s="792">
        <f ca="1">INDIRECT("'数据-取费表'!q"&amp;$G$1)</f>
        <v>0.2</v>
      </c>
      <c r="G26" s="1575"/>
      <c r="H26" s="2463" t="s">
        <v>1779</v>
      </c>
      <c r="I26" s="2214" t="s">
        <v>2822</v>
      </c>
      <c r="J26" s="781">
        <f ca="1">IF(J5&lt;&gt;0,ROUND(J25*(1-((1+M28)/(1+M26))^M27)/(M26-M28),0),0)</f>
        <v>0</v>
      </c>
      <c r="K26" s="812" t="s">
        <v>1780</v>
      </c>
      <c r="L26" s="782" t="s">
        <v>2415</v>
      </c>
      <c r="M26" s="792">
        <f ca="1">INDIRECT("'数据-取费表'!I"&amp;$G$1)</f>
        <v>5.5E-2</v>
      </c>
    </row>
    <row r="27" spans="1:33" ht="18" customHeight="1">
      <c r="A27" s="1630" t="s">
        <v>1831</v>
      </c>
      <c r="B27" s="782" t="s">
        <v>686</v>
      </c>
      <c r="C27" s="52">
        <f ca="1">ROUND(F21*F26,4)</f>
        <v>4.0000000000000001E-3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2">
        <f>ROUND(F28/(1+'数据-取费表'!C42),4)</f>
        <v>5.2400000000000002E-2</v>
      </c>
      <c r="D28" s="810" t="s">
        <v>2296</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305329</v>
      </c>
      <c r="D29" s="2506"/>
      <c r="E29" s="2507"/>
      <c r="F29" s="2508"/>
      <c r="G29" s="1576"/>
      <c r="H29" s="821" t="s">
        <v>1786</v>
      </c>
      <c r="I29" s="822" t="s">
        <v>1787</v>
      </c>
      <c r="J29" s="823">
        <f ca="1">ROUND(J26/(1+F40)^F41,0)</f>
        <v>0</v>
      </c>
      <c r="K29" s="824" t="s">
        <v>1788</v>
      </c>
      <c r="L29" s="825"/>
      <c r="M29" s="826">
        <f ca="1">INDIRECT("'数据-取费表'!k"&amp;$G$1)</f>
        <v>888914.7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10069</v>
      </c>
      <c r="D30" s="1803" t="s">
        <v>1790</v>
      </c>
      <c r="E30" s="2447"/>
      <c r="F30" s="2452"/>
      <c r="G30" s="2044"/>
      <c r="H30" s="2047"/>
      <c r="I30" s="2048"/>
      <c r="J30" s="2049"/>
      <c r="K30" s="2050"/>
      <c r="L30" s="2051"/>
      <c r="M30" s="2052"/>
    </row>
    <row r="31" spans="1:33" ht="18" customHeight="1">
      <c r="A31" s="1631" t="s">
        <v>1829</v>
      </c>
      <c r="B31" s="782" t="s">
        <v>656</v>
      </c>
      <c r="C31" s="52">
        <f ca="1">ROUND(IF(项目基本情况!B11="自然人",C6*F31/(1+'数据-取费表'!C42),C32+C33+C34),1)</f>
        <v>4754.5</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2">
        <f ca="1">ROUND(C6*F32/(1+'数据-取费表'!C42),1)</f>
        <v>1444.6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3185">
        <f ca="1">IF(D33="按租金收入计税",ROUND(C6*F33/(1+'数据-取费表'!C42),1),IF(D33="按房产原值计税",ROUND(C29*F33*0.7,1),INDIRECT("'数据-取费表'!Aj"&amp;$G$1)))</f>
        <v>3151.9</v>
      </c>
      <c r="D33" s="809" t="s">
        <v>3055</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3186">
        <f ca="1">ROUND(F34*F35/10000,1)</f>
        <v>158</v>
      </c>
      <c r="D34" s="812" t="s">
        <v>1798</v>
      </c>
      <c r="E34" s="782" t="s">
        <v>1799</v>
      </c>
      <c r="F34" s="638">
        <f>'数据-取费表'!B52</f>
        <v>8</v>
      </c>
      <c r="G34" s="2044"/>
      <c r="H34" s="2047"/>
      <c r="I34" s="833" t="s">
        <v>1812</v>
      </c>
      <c r="J34" s="834"/>
      <c r="K34" s="2062"/>
      <c r="L34" s="2061"/>
      <c r="M34" s="2061"/>
    </row>
    <row r="35" spans="1:18" ht="18" customHeight="1">
      <c r="A35" s="813"/>
      <c r="B35" s="791"/>
      <c r="C35" s="68"/>
      <c r="D35" s="814"/>
      <c r="E35" s="782" t="s">
        <v>1800</v>
      </c>
      <c r="F35" s="783">
        <f ca="1">INDIRECT("'数据-取费表'!r"&amp;$G$1)</f>
        <v>197536.6</v>
      </c>
      <c r="G35" s="2044"/>
      <c r="H35" s="2047"/>
      <c r="I35" s="835" t="s">
        <v>1813</v>
      </c>
      <c r="J35" s="836">
        <f ca="1">ROUND(C13*J36,0)</f>
        <v>25953</v>
      </c>
      <c r="K35" s="2060"/>
      <c r="L35" s="2059"/>
      <c r="M35" s="2059"/>
    </row>
    <row r="36" spans="1:18" ht="18" customHeight="1">
      <c r="A36" s="1631" t="s">
        <v>1888</v>
      </c>
      <c r="B36" s="782" t="s">
        <v>1801</v>
      </c>
      <c r="C36" s="52">
        <f ca="1">ROUND(C29*F36,1)</f>
        <v>4579.8999999999996</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2">
        <f ca="1">ROUND(C13*F37,1)</f>
        <v>458</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276.10000000000002</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6" t="s">
        <v>2817</v>
      </c>
      <c r="C39" s="790">
        <f ca="1">C5-C30</f>
        <v>17544</v>
      </c>
      <c r="D39" s="2509" t="s">
        <v>1805</v>
      </c>
      <c r="E39" s="2510"/>
      <c r="F39" s="2511"/>
      <c r="G39" s="2044"/>
      <c r="H39" s="2059"/>
      <c r="I39" s="835" t="s">
        <v>1817</v>
      </c>
      <c r="J39" s="843">
        <f ca="1">ROUND(J35/C39,3)</f>
        <v>1.4790000000000001</v>
      </c>
      <c r="K39" s="2065"/>
      <c r="L39" s="2059"/>
      <c r="M39" s="2059"/>
    </row>
    <row r="40" spans="1:18" ht="18" customHeight="1">
      <c r="A40" s="779" t="s">
        <v>1894</v>
      </c>
      <c r="B40" s="2214" t="s">
        <v>2298</v>
      </c>
      <c r="C40" s="781">
        <f ca="1">ROUND(C39*(1-((1+F42)/(1+F40))^F41)/(F40-F42),0)</f>
        <v>408902</v>
      </c>
      <c r="D40" s="812" t="s">
        <v>1806</v>
      </c>
      <c r="E40" s="782" t="s">
        <v>2415</v>
      </c>
      <c r="F40" s="792">
        <f ca="1">INDIRECT("'数据-取费表'!I"&amp;$G$1)</f>
        <v>5.5E-2</v>
      </c>
      <c r="G40" s="2044"/>
      <c r="H40" s="2044"/>
      <c r="I40" s="835" t="s">
        <v>1818</v>
      </c>
      <c r="J40" s="843">
        <f ca="1">1-J39</f>
        <v>-0.47900000000000009</v>
      </c>
      <c r="K40" s="2065"/>
      <c r="L40" s="2044"/>
      <c r="M40" s="2044"/>
    </row>
    <row r="41" spans="1:18" ht="18" customHeight="1">
      <c r="A41" s="784"/>
      <c r="B41" s="785"/>
      <c r="C41" s="786"/>
      <c r="D41" s="819" t="s">
        <v>1807</v>
      </c>
      <c r="E41" s="782" t="s">
        <v>2951</v>
      </c>
      <c r="F41" s="820">
        <f ca="1">IF(INDIRECT("'数据-取费表'!af"&amp;$G$1)=0,INDIRECT("'数据-取费表'!ae"&amp;$G$1),INDIRECT("'数据-取费表'!af"&amp;$G$1))</f>
        <v>36.44</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0.747</v>
      </c>
      <c r="K42" s="2064"/>
      <c r="L42" s="1970"/>
      <c r="M42" s="1970"/>
    </row>
    <row r="43" spans="1:18" ht="18" customHeight="1" thickBot="1">
      <c r="A43" s="821" t="s">
        <v>1786</v>
      </c>
      <c r="B43" s="822" t="s">
        <v>1809</v>
      </c>
      <c r="C43" s="823">
        <f ca="1">ROUND(C40*10000/F43,0)</f>
        <v>4600</v>
      </c>
      <c r="D43" s="824" t="s">
        <v>1810</v>
      </c>
      <c r="E43" s="825" t="s">
        <v>1811</v>
      </c>
      <c r="F43" s="826">
        <f ca="1">INDIRECT("'数据-取费表'!k"&amp;$G$1)</f>
        <v>888914.7</v>
      </c>
      <c r="G43" s="2044"/>
      <c r="H43" s="1970"/>
      <c r="I43" s="845" t="s">
        <v>1821</v>
      </c>
      <c r="J43" s="846">
        <f ca="1">1-J42</f>
        <v>0.253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-489947</v>
      </c>
      <c r="D46" s="2067"/>
      <c r="E46" s="2067"/>
      <c r="F46" s="2067"/>
      <c r="I46" s="2339" t="s">
        <v>2339</v>
      </c>
      <c r="J46" s="2340"/>
      <c r="K46" s="2341"/>
      <c r="L46" s="3098" t="str">
        <f ca="1">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89" t="s">
        <v>2340</v>
      </c>
      <c r="J47" s="2342" t="s">
        <v>3039</v>
      </c>
      <c r="K47" s="3095" t="s">
        <v>2345</v>
      </c>
      <c r="L47" s="3099">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2" t="s">
        <v>2533</v>
      </c>
      <c r="B48" s="2603" t="s">
        <v>2534</v>
      </c>
      <c r="C48" s="2335">
        <f ca="1">ROUND(F48*F50*F49*(1-F51)/10000,0)</f>
        <v>0</v>
      </c>
      <c r="D48" s="2336" t="s">
        <v>636</v>
      </c>
      <c r="E48" s="2337" t="s">
        <v>2293</v>
      </c>
      <c r="F48" s="2338"/>
      <c r="G48" s="2072"/>
      <c r="I48" s="3068" t="s">
        <v>2341</v>
      </c>
      <c r="J48" s="2343" t="s">
        <v>2346</v>
      </c>
      <c r="K48" s="3096" t="s">
        <v>2347</v>
      </c>
      <c r="L48" s="1890">
        <f ca="1">INDIRECT("'数据-取费表'!f"&amp;$G$1)</f>
        <v>36.44</v>
      </c>
      <c r="O48" s="2359" t="s">
        <v>2375</v>
      </c>
      <c r="P48" s="2360" t="s">
        <v>2401</v>
      </c>
      <c r="Q48" s="2361">
        <f ca="1">C40+J29</f>
        <v>408902</v>
      </c>
      <c r="R48" s="2360" t="s">
        <v>2376</v>
      </c>
    </row>
    <row r="49" spans="1:18" s="2041" customFormat="1" ht="18" customHeight="1" thickBot="1">
      <c r="A49" s="784"/>
      <c r="B49" s="785"/>
      <c r="C49" s="786"/>
      <c r="D49" s="787"/>
      <c r="E49" s="782" t="s">
        <v>1738</v>
      </c>
      <c r="F49" s="783">
        <f ca="1">F7</f>
        <v>888914.7</v>
      </c>
      <c r="G49" s="2072"/>
      <c r="H49" s="2075"/>
      <c r="I49" s="3068" t="s">
        <v>2342</v>
      </c>
      <c r="J49" s="2344">
        <v>2020</v>
      </c>
      <c r="K49" s="3097" t="s">
        <v>2348</v>
      </c>
      <c r="L49" s="2345"/>
      <c r="O49" s="2359" t="s">
        <v>2377</v>
      </c>
      <c r="P49" s="2360" t="s">
        <v>2402</v>
      </c>
      <c r="Q49" s="2361" t="str">
        <f ca="1">J60</f>
        <v>0</v>
      </c>
      <c r="R49" s="2360" t="s">
        <v>2378</v>
      </c>
    </row>
    <row r="50" spans="1:18" s="2041" customFormat="1" ht="18" customHeight="1" thickBot="1">
      <c r="A50" s="784"/>
      <c r="B50" s="785"/>
      <c r="C50" s="786"/>
      <c r="D50" s="787"/>
      <c r="E50" s="782" t="s">
        <v>1739</v>
      </c>
      <c r="F50" s="783">
        <f ca="1">F8</f>
        <v>365</v>
      </c>
      <c r="G50" s="2077"/>
      <c r="H50" s="2075"/>
      <c r="I50" s="3068" t="s">
        <v>2343</v>
      </c>
      <c r="J50" s="3093">
        <f>SUMPRODUCT((I63:I65=J47)*(J62:L62=J48)*(J63:L65))</f>
        <v>60</v>
      </c>
      <c r="K50" s="3097" t="s">
        <v>2349</v>
      </c>
      <c r="L50" s="2345"/>
      <c r="O50" s="2362" t="s">
        <v>2379</v>
      </c>
      <c r="P50" s="2360" t="s">
        <v>2403</v>
      </c>
      <c r="Q50" s="2361">
        <f ca="1">C29</f>
        <v>305329</v>
      </c>
      <c r="R50" s="2360" t="s">
        <v>2376</v>
      </c>
    </row>
    <row r="51" spans="1:18" s="2041" customFormat="1" ht="18" customHeight="1" thickBot="1">
      <c r="A51" s="784"/>
      <c r="B51" s="785"/>
      <c r="C51" s="786"/>
      <c r="D51" s="787"/>
      <c r="E51" s="782" t="s">
        <v>640</v>
      </c>
      <c r="F51" s="2332"/>
      <c r="H51" s="2075"/>
      <c r="I51" s="3090" t="s">
        <v>2344</v>
      </c>
      <c r="J51" s="3094">
        <f>IF(J49="",J50,J49+J50-YEAR('数据-取费表'!B2))</f>
        <v>61</v>
      </c>
      <c r="K51" s="3068" t="s">
        <v>2350</v>
      </c>
      <c r="L51" s="3100">
        <f ca="1">ROUND(-PV(INDIRECT("'数据-取费表'!h"&amp;$G$1),L48,(C39-C13*J36),0),0)</f>
        <v>-139759</v>
      </c>
      <c r="O51" s="2362" t="s">
        <v>2380</v>
      </c>
      <c r="P51" s="2360" t="s">
        <v>2381</v>
      </c>
      <c r="Q51" s="2363" t="e">
        <f ca="1">J58</f>
        <v>#VALUE!</v>
      </c>
      <c r="R51" s="2364"/>
    </row>
    <row r="52" spans="1:18" s="2041" customFormat="1" ht="18" customHeight="1" thickBot="1">
      <c r="A52" s="779" t="s">
        <v>2532</v>
      </c>
      <c r="B52" s="2455" t="s">
        <v>2455</v>
      </c>
      <c r="C52" s="797">
        <f ca="1">ROUND(IF(F52="押一",C48/12*F11,IF(F52="押二",C48/12*2*F11,IF(F52="押三",C48/12*3*F11,C53*F11))),0)</f>
        <v>0</v>
      </c>
      <c r="D52" s="2462" t="s">
        <v>2962</v>
      </c>
      <c r="E52" s="2459" t="s">
        <v>2460</v>
      </c>
      <c r="F52" s="2582"/>
      <c r="I52" s="3091" t="s">
        <v>2417</v>
      </c>
      <c r="J52" s="2346">
        <v>0.09</v>
      </c>
      <c r="K52" s="3091" t="s">
        <v>2416</v>
      </c>
      <c r="L52" s="2346"/>
      <c r="O52" s="2362" t="s">
        <v>2382</v>
      </c>
      <c r="P52" s="2360" t="s">
        <v>2383</v>
      </c>
      <c r="Q52" s="2363">
        <f>J52</f>
        <v>0.09</v>
      </c>
      <c r="R52" s="2364"/>
    </row>
    <row r="53" spans="1:18" s="2041" customFormat="1" ht="39.75" customHeight="1" thickBot="1">
      <c r="A53" s="784"/>
      <c r="B53" s="2456" t="s">
        <v>2569</v>
      </c>
      <c r="C53" s="2460"/>
      <c r="D53" s="2462"/>
      <c r="E53" s="2459"/>
      <c r="F53" s="798"/>
      <c r="I53" s="3092" t="s">
        <v>2965</v>
      </c>
      <c r="J53" s="3171">
        <f ca="1">IF(M47="住宅",IF(D1="——",MAX(J51,L48),MAX(J51,L48-'数据-取费表'!B20)),IF(D1="——",MIN(J51,L48),MIN(J51,L48-'数据-取费表'!B20)))</f>
        <v>36.44</v>
      </c>
      <c r="K53" s="3505" t="s">
        <v>2953</v>
      </c>
      <c r="L53" s="3506"/>
      <c r="O53" s="2362" t="s">
        <v>2384</v>
      </c>
      <c r="P53" s="2360" t="s">
        <v>2385</v>
      </c>
      <c r="Q53" s="2361">
        <f ca="1">J53</f>
        <v>36.44</v>
      </c>
      <c r="R53" s="2360" t="s">
        <v>2386</v>
      </c>
    </row>
    <row r="54" spans="1:18" s="2041" customFormat="1" ht="18" customHeight="1" thickBot="1">
      <c r="A54" s="2498" t="s">
        <v>2463</v>
      </c>
      <c r="B54" s="2499" t="s">
        <v>2456</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408902</v>
      </c>
      <c r="R54" s="2364" t="s">
        <v>2388</v>
      </c>
    </row>
    <row r="55" spans="1:18" s="2041" customFormat="1" ht="18" customHeight="1" thickTop="1" thickBot="1">
      <c r="A55" s="795">
        <v>2</v>
      </c>
      <c r="B55" s="796" t="s">
        <v>644</v>
      </c>
      <c r="C55" s="797">
        <f ca="1">C13</f>
        <v>305329</v>
      </c>
      <c r="D55" s="793"/>
      <c r="E55" s="793"/>
      <c r="F55" s="798"/>
      <c r="I55" s="3103" t="s">
        <v>2351</v>
      </c>
      <c r="J55" s="3044" t="e">
        <f ca="1">ROUND(IF(J47="钢混",J57/J50,1-(1-2%)*(J50-J57)/J50),3)</f>
        <v>#VALUE!</v>
      </c>
      <c r="K55" s="3104" t="s">
        <v>2352</v>
      </c>
      <c r="L55" s="2347"/>
      <c r="O55" s="2365" t="s">
        <v>2407</v>
      </c>
      <c r="P55" s="1575"/>
      <c r="Q55" s="1586"/>
      <c r="R55" s="1575"/>
    </row>
    <row r="56" spans="1:18" s="2041" customFormat="1" ht="42.75" customHeight="1" thickBot="1">
      <c r="A56" s="1632"/>
      <c r="B56" s="2213" t="s">
        <v>2299</v>
      </c>
      <c r="C56" s="52">
        <f ca="1">C29</f>
        <v>305329</v>
      </c>
      <c r="D56" s="2599"/>
      <c r="E56" s="782"/>
      <c r="F56" s="807"/>
      <c r="I56" s="3105" t="s">
        <v>2353</v>
      </c>
      <c r="J56" s="3115" t="s">
        <v>1677</v>
      </c>
      <c r="K56" s="3068" t="s">
        <v>2358</v>
      </c>
      <c r="L56" s="1890" t="str">
        <f ca="1">IF(L48&lt;J51,"——",L48-J51)</f>
        <v>——</v>
      </c>
      <c r="O56" s="2356" t="s">
        <v>2371</v>
      </c>
      <c r="P56" s="2357" t="s">
        <v>2372</v>
      </c>
      <c r="Q56" s="2358" t="s">
        <v>2373</v>
      </c>
      <c r="R56" s="2357" t="s">
        <v>2374</v>
      </c>
    </row>
    <row r="57" spans="1:18" s="2041" customFormat="1" ht="28.5" customHeight="1" thickBot="1">
      <c r="A57" s="795" t="s">
        <v>1747</v>
      </c>
      <c r="B57" s="796" t="s">
        <v>651</v>
      </c>
      <c r="C57" s="797">
        <f ca="1">ROUND(C58+C63+C64+C65,0)</f>
        <v>5196</v>
      </c>
      <c r="D57" s="25" t="s">
        <v>1749</v>
      </c>
      <c r="E57" s="2600"/>
      <c r="F57" s="55"/>
      <c r="I57" s="3106" t="s">
        <v>2354</v>
      </c>
      <c r="J57" s="3107" t="str">
        <f ca="1">IF(OR(M47="住宅",J51&lt;L48,J56="是"),"——",J51-L48)</f>
        <v>——</v>
      </c>
      <c r="K57" s="3068" t="s">
        <v>2359</v>
      </c>
      <c r="L57" s="1890" t="str">
        <f ca="1">IF(L48&lt;J51,"——",IF(L55="比较法",L49,IF(L55="基准地价",L50,L51)))</f>
        <v>——</v>
      </c>
      <c r="O57" s="2359" t="s">
        <v>2375</v>
      </c>
      <c r="P57" s="2360" t="s">
        <v>2405</v>
      </c>
      <c r="Q57" s="2361">
        <f ca="1">C40+J29</f>
        <v>408902</v>
      </c>
      <c r="R57" s="2360" t="s">
        <v>2376</v>
      </c>
    </row>
    <row r="58" spans="1:18" s="2041" customFormat="1" ht="28.5" customHeight="1" thickBot="1">
      <c r="A58" s="1631" t="s">
        <v>1823</v>
      </c>
      <c r="B58" s="782" t="s">
        <v>656</v>
      </c>
      <c r="C58" s="52">
        <f ca="1">ROUND(IF(项目基本情况!B11="自然人",C47*F58,C59+C60+C61),1)</f>
        <v>158</v>
      </c>
      <c r="D58" s="2598" t="s">
        <v>657</v>
      </c>
      <c r="E58" s="2599" t="s">
        <v>690</v>
      </c>
      <c r="F58" s="808" t="str">
        <f ca="1">IF(项目基本情况!B11="企业","",IF(INDIRECT("'数据-取费表'!c"&amp;$G$1)="住宅",5%,IF(F48*F49*F50/12/(1+'数据-取费表'!C42)&gt;20000,12%,7%)))</f>
        <v/>
      </c>
      <c r="I58" s="3106" t="s">
        <v>2355</v>
      </c>
      <c r="J58" s="3045" t="e">
        <f ca="1">IF(J55&lt;0.4,0.4,J55)</f>
        <v>#VALUE!</v>
      </c>
      <c r="K58" s="3068"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1830</v>
      </c>
      <c r="B59" s="782" t="s">
        <v>660</v>
      </c>
      <c r="C59" s="52">
        <f ca="1">ROUND(C47*F59/1.05,1)</f>
        <v>0</v>
      </c>
      <c r="D59" s="2599" t="s">
        <v>1755</v>
      </c>
      <c r="E59" s="782" t="s">
        <v>1746</v>
      </c>
      <c r="F59" s="807">
        <f t="shared" ref="F59:F65" si="0">F32</f>
        <v>5.5000000000000007E-2</v>
      </c>
      <c r="I59" s="3106" t="s">
        <v>2356</v>
      </c>
      <c r="J59" s="3107" t="str">
        <f ca="1">IF(OR(M47="住宅",J51&lt;L48,J56="是"),"——",ROUND(C29*J58,0))</f>
        <v>——</v>
      </c>
      <c r="K59" s="3068"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1831</v>
      </c>
      <c r="B60" s="782" t="s">
        <v>1757</v>
      </c>
      <c r="C60" s="52">
        <f ca="1">IF(D60="按租金收入计税",ROUND(C47*F60,1),IF(D60="按房产原值计税",ROUND(C56*F60*0.7,1),INDIRECT("'数据-取费表'!Aj"&amp;$G$1)))</f>
        <v>0</v>
      </c>
      <c r="D60" s="2599" t="str">
        <f>D33</f>
        <v>按租金收入计税</v>
      </c>
      <c r="E60" s="782" t="s">
        <v>1746</v>
      </c>
      <c r="F60" s="807">
        <f t="shared" si="0"/>
        <v>0.12</v>
      </c>
      <c r="I60" s="3108" t="s">
        <v>2357</v>
      </c>
      <c r="J60" s="3109" t="str">
        <f ca="1">IF(OR(M47="住宅",J51&lt;L48,J56="是"),"0",ROUND(J59/(1+J52)^J53,0))</f>
        <v>0</v>
      </c>
      <c r="K60" s="3110" t="s">
        <v>2362</v>
      </c>
      <c r="L60" s="3109">
        <f ca="1">IF(OR(M47="住宅",L48&lt;J51),0,ROUND(L57*(L58/L59-1),0))</f>
        <v>0</v>
      </c>
      <c r="O60" s="2362" t="s">
        <v>2380</v>
      </c>
      <c r="P60" s="2360" t="s">
        <v>2389</v>
      </c>
      <c r="Q60" s="2363">
        <f>L52</f>
        <v>0</v>
      </c>
      <c r="R60" s="2364"/>
    </row>
    <row r="61" spans="1:18" s="2041" customFormat="1" ht="18" customHeight="1" thickBot="1">
      <c r="A61" s="1633" t="s">
        <v>1832</v>
      </c>
      <c r="B61" s="339" t="s">
        <v>668</v>
      </c>
      <c r="C61" s="53">
        <f ca="1">ROUND(F61*F62/10000,1)</f>
        <v>158</v>
      </c>
      <c r="D61" s="812" t="s">
        <v>669</v>
      </c>
      <c r="E61" s="782" t="s">
        <v>670</v>
      </c>
      <c r="F61" s="638">
        <f t="shared" si="0"/>
        <v>8</v>
      </c>
      <c r="K61" s="2068"/>
      <c r="O61" s="2362" t="s">
        <v>2382</v>
      </c>
      <c r="P61" s="2360" t="s">
        <v>2390</v>
      </c>
      <c r="Q61" s="2361" t="e">
        <f ca="1">L58</f>
        <v>#DIV/0!</v>
      </c>
      <c r="R61" s="2364" t="s">
        <v>2391</v>
      </c>
    </row>
    <row r="62" spans="1:18" s="2041" customFormat="1" ht="15.75" thickBot="1">
      <c r="A62" s="813"/>
      <c r="B62" s="791"/>
      <c r="C62" s="68"/>
      <c r="D62" s="814"/>
      <c r="E62" s="782" t="s">
        <v>674</v>
      </c>
      <c r="F62" s="783">
        <f t="shared" ca="1" si="0"/>
        <v>197536.6</v>
      </c>
      <c r="I62" s="3111" t="s">
        <v>2363</v>
      </c>
      <c r="J62" s="3112" t="s">
        <v>2364</v>
      </c>
      <c r="K62" s="3112" t="s">
        <v>2365</v>
      </c>
      <c r="L62" s="3112" t="s">
        <v>2346</v>
      </c>
      <c r="M62" s="3113" t="s">
        <v>2930</v>
      </c>
      <c r="O62" s="2362" t="s">
        <v>2384</v>
      </c>
      <c r="P62" s="2360" t="str">
        <f>K59</f>
        <v>建筑物剩余耐用年限下的土地年期修正系数Kn</v>
      </c>
      <c r="Q62" s="2361" t="e">
        <f ca="1">L59</f>
        <v>#DIV/0!</v>
      </c>
      <c r="R62" s="2364" t="s">
        <v>2393</v>
      </c>
    </row>
    <row r="63" spans="1:18" s="2041" customFormat="1" ht="15.75" thickBot="1">
      <c r="A63" s="1631" t="s">
        <v>1888</v>
      </c>
      <c r="B63" s="782" t="s">
        <v>676</v>
      </c>
      <c r="C63" s="52">
        <f ca="1">ROUND(C56*F63,1)</f>
        <v>4579.8999999999996</v>
      </c>
      <c r="D63" s="2599" t="s">
        <v>1802</v>
      </c>
      <c r="E63" s="782" t="s">
        <v>1746</v>
      </c>
      <c r="F63" s="815">
        <f t="shared" ca="1" si="0"/>
        <v>1.4999999999999999E-2</v>
      </c>
      <c r="I63" s="3111" t="s">
        <v>2366</v>
      </c>
      <c r="J63" s="3112">
        <v>70</v>
      </c>
      <c r="K63" s="3112">
        <v>50</v>
      </c>
      <c r="L63" s="3112">
        <v>80</v>
      </c>
      <c r="M63" s="3114">
        <v>0.02</v>
      </c>
      <c r="O63" s="2359" t="s">
        <v>2387</v>
      </c>
      <c r="P63" s="2360" t="s">
        <v>2404</v>
      </c>
      <c r="Q63" s="2361">
        <f ca="1">Q57+Q58</f>
        <v>408902</v>
      </c>
      <c r="R63" s="2364" t="s">
        <v>2388</v>
      </c>
    </row>
    <row r="64" spans="1:18" s="2041" customFormat="1" ht="16.5" thickBot="1">
      <c r="A64" s="1631" t="s">
        <v>1889</v>
      </c>
      <c r="B64" s="782" t="s">
        <v>679</v>
      </c>
      <c r="C64" s="52">
        <f ca="1">ROUND(C55*F64,1)</f>
        <v>458</v>
      </c>
      <c r="D64" s="2599" t="s">
        <v>680</v>
      </c>
      <c r="E64" s="782" t="s">
        <v>1746</v>
      </c>
      <c r="F64" s="816">
        <f t="shared" ca="1" si="0"/>
        <v>1.5E-3</v>
      </c>
      <c r="I64" s="3111" t="s">
        <v>2367</v>
      </c>
      <c r="J64" s="3112">
        <v>50</v>
      </c>
      <c r="K64" s="3112">
        <v>35</v>
      </c>
      <c r="L64" s="3112">
        <v>60</v>
      </c>
      <c r="M64" s="844">
        <v>0</v>
      </c>
      <c r="O64" s="2365" t="s">
        <v>2411</v>
      </c>
      <c r="P64" s="1575"/>
      <c r="Q64" s="1586"/>
      <c r="R64" s="1575"/>
    </row>
    <row r="65" spans="1:18" s="2041" customFormat="1" ht="15.75" thickBot="1">
      <c r="A65" s="1631" t="s">
        <v>1890</v>
      </c>
      <c r="B65" s="782" t="s">
        <v>666</v>
      </c>
      <c r="C65" s="52">
        <f ca="1">ROUND(C47*F65,1)</f>
        <v>0</v>
      </c>
      <c r="D65" s="2599" t="s">
        <v>683</v>
      </c>
      <c r="E65" s="782" t="s">
        <v>1746</v>
      </c>
      <c r="F65" s="792">
        <f t="shared" ca="1" si="0"/>
        <v>0.01</v>
      </c>
      <c r="I65" s="3111" t="s">
        <v>2368</v>
      </c>
      <c r="J65" s="3112">
        <v>40</v>
      </c>
      <c r="K65" s="3112">
        <v>30</v>
      </c>
      <c r="L65" s="3112">
        <v>50</v>
      </c>
      <c r="M65" s="3114">
        <v>0.02</v>
      </c>
      <c r="O65" s="2356" t="s">
        <v>2371</v>
      </c>
      <c r="P65" s="2357" t="s">
        <v>2372</v>
      </c>
      <c r="Q65" s="2358" t="s">
        <v>2373</v>
      </c>
      <c r="R65" s="2357" t="s">
        <v>2374</v>
      </c>
    </row>
    <row r="66" spans="1:18" s="2041" customFormat="1" ht="24.75" thickBot="1">
      <c r="A66" s="795" t="s">
        <v>1775</v>
      </c>
      <c r="B66" s="2957" t="s">
        <v>2817</v>
      </c>
      <c r="C66" s="797">
        <f ca="1">C47-C57</f>
        <v>-5196</v>
      </c>
      <c r="D66" s="2598" t="s">
        <v>700</v>
      </c>
      <c r="E66" s="2597"/>
      <c r="F66" s="818"/>
      <c r="K66" s="2068"/>
      <c r="O66" s="2359" t="s">
        <v>2375</v>
      </c>
      <c r="P66" s="2360" t="s">
        <v>2405</v>
      </c>
      <c r="Q66" s="2361">
        <f ca="1">C40+J29</f>
        <v>408902</v>
      </c>
      <c r="R66" s="2360" t="s">
        <v>2376</v>
      </c>
    </row>
    <row r="67" spans="1:18" s="2041" customFormat="1" ht="20.25" thickBot="1">
      <c r="A67" s="779" t="s">
        <v>1779</v>
      </c>
      <c r="B67" s="2214" t="s">
        <v>2298</v>
      </c>
      <c r="C67" s="781">
        <f ca="1">ROUND(C66*(1-((1+F69)/(1+F67))^F68)/(F67-F69),0)</f>
        <v>-81045</v>
      </c>
      <c r="D67" s="812" t="s">
        <v>704</v>
      </c>
      <c r="E67" s="782" t="s">
        <v>705</v>
      </c>
      <c r="F67" s="792">
        <f ca="1">F40</f>
        <v>5.5E-2</v>
      </c>
      <c r="K67" s="2068"/>
      <c r="O67" s="2359" t="s">
        <v>2377</v>
      </c>
      <c r="P67" s="2360" t="s">
        <v>2408</v>
      </c>
      <c r="Q67" s="2361">
        <f ca="1">L60</f>
        <v>0</v>
      </c>
      <c r="R67" s="2364" t="s">
        <v>2410</v>
      </c>
    </row>
    <row r="68" spans="1:18" ht="21.75" thickBot="1">
      <c r="A68" s="784"/>
      <c r="B68" s="785"/>
      <c r="C68" s="786"/>
      <c r="D68" s="819" t="s">
        <v>1807</v>
      </c>
      <c r="E68" s="782" t="s">
        <v>1783</v>
      </c>
      <c r="F68" s="820">
        <f ca="1">F41</f>
        <v>36.44</v>
      </c>
      <c r="O68" s="2362" t="s">
        <v>2379</v>
      </c>
      <c r="P68" s="2360" t="s">
        <v>2409</v>
      </c>
      <c r="Q68" s="2366">
        <f ca="1">L51</f>
        <v>-139759</v>
      </c>
      <c r="R68" s="2367" t="s">
        <v>2412</v>
      </c>
    </row>
    <row r="69" spans="1:18" ht="20.25" thickBot="1">
      <c r="A69" s="788"/>
      <c r="B69" s="789"/>
      <c r="C69" s="790"/>
      <c r="D69" s="814"/>
      <c r="E69" s="782" t="s">
        <v>710</v>
      </c>
      <c r="F69" s="2332"/>
      <c r="O69" s="2362" t="s">
        <v>2380</v>
      </c>
      <c r="P69" s="2368" t="s">
        <v>2394</v>
      </c>
      <c r="Q69" s="2361">
        <f ca="1">ROUND(Q70-Q71*Q72,0)</f>
        <v>-8409</v>
      </c>
      <c r="R69" s="2364"/>
    </row>
    <row r="70" spans="1:18" ht="15.75" thickBot="1">
      <c r="A70" s="821" t="s">
        <v>1786</v>
      </c>
      <c r="B70" s="822" t="s">
        <v>1809</v>
      </c>
      <c r="C70" s="823">
        <f ca="1">ROUND(C67*10000/F70,0)</f>
        <v>-912</v>
      </c>
      <c r="D70" s="824" t="s">
        <v>1810</v>
      </c>
      <c r="E70" s="825" t="s">
        <v>1811</v>
      </c>
      <c r="F70" s="826">
        <f ca="1">F43</f>
        <v>888914.7</v>
      </c>
      <c r="O70" s="2362" t="s">
        <v>2395</v>
      </c>
      <c r="P70" s="2368" t="s">
        <v>2396</v>
      </c>
      <c r="Q70" s="2361">
        <f ca="1">C39</f>
        <v>17544</v>
      </c>
      <c r="R70" s="2360" t="s">
        <v>2376</v>
      </c>
    </row>
    <row r="71" spans="1:18" ht="15.75" thickBot="1">
      <c r="O71" s="2362" t="s">
        <v>2397</v>
      </c>
      <c r="P71" s="2368" t="s">
        <v>2398</v>
      </c>
      <c r="Q71" s="2361">
        <f ca="1">C13</f>
        <v>305329</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建筑物剩余耐用年限下的土地年期修正系数Kn</v>
      </c>
      <c r="Q75" s="2361" t="e">
        <f ca="1">L59</f>
        <v>#DIV/0!</v>
      </c>
      <c r="R75" s="2364" t="s">
        <v>2393</v>
      </c>
    </row>
    <row r="76" spans="1:18" ht="15.75" thickBot="1">
      <c r="O76" s="2359" t="s">
        <v>2387</v>
      </c>
      <c r="P76" s="2360" t="s">
        <v>2404</v>
      </c>
      <c r="Q76" s="2361">
        <f ca="1">Q66+Q67</f>
        <v>408902</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3" t="s">
        <v>2467</v>
      </c>
      <c r="B1" s="3524"/>
      <c r="C1" s="3525"/>
      <c r="D1" s="3526">
        <f>SUM(I10,I15,I20,I21,I23)</f>
        <v>0</v>
      </c>
      <c r="E1" s="3526"/>
      <c r="F1" s="3526"/>
      <c r="G1" s="3526"/>
      <c r="H1" s="3526"/>
      <c r="I1" s="3527"/>
    </row>
    <row r="2" spans="1:9">
      <c r="A2" s="3513" t="s">
        <v>2468</v>
      </c>
      <c r="B2" s="3514" t="s">
        <v>2469</v>
      </c>
      <c r="C2" s="3514"/>
      <c r="D2" s="2468" t="s">
        <v>2470</v>
      </c>
      <c r="E2" s="2468" t="s">
        <v>2471</v>
      </c>
      <c r="F2" s="2468" t="s">
        <v>2472</v>
      </c>
      <c r="G2" s="2468" t="s">
        <v>2473</v>
      </c>
      <c r="H2" s="2468" t="s">
        <v>2474</v>
      </c>
      <c r="I2" s="2469" t="s">
        <v>2475</v>
      </c>
    </row>
    <row r="3" spans="1:9">
      <c r="A3" s="3513"/>
      <c r="B3" s="3514" t="s">
        <v>2476</v>
      </c>
      <c r="C3" s="3514"/>
      <c r="D3" s="2470"/>
      <c r="E3" s="2468"/>
      <c r="F3" s="2471"/>
      <c r="G3" s="2471"/>
      <c r="H3" s="2472"/>
      <c r="I3" s="2473">
        <f>ROUND(D3*E3*F3*G3*H3/10000,0)</f>
        <v>0</v>
      </c>
    </row>
    <row r="4" spans="1:9">
      <c r="A4" s="3513"/>
      <c r="B4" s="3514" t="s">
        <v>2477</v>
      </c>
      <c r="C4" s="3514"/>
      <c r="D4" s="2470"/>
      <c r="E4" s="2468"/>
      <c r="F4" s="2471"/>
      <c r="G4" s="2471"/>
      <c r="H4" s="2472"/>
      <c r="I4" s="2473">
        <f t="shared" ref="I4:I9" si="0">ROUND(D4*E4*F4*G4*H4/10000,0)</f>
        <v>0</v>
      </c>
    </row>
    <row r="5" spans="1:9">
      <c r="A5" s="3513"/>
      <c r="B5" s="3514" t="s">
        <v>2478</v>
      </c>
      <c r="C5" s="3514"/>
      <c r="D5" s="2470"/>
      <c r="E5" s="2468"/>
      <c r="F5" s="2471"/>
      <c r="G5" s="2471"/>
      <c r="H5" s="2472"/>
      <c r="I5" s="2473">
        <f t="shared" si="0"/>
        <v>0</v>
      </c>
    </row>
    <row r="6" spans="1:9">
      <c r="A6" s="3513"/>
      <c r="B6" s="3514" t="s">
        <v>2479</v>
      </c>
      <c r="C6" s="3514"/>
      <c r="D6" s="2470"/>
      <c r="E6" s="2468"/>
      <c r="F6" s="2471"/>
      <c r="G6" s="2471"/>
      <c r="H6" s="2472"/>
      <c r="I6" s="2473">
        <f t="shared" si="0"/>
        <v>0</v>
      </c>
    </row>
    <row r="7" spans="1:9">
      <c r="A7" s="3513"/>
      <c r="B7" s="3514" t="s">
        <v>2480</v>
      </c>
      <c r="C7" s="3514"/>
      <c r="D7" s="2470"/>
      <c r="E7" s="2468"/>
      <c r="F7" s="2471"/>
      <c r="G7" s="2471"/>
      <c r="H7" s="2472"/>
      <c r="I7" s="2473">
        <f t="shared" si="0"/>
        <v>0</v>
      </c>
    </row>
    <row r="8" spans="1:9">
      <c r="A8" s="3513"/>
      <c r="B8" s="3514" t="s">
        <v>2481</v>
      </c>
      <c r="C8" s="3514"/>
      <c r="D8" s="2470"/>
      <c r="E8" s="2468"/>
      <c r="F8" s="2471"/>
      <c r="G8" s="2471"/>
      <c r="H8" s="2472"/>
      <c r="I8" s="2473">
        <f t="shared" si="0"/>
        <v>0</v>
      </c>
    </row>
    <row r="9" spans="1:9">
      <c r="A9" s="3513"/>
      <c r="B9" s="3514" t="s">
        <v>2482</v>
      </c>
      <c r="C9" s="3514"/>
      <c r="D9" s="2470"/>
      <c r="E9" s="2468"/>
      <c r="F9" s="2471"/>
      <c r="G9" s="2471"/>
      <c r="H9" s="2472"/>
      <c r="I9" s="2473">
        <f t="shared" si="0"/>
        <v>0</v>
      </c>
    </row>
    <row r="10" spans="1:9">
      <c r="A10" s="3513"/>
      <c r="B10" s="3515" t="s">
        <v>2483</v>
      </c>
      <c r="C10" s="3515"/>
      <c r="D10" s="2474">
        <v>527</v>
      </c>
      <c r="E10" s="2474" t="e">
        <f>ROUND(D1*10000/D10/H9,0)</f>
        <v>#DIV/0!</v>
      </c>
      <c r="F10" s="2475"/>
      <c r="G10" s="2475"/>
      <c r="H10" s="2476"/>
      <c r="I10" s="2477">
        <f>SUM(I3:I9)</f>
        <v>0</v>
      </c>
    </row>
    <row r="11" spans="1:9" ht="14.25">
      <c r="A11" s="3513" t="s">
        <v>2484</v>
      </c>
      <c r="B11" s="3514" t="s">
        <v>2485</v>
      </c>
      <c r="C11" s="3514"/>
      <c r="D11" s="2470" t="s">
        <v>2486</v>
      </c>
      <c r="E11" s="2470" t="s">
        <v>2487</v>
      </c>
      <c r="F11" s="2471" t="s">
        <v>2488</v>
      </c>
      <c r="G11" s="2471" t="s">
        <v>2489</v>
      </c>
      <c r="H11" s="2478" t="s">
        <v>2490</v>
      </c>
      <c r="I11" s="2469" t="s">
        <v>2491</v>
      </c>
    </row>
    <row r="12" spans="1:9">
      <c r="A12" s="3513"/>
      <c r="B12" s="3514" t="s">
        <v>2492</v>
      </c>
      <c r="C12" s="3514"/>
      <c r="D12" s="2470"/>
      <c r="E12" s="2470"/>
      <c r="F12" s="2471"/>
      <c r="G12" s="2472"/>
      <c r="H12" s="2479"/>
      <c r="I12" s="2469">
        <f>ROUND(D12*E12*F12*G12/10000,0)</f>
        <v>0</v>
      </c>
    </row>
    <row r="13" spans="1:9">
      <c r="A13" s="3513"/>
      <c r="B13" s="3514" t="s">
        <v>2493</v>
      </c>
      <c r="C13" s="3514"/>
      <c r="D13" s="2470"/>
      <c r="E13" s="2470"/>
      <c r="F13" s="2471"/>
      <c r="G13" s="2472"/>
      <c r="H13" s="2479"/>
      <c r="I13" s="2469">
        <f>ROUND(D13*E13*F13*G13/10000,0)</f>
        <v>0</v>
      </c>
    </row>
    <row r="14" spans="1:9">
      <c r="A14" s="3513"/>
      <c r="B14" s="3514" t="s">
        <v>2494</v>
      </c>
      <c r="C14" s="3514"/>
      <c r="D14" s="2470"/>
      <c r="E14" s="2470"/>
      <c r="F14" s="2471"/>
      <c r="G14" s="2472"/>
      <c r="H14" s="2479"/>
      <c r="I14" s="2469">
        <f>ROUND(D14*E14*F14*G14/10000,0)</f>
        <v>0</v>
      </c>
    </row>
    <row r="15" spans="1:9">
      <c r="A15" s="3513"/>
      <c r="B15" s="3515" t="s">
        <v>2483</v>
      </c>
      <c r="C15" s="3515"/>
      <c r="D15" s="2474"/>
      <c r="E15" s="2474">
        <f>SUM(E12:E14)</f>
        <v>0</v>
      </c>
      <c r="F15" s="2475"/>
      <c r="G15" s="2472"/>
      <c r="H15" s="2479"/>
      <c r="I15" s="2480">
        <f>SUM(I12:I14)</f>
        <v>0</v>
      </c>
    </row>
    <row r="16" spans="1:9" ht="24">
      <c r="A16" s="3513" t="s">
        <v>2495</v>
      </c>
      <c r="B16" s="3514" t="s">
        <v>2496</v>
      </c>
      <c r="C16" s="3514"/>
      <c r="D16" s="2470" t="s">
        <v>2497</v>
      </c>
      <c r="E16" s="2481" t="s">
        <v>2498</v>
      </c>
      <c r="F16" s="2471" t="s">
        <v>2499</v>
      </c>
      <c r="G16" s="2472" t="s">
        <v>2489</v>
      </c>
      <c r="H16" s="2478" t="s">
        <v>2490</v>
      </c>
      <c r="I16" s="2469" t="s">
        <v>2491</v>
      </c>
    </row>
    <row r="17" spans="1:9" ht="14.25">
      <c r="A17" s="3513"/>
      <c r="B17" s="3514" t="s">
        <v>2500</v>
      </c>
      <c r="C17" s="3514"/>
      <c r="D17" s="2470"/>
      <c r="E17" s="2470"/>
      <c r="F17" s="2471"/>
      <c r="G17" s="2472"/>
      <c r="H17" s="2482"/>
      <c r="I17" s="2483">
        <f>ROUND(D17*E17*F17*G17/10000,0)</f>
        <v>0</v>
      </c>
    </row>
    <row r="18" spans="1:9" ht="14.25">
      <c r="A18" s="3513"/>
      <c r="B18" s="3514" t="s">
        <v>2501</v>
      </c>
      <c r="C18" s="3514"/>
      <c r="D18" s="2470"/>
      <c r="E18" s="2470"/>
      <c r="F18" s="2471"/>
      <c r="G18" s="2472"/>
      <c r="H18" s="2482"/>
      <c r="I18" s="2483">
        <f>ROUND(D18*E18*F18*G18/10000,0)</f>
        <v>0</v>
      </c>
    </row>
    <row r="19" spans="1:9" ht="14.25">
      <c r="A19" s="3513"/>
      <c r="B19" s="3514" t="s">
        <v>2502</v>
      </c>
      <c r="C19" s="3514"/>
      <c r="D19" s="2470"/>
      <c r="E19" s="2470"/>
      <c r="F19" s="2471"/>
      <c r="G19" s="2472"/>
      <c r="H19" s="2482"/>
      <c r="I19" s="2483">
        <f>ROUND(D19*E19*F19*G19/10000,0)</f>
        <v>0</v>
      </c>
    </row>
    <row r="20" spans="1:9">
      <c r="A20" s="3513"/>
      <c r="B20" s="3515" t="s">
        <v>2483</v>
      </c>
      <c r="C20" s="3515"/>
      <c r="D20" s="2474">
        <f>SUM(D17:D19)</f>
        <v>0</v>
      </c>
      <c r="E20" s="2474"/>
      <c r="F20" s="2475"/>
      <c r="G20" s="2472"/>
      <c r="H20" s="2479"/>
      <c r="I20" s="2480">
        <f>SUM(I17:I19)</f>
        <v>0</v>
      </c>
    </row>
    <row r="21" spans="1:9">
      <c r="A21" s="3513" t="s">
        <v>2503</v>
      </c>
      <c r="B21" s="3516"/>
      <c r="C21" s="3516"/>
      <c r="D21" s="3516"/>
      <c r="E21" s="3516"/>
      <c r="F21" s="3516"/>
      <c r="G21" s="3516"/>
      <c r="H21" s="2484">
        <v>0.1</v>
      </c>
      <c r="I21" s="2477">
        <f>ROUND(I10*H21,0)</f>
        <v>0</v>
      </c>
    </row>
    <row r="22" spans="1:9" ht="14.25">
      <c r="A22" s="3517" t="s">
        <v>2504</v>
      </c>
      <c r="B22" s="3518"/>
      <c r="C22" s="3519"/>
      <c r="D22" s="2485" t="s">
        <v>2505</v>
      </c>
      <c r="E22" s="2485" t="s">
        <v>2506</v>
      </c>
      <c r="F22" s="2486" t="s">
        <v>2507</v>
      </c>
      <c r="G22" s="2486" t="s">
        <v>2508</v>
      </c>
      <c r="H22" s="2478" t="s">
        <v>2509</v>
      </c>
      <c r="I22" s="2469" t="s">
        <v>2510</v>
      </c>
    </row>
    <row r="23" spans="1:9" ht="14.25" thickBot="1">
      <c r="A23" s="3520"/>
      <c r="B23" s="3521"/>
      <c r="C23" s="3522"/>
      <c r="D23" s="2487"/>
      <c r="E23" s="2487"/>
      <c r="F23" s="2487"/>
      <c r="G23" s="2488"/>
      <c r="H23" s="2489"/>
      <c r="I23" s="2490">
        <f>ROUND(E23*D23*F23*(1-G23)/10000,0)</f>
        <v>0</v>
      </c>
    </row>
    <row r="26" spans="1:9">
      <c r="A26" s="2491" t="s">
        <v>2511</v>
      </c>
      <c r="B26" s="2491"/>
      <c r="C26" s="2491"/>
      <c r="D26" s="2491"/>
      <c r="E26" s="3510">
        <f>C27-C30-C31-C32</f>
        <v>0</v>
      </c>
      <c r="F26" s="3510"/>
      <c r="G26" s="3510"/>
      <c r="H26" s="2988" t="s">
        <v>2838</v>
      </c>
    </row>
    <row r="27" spans="1:9">
      <c r="A27" s="2492">
        <v>1</v>
      </c>
      <c r="B27" s="2493" t="s">
        <v>2512</v>
      </c>
      <c r="C27" s="2493"/>
      <c r="D27" s="2493"/>
      <c r="E27" s="3511"/>
      <c r="F27" s="3511"/>
      <c r="G27" s="3511"/>
    </row>
    <row r="28" spans="1:9">
      <c r="A28" s="2494" t="s">
        <v>2513</v>
      </c>
      <c r="B28" s="2493" t="s">
        <v>2514</v>
      </c>
      <c r="C28" s="2493"/>
      <c r="D28" s="2493"/>
      <c r="E28" s="3511"/>
      <c r="F28" s="3511"/>
      <c r="G28" s="3511"/>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512"/>
      <c r="F32" s="3512"/>
      <c r="G32" s="3512"/>
    </row>
    <row r="33" spans="1:7" hidden="1">
      <c r="A33" s="3507" t="s">
        <v>2522</v>
      </c>
      <c r="B33" s="3508"/>
      <c r="C33" s="3508"/>
      <c r="D33" s="3509"/>
      <c r="E33" s="3510"/>
      <c r="F33" s="3510"/>
      <c r="G33" s="3510"/>
    </row>
    <row r="34" spans="1:7" hidden="1">
      <c r="A34" s="2496">
        <v>1</v>
      </c>
      <c r="B34" s="2493" t="s">
        <v>2523</v>
      </c>
      <c r="C34" s="2493"/>
      <c r="D34" s="2493"/>
      <c r="E34" s="3511"/>
      <c r="F34" s="3511"/>
      <c r="G34" s="3511"/>
    </row>
    <row r="35" spans="1:7" hidden="1">
      <c r="A35" s="2496">
        <v>2</v>
      </c>
      <c r="B35" s="2493" t="s">
        <v>2524</v>
      </c>
      <c r="C35" s="2493"/>
      <c r="D35" s="2493"/>
      <c r="E35" s="3511"/>
      <c r="F35" s="3511"/>
      <c r="G35" s="3511"/>
    </row>
    <row r="36" spans="1:7" hidden="1">
      <c r="A36" s="2496">
        <v>3</v>
      </c>
      <c r="B36" s="2493" t="s">
        <v>2525</v>
      </c>
      <c r="C36" s="2493"/>
      <c r="D36" s="2493"/>
      <c r="E36" s="3511"/>
      <c r="F36" s="3511"/>
      <c r="G36" s="3511"/>
    </row>
    <row r="37" spans="1:7" hidden="1">
      <c r="A37" s="2496">
        <v>4</v>
      </c>
      <c r="B37" s="2493" t="s">
        <v>2526</v>
      </c>
      <c r="C37" s="2493"/>
      <c r="D37" s="2493"/>
      <c r="E37" s="3511"/>
      <c r="F37" s="3511"/>
      <c r="G37" s="3511"/>
    </row>
    <row r="38" spans="1:7" hidden="1">
      <c r="A38" s="3507" t="s">
        <v>2527</v>
      </c>
      <c r="B38" s="3508"/>
      <c r="C38" s="3508"/>
      <c r="D38" s="3509"/>
      <c r="E38" s="3510"/>
      <c r="F38" s="3510"/>
      <c r="G38" s="35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888914.7</v>
      </c>
      <c r="E10" s="747">
        <f>'数据-取费表'!B31</f>
        <v>50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0</v>
      </c>
      <c r="D12" s="756">
        <f>'数据-汇总表'!E5</f>
        <v>0</v>
      </c>
      <c r="E12" s="755">
        <f>'数据-取费表'!B27</f>
        <v>160</v>
      </c>
      <c r="F12" s="753"/>
      <c r="G12" s="757"/>
    </row>
    <row r="13" spans="1:25" s="2165" customFormat="1" ht="13.5" customHeight="1">
      <c r="A13" s="2437" t="s">
        <v>2443</v>
      </c>
      <c r="B13" s="754" t="s">
        <v>612</v>
      </c>
      <c r="C13" s="755">
        <f>ROUND(D13*E13/10000,0)</f>
        <v>17778</v>
      </c>
      <c r="D13" s="756">
        <f>'数据-汇总表'!E6</f>
        <v>888914.7</v>
      </c>
      <c r="E13" s="755">
        <f>'数据-取费表'!B28</f>
        <v>200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0.83099999999999996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24" t="s">
        <v>522</v>
      </c>
      <c r="D4" s="3425"/>
      <c r="E4" s="3448" t="s">
        <v>523</v>
      </c>
      <c r="F4" s="3449"/>
      <c r="G4" s="3424" t="s">
        <v>524</v>
      </c>
      <c r="H4" s="3425"/>
      <c r="I4" s="3424" t="s">
        <v>525</v>
      </c>
      <c r="J4" s="3425"/>
      <c r="K4" s="512"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32" t="s">
        <v>524</v>
      </c>
      <c r="AC4" s="3407" t="s">
        <v>525</v>
      </c>
    </row>
    <row r="5" spans="1:29" ht="15">
      <c r="A5" s="513"/>
      <c r="B5" s="514"/>
      <c r="C5" s="3435" t="s">
        <v>2917</v>
      </c>
      <c r="D5" s="3436"/>
      <c r="E5" s="3450" t="s">
        <v>2918</v>
      </c>
      <c r="F5" s="3451"/>
      <c r="G5" s="3435" t="s">
        <v>2919</v>
      </c>
      <c r="H5" s="3436"/>
      <c r="I5" s="3435" t="s">
        <v>2920</v>
      </c>
      <c r="J5" s="3436"/>
      <c r="K5" s="512"/>
      <c r="L5" s="2115"/>
      <c r="M5" s="2116"/>
      <c r="N5" s="2116"/>
      <c r="O5" s="2116"/>
      <c r="P5" s="3428"/>
      <c r="Q5" s="3429"/>
      <c r="R5" s="3414"/>
      <c r="S5" s="3415"/>
      <c r="T5" s="3414"/>
      <c r="U5" s="3415"/>
      <c r="V5" s="3432"/>
      <c r="W5" s="3432"/>
      <c r="X5" s="1550"/>
      <c r="Y5" s="3414"/>
      <c r="Z5" s="3415"/>
      <c r="AA5" s="3408"/>
      <c r="AB5" s="3432"/>
      <c r="AC5" s="3408"/>
    </row>
    <row r="6" spans="1:29" ht="15.75" thickBot="1">
      <c r="A6" s="515"/>
      <c r="B6" s="516"/>
      <c r="C6" s="3433" t="s">
        <v>2921</v>
      </c>
      <c r="D6" s="3434"/>
      <c r="E6" s="3452" t="s">
        <v>2921</v>
      </c>
      <c r="F6" s="3453"/>
      <c r="G6" s="3433" t="s">
        <v>2921</v>
      </c>
      <c r="H6" s="3434"/>
      <c r="I6" s="3433" t="s">
        <v>2921</v>
      </c>
      <c r="J6" s="3434"/>
      <c r="K6" s="512" t="s">
        <v>528</v>
      </c>
      <c r="L6" s="2115"/>
      <c r="M6" s="2116"/>
      <c r="N6" s="2116"/>
      <c r="O6" s="2116"/>
      <c r="P6" s="3430"/>
      <c r="Q6" s="3431"/>
      <c r="R6" s="3414"/>
      <c r="S6" s="3415"/>
      <c r="T6" s="3416"/>
      <c r="U6" s="3417"/>
      <c r="V6" s="3432"/>
      <c r="W6" s="3432"/>
      <c r="X6" s="1550"/>
      <c r="Y6" s="3416"/>
      <c r="Z6" s="3417"/>
      <c r="AA6" s="3409"/>
      <c r="AB6" s="3432"/>
      <c r="AC6" s="3409"/>
    </row>
    <row r="7" spans="1:29" s="1213" customFormat="1" ht="15.75" thickBot="1">
      <c r="A7" s="2862"/>
      <c r="B7" s="2869" t="s">
        <v>529</v>
      </c>
      <c r="C7" s="517">
        <f>'数据-取费表'!B2</f>
        <v>43805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0"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46" si="3">D8/F8</f>
        <v>#DIV/0!</v>
      </c>
      <c r="AB8" s="1554" t="e">
        <f t="shared" ref="AB8:AB46" si="4">D8/H8</f>
        <v>#DIV/0!</v>
      </c>
      <c r="AC8" s="1554" t="e">
        <f t="shared" ref="AC8:AC46" si="5">D8/J8</f>
        <v>#DIV/0!</v>
      </c>
    </row>
    <row r="9" spans="1:29" s="1213" customFormat="1" ht="15">
      <c r="A9" s="2864"/>
      <c r="B9" s="2871" t="s">
        <v>2751</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75"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18"/>
      <c r="Q11" s="1144" t="str">
        <f t="shared" si="6"/>
        <v>容积率</v>
      </c>
      <c r="R11" s="1551" t="s">
        <v>8</v>
      </c>
      <c r="S11" s="1552" t="e">
        <f t="shared" si="0"/>
        <v>#N/A</v>
      </c>
      <c r="T11" s="1551" t="s">
        <v>8</v>
      </c>
      <c r="U11" s="1552" t="e">
        <f t="shared" si="1"/>
        <v>#N/A</v>
      </c>
      <c r="V11" s="1551" t="s">
        <v>8</v>
      </c>
      <c r="W11" s="1552" t="e">
        <f t="shared" si="2"/>
        <v>#N/A</v>
      </c>
      <c r="X11" s="1553"/>
      <c r="Y11" s="3375"/>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75"/>
      <c r="Z12" s="1143">
        <f t="shared" si="7"/>
        <v>111</v>
      </c>
      <c r="AA12" s="1554">
        <f>D12/F12</f>
        <v>1</v>
      </c>
      <c r="AB12" s="1554">
        <f>D12/H12</f>
        <v>1</v>
      </c>
      <c r="AC12" s="1554">
        <f>D12/J12</f>
        <v>1</v>
      </c>
    </row>
    <row r="13" spans="1:29" ht="15">
      <c r="A13" s="2867"/>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75"/>
      <c r="Z13" s="1143">
        <f t="shared" si="7"/>
        <v>111</v>
      </c>
      <c r="AA13" s="1554">
        <f t="shared" si="3"/>
        <v>1</v>
      </c>
      <c r="AB13" s="1554">
        <f t="shared" si="4"/>
        <v>1</v>
      </c>
      <c r="AC13" s="1554">
        <f t="shared" si="5"/>
        <v>1</v>
      </c>
    </row>
    <row r="14" spans="1:29" ht="15.75" thickBot="1">
      <c r="A14" s="2868"/>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18"/>
      <c r="Q14" s="1144">
        <f t="shared" si="6"/>
        <v>111</v>
      </c>
      <c r="R14" s="1551" t="s">
        <v>8</v>
      </c>
      <c r="S14" s="1552">
        <f t="shared" si="0"/>
        <v>100</v>
      </c>
      <c r="T14" s="1551" t="s">
        <v>8</v>
      </c>
      <c r="U14" s="1552">
        <f t="shared" si="1"/>
        <v>100</v>
      </c>
      <c r="V14" s="1551" t="s">
        <v>8</v>
      </c>
      <c r="W14" s="1552">
        <f t="shared" si="2"/>
        <v>100</v>
      </c>
      <c r="X14" s="1553"/>
      <c r="Y14" s="3375"/>
      <c r="Z14" s="1143">
        <f t="shared" si="7"/>
        <v>111</v>
      </c>
      <c r="AA14" s="1554">
        <f t="shared" si="3"/>
        <v>1</v>
      </c>
      <c r="AB14" s="1554">
        <f t="shared" si="4"/>
        <v>1</v>
      </c>
      <c r="AC14" s="1554">
        <f t="shared" si="5"/>
        <v>1</v>
      </c>
    </row>
    <row r="15" spans="1:29" ht="71.25">
      <c r="A15" s="2860" t="s">
        <v>2749</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20" t="s">
        <v>540</v>
      </c>
      <c r="Q15" s="1555" t="str">
        <f t="shared" si="6"/>
        <v>商业繁华度</v>
      </c>
      <c r="R15" s="1556" t="s">
        <v>8</v>
      </c>
      <c r="S15" s="1557">
        <f t="shared" si="0"/>
        <v>100</v>
      </c>
      <c r="T15" s="1556" t="s">
        <v>8</v>
      </c>
      <c r="U15" s="1557">
        <f t="shared" si="1"/>
        <v>100</v>
      </c>
      <c r="V15" s="1556" t="s">
        <v>8</v>
      </c>
      <c r="W15" s="1557">
        <f t="shared" si="2"/>
        <v>100</v>
      </c>
      <c r="X15" s="1550"/>
      <c r="Y15" s="3420"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1"/>
      <c r="Q16" s="1555"/>
      <c r="R16" s="1556"/>
      <c r="S16" s="1557"/>
      <c r="T16" s="1556"/>
      <c r="U16" s="1557"/>
      <c r="V16" s="1556"/>
      <c r="W16" s="1557"/>
      <c r="X16" s="1550"/>
      <c r="Y16" s="3421"/>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1"/>
      <c r="Q18" s="1555"/>
      <c r="R18" s="1556"/>
      <c r="S18" s="1557"/>
      <c r="T18" s="1556"/>
      <c r="U18" s="1557"/>
      <c r="V18" s="1556"/>
      <c r="W18" s="1557"/>
      <c r="X18" s="1550"/>
      <c r="Y18" s="3421"/>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21"/>
      <c r="Q20" s="1555"/>
      <c r="R20" s="1556"/>
      <c r="S20" s="1557"/>
      <c r="T20" s="1556"/>
      <c r="U20" s="1557"/>
      <c r="V20" s="1556"/>
      <c r="W20" s="1557"/>
      <c r="X20" s="1550"/>
      <c r="Y20" s="3421"/>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21"/>
      <c r="Q23" s="1555" t="str">
        <f>B23</f>
        <v>自然及人文环境</v>
      </c>
      <c r="R23" s="1556" t="s">
        <v>8</v>
      </c>
      <c r="S23" s="1557">
        <f>F23</f>
        <v>100</v>
      </c>
      <c r="T23" s="1556" t="s">
        <v>8</v>
      </c>
      <c r="U23" s="1557">
        <f>H23</f>
        <v>100</v>
      </c>
      <c r="V23" s="1556" t="s">
        <v>8</v>
      </c>
      <c r="W23" s="1557">
        <f>J23</f>
        <v>100</v>
      </c>
      <c r="X23" s="1550"/>
      <c r="Y23" s="3421"/>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1"/>
      <c r="Q25" s="1555" t="str">
        <f t="shared" ref="Q25:Q46" si="11">B25</f>
        <v>临街状况</v>
      </c>
      <c r="R25" s="1556" t="s">
        <v>8</v>
      </c>
      <c r="S25" s="1557">
        <f>F25</f>
        <v>100</v>
      </c>
      <c r="T25" s="1556" t="s">
        <v>8</v>
      </c>
      <c r="U25" s="1557">
        <f>H25</f>
        <v>100</v>
      </c>
      <c r="V25" s="1556" t="s">
        <v>8</v>
      </c>
      <c r="W25" s="1557">
        <f>J25</f>
        <v>100</v>
      </c>
      <c r="X25" s="1550"/>
      <c r="Y25" s="3421"/>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1"/>
      <c r="Q26" s="1555" t="str">
        <f t="shared" si="11"/>
        <v>平面位置/可视性</v>
      </c>
      <c r="R26" s="1556" t="s">
        <v>8</v>
      </c>
      <c r="S26" s="1557">
        <f>F26</f>
        <v>100</v>
      </c>
      <c r="T26" s="1556" t="s">
        <v>8</v>
      </c>
      <c r="U26" s="1557">
        <f>H26</f>
        <v>100</v>
      </c>
      <c r="V26" s="1556" t="s">
        <v>8</v>
      </c>
      <c r="W26" s="1557">
        <f>J26</f>
        <v>100</v>
      </c>
      <c r="X26" s="1550"/>
      <c r="Y26" s="3421"/>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21"/>
      <c r="Q27" s="1144" t="str">
        <f t="shared" si="11"/>
        <v>人流量</v>
      </c>
      <c r="R27" s="1551" t="s">
        <v>8</v>
      </c>
      <c r="S27" s="1552">
        <f>F27</f>
        <v>100</v>
      </c>
      <c r="T27" s="1551" t="s">
        <v>8</v>
      </c>
      <c r="U27" s="1552">
        <f>H27</f>
        <v>100</v>
      </c>
      <c r="V27" s="1551" t="s">
        <v>8</v>
      </c>
      <c r="W27" s="1552">
        <f>J27</f>
        <v>100</v>
      </c>
      <c r="X27" s="1553"/>
      <c r="Y27" s="3421"/>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1"/>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1"/>
      <c r="Q29" s="1555">
        <f t="shared" si="11"/>
        <v>111</v>
      </c>
      <c r="R29" s="1556" t="s">
        <v>8</v>
      </c>
      <c r="S29" s="1557">
        <f t="shared" si="12"/>
        <v>100</v>
      </c>
      <c r="T29" s="1556" t="s">
        <v>8</v>
      </c>
      <c r="U29" s="1557">
        <f t="shared" si="13"/>
        <v>100</v>
      </c>
      <c r="V29" s="1556" t="s">
        <v>8</v>
      </c>
      <c r="W29" s="1557">
        <f t="shared" si="14"/>
        <v>100</v>
      </c>
      <c r="X29" s="1550"/>
      <c r="Y29" s="3421"/>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1"/>
      <c r="Q30" s="1555">
        <f t="shared" si="11"/>
        <v>111</v>
      </c>
      <c r="R30" s="1556" t="s">
        <v>8</v>
      </c>
      <c r="S30" s="1557">
        <f t="shared" si="12"/>
        <v>100</v>
      </c>
      <c r="T30" s="1556" t="s">
        <v>8</v>
      </c>
      <c r="U30" s="1557">
        <f t="shared" si="13"/>
        <v>100</v>
      </c>
      <c r="V30" s="1556" t="s">
        <v>8</v>
      </c>
      <c r="W30" s="1557">
        <f t="shared" si="14"/>
        <v>100</v>
      </c>
      <c r="X30" s="1550"/>
      <c r="Y30" s="3421"/>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1"/>
      <c r="Q31" s="1555">
        <f t="shared" si="11"/>
        <v>111</v>
      </c>
      <c r="R31" s="1556" t="s">
        <v>8</v>
      </c>
      <c r="S31" s="1557">
        <f t="shared" si="12"/>
        <v>100</v>
      </c>
      <c r="T31" s="1556" t="s">
        <v>8</v>
      </c>
      <c r="U31" s="1557">
        <f t="shared" si="13"/>
        <v>100</v>
      </c>
      <c r="V31" s="1556" t="s">
        <v>8</v>
      </c>
      <c r="W31" s="1557">
        <f t="shared" si="14"/>
        <v>100</v>
      </c>
      <c r="X31" s="1550"/>
      <c r="Y31" s="3421"/>
      <c r="Z31" s="1558">
        <f t="shared" si="15"/>
        <v>111</v>
      </c>
      <c r="AA31" s="1559">
        <f t="shared" si="3"/>
        <v>1</v>
      </c>
      <c r="AB31" s="1559">
        <f t="shared" si="4"/>
        <v>1</v>
      </c>
      <c r="AC31" s="1559">
        <f t="shared" si="5"/>
        <v>1</v>
      </c>
    </row>
    <row r="32" spans="1:29" ht="15">
      <c r="A32" s="2858" t="s">
        <v>2750</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2" t="s">
        <v>550</v>
      </c>
      <c r="Q32" s="1555" t="str">
        <f t="shared" si="11"/>
        <v>商业类型</v>
      </c>
      <c r="R32" s="1556" t="s">
        <v>8</v>
      </c>
      <c r="S32" s="1557">
        <f t="shared" si="12"/>
        <v>100</v>
      </c>
      <c r="T32" s="1556" t="s">
        <v>8</v>
      </c>
      <c r="U32" s="1557">
        <f t="shared" si="13"/>
        <v>100</v>
      </c>
      <c r="V32" s="1556" t="s">
        <v>8</v>
      </c>
      <c r="W32" s="1557">
        <f t="shared" si="14"/>
        <v>100</v>
      </c>
      <c r="X32" s="1550"/>
      <c r="Y32" s="3423"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3"/>
      <c r="Q33" s="1587" t="str">
        <f t="shared" si="11"/>
        <v>项目建筑规模</v>
      </c>
      <c r="R33" s="1560" t="s">
        <v>8</v>
      </c>
      <c r="S33" s="1561" t="e">
        <f t="shared" si="12"/>
        <v>#N/A</v>
      </c>
      <c r="T33" s="1560" t="s">
        <v>8</v>
      </c>
      <c r="U33" s="1561" t="e">
        <f t="shared" si="13"/>
        <v>#N/A</v>
      </c>
      <c r="V33" s="1560" t="s">
        <v>8</v>
      </c>
      <c r="W33" s="1561" t="e">
        <f t="shared" si="14"/>
        <v>#N/A</v>
      </c>
      <c r="X33" s="1562"/>
      <c r="Y33" s="3423"/>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23"/>
      <c r="Q34" s="1555" t="str">
        <f t="shared" si="11"/>
        <v>建筑结构</v>
      </c>
      <c r="R34" s="1556" t="s">
        <v>8</v>
      </c>
      <c r="S34" s="1557">
        <f t="shared" si="12"/>
        <v>100</v>
      </c>
      <c r="T34" s="1556" t="s">
        <v>8</v>
      </c>
      <c r="U34" s="1557">
        <f t="shared" si="13"/>
        <v>100</v>
      </c>
      <c r="V34" s="1556" t="s">
        <v>8</v>
      </c>
      <c r="W34" s="1557">
        <f t="shared" si="14"/>
        <v>100</v>
      </c>
      <c r="X34" s="1550"/>
      <c r="Y34" s="3423"/>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3"/>
      <c r="Q35" s="1555" t="str">
        <f t="shared" si="11"/>
        <v>公共部分装修</v>
      </c>
      <c r="R35" s="1556" t="s">
        <v>8</v>
      </c>
      <c r="S35" s="1557">
        <f t="shared" si="12"/>
        <v>100</v>
      </c>
      <c r="T35" s="1556" t="s">
        <v>8</v>
      </c>
      <c r="U35" s="1557">
        <f t="shared" si="13"/>
        <v>100</v>
      </c>
      <c r="V35" s="1556" t="s">
        <v>8</v>
      </c>
      <c r="W35" s="1557">
        <f t="shared" si="14"/>
        <v>100</v>
      </c>
      <c r="X35" s="1550"/>
      <c r="Y35" s="3423"/>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23"/>
      <c r="Q36" s="1555" t="str">
        <f t="shared" si="11"/>
        <v>成新度</v>
      </c>
      <c r="R36" s="1556" t="s">
        <v>8</v>
      </c>
      <c r="S36" s="1557" t="e">
        <f t="shared" si="12"/>
        <v>#N/A</v>
      </c>
      <c r="T36" s="1556" t="s">
        <v>8</v>
      </c>
      <c r="U36" s="1557" t="e">
        <f t="shared" si="13"/>
        <v>#N/A</v>
      </c>
      <c r="V36" s="1556" t="s">
        <v>8</v>
      </c>
      <c r="W36" s="1557" t="e">
        <f t="shared" si="14"/>
        <v>#N/A</v>
      </c>
      <c r="X36" s="1550"/>
      <c r="Y36" s="3423"/>
      <c r="Z36" s="1558" t="str">
        <f t="shared" si="15"/>
        <v>成新度</v>
      </c>
      <c r="AA36" s="1559" t="e">
        <f t="shared" si="3"/>
        <v>#N/A</v>
      </c>
      <c r="AB36" s="1559" t="e">
        <f t="shared" si="4"/>
        <v>#N/A</v>
      </c>
      <c r="AC36" s="1559" t="e">
        <f t="shared" si="5"/>
        <v>#N/A</v>
      </c>
    </row>
    <row r="37" spans="1:29" s="1213" customFormat="1" ht="15">
      <c r="A37" s="598"/>
      <c r="B37" s="1877"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3"/>
      <c r="Q37" s="1144" t="str">
        <f t="shared" si="11"/>
        <v>市政基础设施</v>
      </c>
      <c r="R37" s="1551" t="s">
        <v>8</v>
      </c>
      <c r="S37" s="1552">
        <f t="shared" si="12"/>
        <v>100</v>
      </c>
      <c r="T37" s="1551" t="s">
        <v>8</v>
      </c>
      <c r="U37" s="1552">
        <f t="shared" si="13"/>
        <v>100</v>
      </c>
      <c r="V37" s="1551" t="s">
        <v>8</v>
      </c>
      <c r="W37" s="1552">
        <f t="shared" si="14"/>
        <v>100</v>
      </c>
      <c r="X37" s="1553"/>
      <c r="Y37" s="3423"/>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3" t="s">
        <v>766</v>
      </c>
      <c r="Q38" s="1555" t="str">
        <f t="shared" si="11"/>
        <v>业态</v>
      </c>
      <c r="R38" s="1556" t="s">
        <v>8</v>
      </c>
      <c r="S38" s="1557">
        <f t="shared" si="12"/>
        <v>100</v>
      </c>
      <c r="T38" s="1556" t="s">
        <v>8</v>
      </c>
      <c r="U38" s="1557">
        <f t="shared" si="13"/>
        <v>100</v>
      </c>
      <c r="V38" s="1556" t="s">
        <v>8</v>
      </c>
      <c r="W38" s="1557">
        <f t="shared" si="14"/>
        <v>100</v>
      </c>
      <c r="X38" s="1550"/>
      <c r="Y38" s="3423"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3"/>
      <c r="Q39" s="1555" t="str">
        <f t="shared" si="11"/>
        <v>层高</v>
      </c>
      <c r="R39" s="1556" t="s">
        <v>8</v>
      </c>
      <c r="S39" s="1557">
        <f t="shared" si="12"/>
        <v>100</v>
      </c>
      <c r="T39" s="1556" t="s">
        <v>8</v>
      </c>
      <c r="U39" s="1557">
        <f t="shared" si="13"/>
        <v>100</v>
      </c>
      <c r="V39" s="1556" t="s">
        <v>8</v>
      </c>
      <c r="W39" s="1557">
        <f t="shared" si="14"/>
        <v>100</v>
      </c>
      <c r="X39" s="1550"/>
      <c r="Y39" s="3423"/>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23"/>
      <c r="Q40" s="1555" t="str">
        <f t="shared" si="11"/>
        <v>单套建筑面积</v>
      </c>
      <c r="R40" s="1556" t="s">
        <v>8</v>
      </c>
      <c r="S40" s="1557">
        <f t="shared" si="12"/>
        <v>100</v>
      </c>
      <c r="T40" s="1556" t="s">
        <v>8</v>
      </c>
      <c r="U40" s="1557">
        <f t="shared" si="13"/>
        <v>100</v>
      </c>
      <c r="V40" s="1556" t="s">
        <v>8</v>
      </c>
      <c r="W40" s="1557">
        <f t="shared" si="14"/>
        <v>100</v>
      </c>
      <c r="X40" s="1550"/>
      <c r="Y40" s="3423"/>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3"/>
      <c r="Q41" s="1587" t="str">
        <f t="shared" si="11"/>
        <v>进深比</v>
      </c>
      <c r="R41" s="1560" t="s">
        <v>8</v>
      </c>
      <c r="S41" s="1561">
        <f t="shared" si="12"/>
        <v>100</v>
      </c>
      <c r="T41" s="1560" t="s">
        <v>8</v>
      </c>
      <c r="U41" s="1561">
        <f t="shared" si="13"/>
        <v>100</v>
      </c>
      <c r="V41" s="1560" t="s">
        <v>8</v>
      </c>
      <c r="W41" s="1561">
        <f t="shared" si="14"/>
        <v>100</v>
      </c>
      <c r="X41" s="1562"/>
      <c r="Y41" s="3423"/>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3"/>
      <c r="Q42" s="1555" t="str">
        <f t="shared" si="11"/>
        <v>内部装修</v>
      </c>
      <c r="R42" s="1556" t="s">
        <v>8</v>
      </c>
      <c r="S42" s="1557">
        <f t="shared" si="12"/>
        <v>100</v>
      </c>
      <c r="T42" s="1556" t="s">
        <v>8</v>
      </c>
      <c r="U42" s="1557">
        <f t="shared" si="13"/>
        <v>100</v>
      </c>
      <c r="V42" s="1556" t="s">
        <v>8</v>
      </c>
      <c r="W42" s="1557">
        <f t="shared" si="14"/>
        <v>100</v>
      </c>
      <c r="X42" s="1550"/>
      <c r="Y42" s="3423"/>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3"/>
      <c r="Q43" s="1555" t="str">
        <f t="shared" si="11"/>
        <v>内部装修维护情况</v>
      </c>
      <c r="R43" s="1556" t="s">
        <v>8</v>
      </c>
      <c r="S43" s="1557">
        <f t="shared" si="12"/>
        <v>100</v>
      </c>
      <c r="T43" s="1556" t="s">
        <v>8</v>
      </c>
      <c r="U43" s="1557">
        <f t="shared" si="13"/>
        <v>100</v>
      </c>
      <c r="V43" s="1556" t="s">
        <v>8</v>
      </c>
      <c r="W43" s="1557">
        <f t="shared" si="14"/>
        <v>100</v>
      </c>
      <c r="X43" s="1550"/>
      <c r="Y43" s="3423"/>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3"/>
      <c r="Q44" s="1144">
        <f t="shared" si="11"/>
        <v>111</v>
      </c>
      <c r="R44" s="1551" t="s">
        <v>8</v>
      </c>
      <c r="S44" s="1552">
        <f t="shared" si="12"/>
        <v>100</v>
      </c>
      <c r="T44" s="1551" t="s">
        <v>8</v>
      </c>
      <c r="U44" s="1552">
        <f t="shared" si="13"/>
        <v>100</v>
      </c>
      <c r="V44" s="1551" t="s">
        <v>8</v>
      </c>
      <c r="W44" s="1552">
        <f t="shared" si="14"/>
        <v>100</v>
      </c>
      <c r="X44" s="1553"/>
      <c r="Y44" s="3423"/>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3"/>
      <c r="Q45" s="1555">
        <f t="shared" si="11"/>
        <v>111</v>
      </c>
      <c r="R45" s="1556" t="s">
        <v>8</v>
      </c>
      <c r="S45" s="1557">
        <f t="shared" si="12"/>
        <v>100</v>
      </c>
      <c r="T45" s="1556" t="s">
        <v>8</v>
      </c>
      <c r="U45" s="1557">
        <f t="shared" si="13"/>
        <v>100</v>
      </c>
      <c r="V45" s="1556" t="s">
        <v>8</v>
      </c>
      <c r="W45" s="1557">
        <f t="shared" si="14"/>
        <v>100</v>
      </c>
      <c r="X45" s="1550"/>
      <c r="Y45" s="3423"/>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4"/>
      <c r="Q46" s="1555">
        <f t="shared" si="11"/>
        <v>111</v>
      </c>
      <c r="R46" s="1556" t="s">
        <v>8</v>
      </c>
      <c r="S46" s="1557">
        <f t="shared" si="12"/>
        <v>100</v>
      </c>
      <c r="T46" s="1556" t="s">
        <v>8</v>
      </c>
      <c r="U46" s="1557">
        <f t="shared" si="13"/>
        <v>100</v>
      </c>
      <c r="V46" s="1556" t="s">
        <v>8</v>
      </c>
      <c r="W46" s="1557">
        <f t="shared" si="14"/>
        <v>100</v>
      </c>
      <c r="X46" s="1550"/>
      <c r="Y46" s="3504"/>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418" t="str">
        <f>A47</f>
        <v>成交单价（元/平方米）</v>
      </c>
      <c r="Q47" s="3418"/>
      <c r="R47" s="3503">
        <f>E47</f>
        <v>0</v>
      </c>
      <c r="S47" s="3503"/>
      <c r="T47" s="3503">
        <f>G47</f>
        <v>0</v>
      </c>
      <c r="U47" s="3503"/>
      <c r="V47" s="3503">
        <f>I47</f>
        <v>0</v>
      </c>
      <c r="W47" s="3503"/>
      <c r="X47" s="1542"/>
      <c r="Y47" s="1564"/>
      <c r="Z47" s="1542"/>
      <c r="AA47" s="1542"/>
      <c r="AB47" s="1542"/>
      <c r="AC47" s="1542"/>
    </row>
    <row r="48" spans="1:29" ht="15.75" thickBot="1">
      <c r="A48" s="613" t="s">
        <v>2755</v>
      </c>
      <c r="B48" s="885"/>
      <c r="C48" s="2593" t="e">
        <f>R49</f>
        <v>#DIV/0!</v>
      </c>
      <c r="D48" s="2594"/>
      <c r="E48" s="2595" t="e">
        <f>R48</f>
        <v>#DIV/0!</v>
      </c>
      <c r="F48" s="2595"/>
      <c r="G48" s="2593" t="e">
        <f>T48</f>
        <v>#DIV/0!</v>
      </c>
      <c r="H48" s="2594"/>
      <c r="I48" s="2595" t="e">
        <f>V48</f>
        <v>#DIV/0!</v>
      </c>
      <c r="J48" s="2594"/>
      <c r="K48" s="1594"/>
      <c r="L48" s="2126"/>
      <c r="M48" s="2127"/>
      <c r="N48" s="2116"/>
      <c r="O48" s="2127"/>
      <c r="P48" s="3418" t="str">
        <f>A48</f>
        <v>比较价格（元/平方米）</v>
      </c>
      <c r="Q48" s="341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2"/>
      <c r="Y48" s="1542"/>
      <c r="Z48" s="1542"/>
      <c r="AA48" s="1542"/>
      <c r="AB48" s="1542"/>
      <c r="AC48" s="1542"/>
    </row>
    <row r="49" spans="1:29" ht="15.75" thickBot="1">
      <c r="A49" s="619" t="s">
        <v>2923</v>
      </c>
      <c r="B49" s="620"/>
      <c r="C49" s="2596" t="e">
        <f>R49</f>
        <v>#DIV/0!</v>
      </c>
      <c r="D49" s="2596"/>
      <c r="E49" s="2596"/>
      <c r="F49" s="2596"/>
      <c r="G49" s="2596"/>
      <c r="H49" s="2596"/>
      <c r="I49" s="2596"/>
      <c r="J49" s="2596"/>
      <c r="K49" s="1595"/>
      <c r="L49" s="2126"/>
      <c r="M49" s="2127"/>
      <c r="N49" s="2116"/>
      <c r="O49" s="2127"/>
      <c r="P49" s="3439" t="str">
        <f>A49</f>
        <v>估价对象XX用房的比较价格（楼面单价，元/平方米）</v>
      </c>
      <c r="Q49" s="3440"/>
      <c r="R49" s="3502" t="e">
        <f>IF(F1="售价",ROUND(AVERAGE(R48:V48),0),ROUND(AVERAGE(R48:V48),1))</f>
        <v>#DIV/0!</v>
      </c>
      <c r="S49" s="3502"/>
      <c r="T49" s="3502"/>
      <c r="U49" s="3502"/>
      <c r="V49" s="3502"/>
      <c r="W49" s="3502"/>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24" t="s">
        <v>522</v>
      </c>
      <c r="D4" s="3425"/>
      <c r="E4" s="3448" t="s">
        <v>523</v>
      </c>
      <c r="F4" s="3449"/>
      <c r="G4" s="3424" t="s">
        <v>524</v>
      </c>
      <c r="H4" s="3425"/>
      <c r="I4" s="3424" t="s">
        <v>525</v>
      </c>
      <c r="J4" s="3425"/>
      <c r="K4" s="512" t="s">
        <v>526</v>
      </c>
      <c r="L4" s="2115"/>
      <c r="M4" s="2116"/>
      <c r="N4" s="2116"/>
      <c r="O4" s="2116"/>
      <c r="P4" s="3528" t="s">
        <v>527</v>
      </c>
      <c r="Q4" s="3427"/>
      <c r="R4" s="3412" t="s">
        <v>523</v>
      </c>
      <c r="S4" s="3413"/>
      <c r="T4" s="3412" t="s">
        <v>524</v>
      </c>
      <c r="U4" s="3413"/>
      <c r="V4" s="3432" t="s">
        <v>525</v>
      </c>
      <c r="W4" s="3432"/>
      <c r="X4" s="1550"/>
      <c r="Y4" s="3412" t="s">
        <v>527</v>
      </c>
      <c r="Z4" s="3413"/>
      <c r="AA4" s="3407" t="s">
        <v>523</v>
      </c>
      <c r="AB4" s="3407" t="s">
        <v>524</v>
      </c>
      <c r="AC4" s="3407" t="s">
        <v>525</v>
      </c>
    </row>
    <row r="5" spans="1:29" ht="15">
      <c r="A5" s="513"/>
      <c r="B5" s="514"/>
      <c r="C5" s="3435" t="s">
        <v>2917</v>
      </c>
      <c r="D5" s="3436"/>
      <c r="E5" s="3450" t="s">
        <v>2918</v>
      </c>
      <c r="F5" s="3451"/>
      <c r="G5" s="3435" t="s">
        <v>2919</v>
      </c>
      <c r="H5" s="3436"/>
      <c r="I5" s="3435" t="s">
        <v>2920</v>
      </c>
      <c r="J5" s="3436"/>
      <c r="K5" s="512"/>
      <c r="L5" s="2115"/>
      <c r="M5" s="2116"/>
      <c r="N5" s="2116"/>
      <c r="O5" s="2116"/>
      <c r="P5" s="3529"/>
      <c r="Q5" s="3429"/>
      <c r="R5" s="3414"/>
      <c r="S5" s="3415"/>
      <c r="T5" s="3414"/>
      <c r="U5" s="3415"/>
      <c r="V5" s="3432"/>
      <c r="W5" s="3432"/>
      <c r="X5" s="1550"/>
      <c r="Y5" s="3414"/>
      <c r="Z5" s="3415"/>
      <c r="AA5" s="3408"/>
      <c r="AB5" s="3408"/>
      <c r="AC5" s="3408"/>
    </row>
    <row r="6" spans="1:29" ht="15.75" thickBot="1">
      <c r="A6" s="515"/>
      <c r="B6" s="516"/>
      <c r="C6" s="3433" t="s">
        <v>2921</v>
      </c>
      <c r="D6" s="3434"/>
      <c r="E6" s="3452" t="s">
        <v>2921</v>
      </c>
      <c r="F6" s="3453"/>
      <c r="G6" s="3433" t="s">
        <v>2921</v>
      </c>
      <c r="H6" s="3434"/>
      <c r="I6" s="3433" t="s">
        <v>2921</v>
      </c>
      <c r="J6" s="3434"/>
      <c r="K6" s="512" t="s">
        <v>528</v>
      </c>
      <c r="L6" s="2115"/>
      <c r="M6" s="2116"/>
      <c r="N6" s="2116"/>
      <c r="O6" s="2116"/>
      <c r="P6" s="3530"/>
      <c r="Q6" s="3431"/>
      <c r="R6" s="3414"/>
      <c r="S6" s="3415"/>
      <c r="T6" s="3416"/>
      <c r="U6" s="3417"/>
      <c r="V6" s="3432"/>
      <c r="W6" s="3432"/>
      <c r="X6" s="1550"/>
      <c r="Y6" s="3416"/>
      <c r="Z6" s="3417"/>
      <c r="AA6" s="3409"/>
      <c r="AB6" s="3409"/>
      <c r="AC6" s="3409"/>
    </row>
    <row r="7" spans="1:29" s="1213" customFormat="1" ht="15.75" thickBot="1">
      <c r="A7" s="2862"/>
      <c r="B7" s="2869" t="s">
        <v>529</v>
      </c>
      <c r="C7" s="517">
        <f>'数据-取费表'!B2</f>
        <v>43805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9"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9" t="s">
        <v>533</v>
      </c>
      <c r="Q8" s="3411"/>
      <c r="R8" s="1551" t="s">
        <v>8</v>
      </c>
      <c r="S8" s="1552">
        <f t="shared" si="0"/>
        <v>0</v>
      </c>
      <c r="T8" s="1551" t="s">
        <v>8</v>
      </c>
      <c r="U8" s="1552">
        <f t="shared" si="1"/>
        <v>0</v>
      </c>
      <c r="V8" s="1551" t="s">
        <v>8</v>
      </c>
      <c r="W8" s="1552">
        <f t="shared" si="2"/>
        <v>0</v>
      </c>
      <c r="X8" s="1553"/>
      <c r="Y8" s="3410" t="s">
        <v>533</v>
      </c>
      <c r="Z8" s="3411"/>
      <c r="AA8" s="1554" t="e">
        <f t="shared" ref="AA8:AA47" si="3">D8/F8</f>
        <v>#DIV/0!</v>
      </c>
      <c r="AB8" s="1554" t="e">
        <f t="shared" ref="AB8:AB47" si="4">D8/H8</f>
        <v>#DIV/0!</v>
      </c>
      <c r="AC8" s="1554" t="e">
        <f t="shared" ref="AC8:AC47" si="5">D8/J8</f>
        <v>#DIV/0!</v>
      </c>
    </row>
    <row r="9" spans="1:29" s="1213" customFormat="1" ht="15">
      <c r="A9" s="2864"/>
      <c r="B9" s="2871" t="s">
        <v>2751</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18" t="s">
        <v>535</v>
      </c>
      <c r="Q9" s="1144" t="str">
        <f t="shared" ref="Q9:Q15" si="6">B9</f>
        <v>用途</v>
      </c>
      <c r="R9" s="1551" t="s">
        <v>8</v>
      </c>
      <c r="S9" s="1552">
        <f t="shared" si="0"/>
        <v>100</v>
      </c>
      <c r="T9" s="1551" t="s">
        <v>8</v>
      </c>
      <c r="U9" s="1552">
        <f t="shared" si="1"/>
        <v>100</v>
      </c>
      <c r="V9" s="1551" t="s">
        <v>8</v>
      </c>
      <c r="W9" s="1552">
        <f t="shared" si="2"/>
        <v>100</v>
      </c>
      <c r="X9" s="1553"/>
      <c r="Y9" s="3375"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18"/>
      <c r="Q11" s="1144" t="str">
        <f t="shared" si="6"/>
        <v>容积率</v>
      </c>
      <c r="R11" s="1551" t="s">
        <v>8</v>
      </c>
      <c r="S11" s="1552" t="e">
        <f t="shared" si="0"/>
        <v>#N/A</v>
      </c>
      <c r="T11" s="1551" t="s">
        <v>8</v>
      </c>
      <c r="U11" s="1552" t="e">
        <f t="shared" si="1"/>
        <v>#N/A</v>
      </c>
      <c r="V11" s="1551" t="s">
        <v>8</v>
      </c>
      <c r="W11" s="1552" t="e">
        <f t="shared" si="2"/>
        <v>#N/A</v>
      </c>
      <c r="X11" s="1553"/>
      <c r="Y11" s="3375"/>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18"/>
      <c r="Q12" s="1144">
        <f t="shared" si="6"/>
        <v>111</v>
      </c>
      <c r="R12" s="1551" t="s">
        <v>8</v>
      </c>
      <c r="S12" s="1552">
        <f t="shared" si="0"/>
        <v>100</v>
      </c>
      <c r="T12" s="1551" t="s">
        <v>8</v>
      </c>
      <c r="U12" s="1552">
        <f t="shared" si="1"/>
        <v>100</v>
      </c>
      <c r="V12" s="1551" t="s">
        <v>8</v>
      </c>
      <c r="W12" s="1552">
        <f t="shared" si="2"/>
        <v>100</v>
      </c>
      <c r="X12" s="1553"/>
      <c r="Y12" s="3375"/>
      <c r="Z12" s="1143">
        <f t="shared" si="7"/>
        <v>111</v>
      </c>
      <c r="AA12" s="1554">
        <f>D12/F12</f>
        <v>1</v>
      </c>
      <c r="AB12" s="1554">
        <f>D12/H12</f>
        <v>1</v>
      </c>
      <c r="AC12" s="1554">
        <f>D12/J12</f>
        <v>1</v>
      </c>
    </row>
    <row r="13" spans="1:29" ht="15">
      <c r="A13" s="2867"/>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18"/>
      <c r="Q13" s="1144">
        <f t="shared" si="6"/>
        <v>111</v>
      </c>
      <c r="R13" s="1551" t="s">
        <v>8</v>
      </c>
      <c r="S13" s="1552">
        <f t="shared" si="0"/>
        <v>100</v>
      </c>
      <c r="T13" s="1551" t="s">
        <v>8</v>
      </c>
      <c r="U13" s="1552">
        <f t="shared" si="1"/>
        <v>100</v>
      </c>
      <c r="V13" s="1551" t="s">
        <v>8</v>
      </c>
      <c r="W13" s="1552">
        <f t="shared" si="2"/>
        <v>100</v>
      </c>
      <c r="X13" s="1553"/>
      <c r="Y13" s="3375"/>
      <c r="Z13" s="1143">
        <f t="shared" si="7"/>
        <v>111</v>
      </c>
      <c r="AA13" s="1554">
        <f t="shared" si="3"/>
        <v>1</v>
      </c>
      <c r="AB13" s="1554">
        <f t="shared" si="4"/>
        <v>1</v>
      </c>
      <c r="AC13" s="1554">
        <f t="shared" si="5"/>
        <v>1</v>
      </c>
    </row>
    <row r="14" spans="1:29" ht="15.75" thickBot="1">
      <c r="A14" s="2868"/>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18"/>
      <c r="Q14" s="1144">
        <f t="shared" si="6"/>
        <v>111</v>
      </c>
      <c r="R14" s="1551" t="s">
        <v>8</v>
      </c>
      <c r="S14" s="1552">
        <f t="shared" si="0"/>
        <v>100</v>
      </c>
      <c r="T14" s="1551" t="s">
        <v>8</v>
      </c>
      <c r="U14" s="1552">
        <f t="shared" si="1"/>
        <v>100</v>
      </c>
      <c r="V14" s="1551" t="s">
        <v>8</v>
      </c>
      <c r="W14" s="1552">
        <f t="shared" si="2"/>
        <v>100</v>
      </c>
      <c r="X14" s="1553"/>
      <c r="Y14" s="3375"/>
      <c r="Z14" s="1143">
        <f t="shared" si="7"/>
        <v>111</v>
      </c>
      <c r="AA14" s="1554">
        <f t="shared" si="3"/>
        <v>1</v>
      </c>
      <c r="AB14" s="1554">
        <f t="shared" si="4"/>
        <v>1</v>
      </c>
      <c r="AC14" s="1554">
        <f t="shared" si="5"/>
        <v>1</v>
      </c>
    </row>
    <row r="15" spans="1:29" ht="15">
      <c r="A15" s="2860" t="s">
        <v>2749</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20" t="s">
        <v>540</v>
      </c>
      <c r="Q15" s="1555" t="str">
        <f t="shared" si="6"/>
        <v>办公集聚程度</v>
      </c>
      <c r="R15" s="1556" t="s">
        <v>8</v>
      </c>
      <c r="S15" s="1557">
        <f t="shared" si="0"/>
        <v>100</v>
      </c>
      <c r="T15" s="1556" t="s">
        <v>8</v>
      </c>
      <c r="U15" s="1557">
        <f t="shared" si="1"/>
        <v>100</v>
      </c>
      <c r="V15" s="1556" t="s">
        <v>8</v>
      </c>
      <c r="W15" s="1557">
        <f t="shared" si="2"/>
        <v>100</v>
      </c>
      <c r="X15" s="1550"/>
      <c r="Y15" s="3420"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21"/>
      <c r="Q16" s="1555"/>
      <c r="R16" s="1556"/>
      <c r="S16" s="1557"/>
      <c r="T16" s="1556"/>
      <c r="U16" s="1557"/>
      <c r="V16" s="1556"/>
      <c r="W16" s="1557"/>
      <c r="X16" s="1550"/>
      <c r="Y16" s="3421"/>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21"/>
      <c r="Q18" s="1555"/>
      <c r="R18" s="1556"/>
      <c r="S18" s="1557"/>
      <c r="T18" s="1556"/>
      <c r="U18" s="1557"/>
      <c r="V18" s="1556"/>
      <c r="W18" s="1557"/>
      <c r="X18" s="1550"/>
      <c r="Y18" s="3421"/>
      <c r="Z18" s="1558"/>
      <c r="AA18" s="1559">
        <v>1</v>
      </c>
      <c r="AB18" s="1559">
        <v>1</v>
      </c>
      <c r="AC18" s="1559">
        <v>1</v>
      </c>
    </row>
    <row r="19" spans="1:29" ht="42.75">
      <c r="A19" s="530"/>
      <c r="B19" s="2564" t="s">
        <v>2542</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21"/>
      <c r="Q20" s="1555"/>
      <c r="R20" s="1556"/>
      <c r="S20" s="1557"/>
      <c r="T20" s="1556"/>
      <c r="U20" s="1557"/>
      <c r="V20" s="1556"/>
      <c r="W20" s="1557"/>
      <c r="X20" s="1550"/>
      <c r="Y20" s="3421"/>
      <c r="Z20" s="1558"/>
      <c r="AA20" s="1559">
        <v>1</v>
      </c>
      <c r="AB20" s="1559">
        <v>1</v>
      </c>
      <c r="AC20" s="1559">
        <v>1</v>
      </c>
    </row>
    <row r="21" spans="1:29" ht="42.75">
      <c r="A21" s="530"/>
      <c r="B21" s="2552" t="s">
        <v>2554</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21"/>
      <c r="Q22" s="2540"/>
      <c r="R22" s="1556"/>
      <c r="S22" s="1557"/>
      <c r="T22" s="1556"/>
      <c r="U22" s="1557"/>
      <c r="V22" s="1556"/>
      <c r="W22" s="1557"/>
      <c r="X22" s="2542"/>
      <c r="Y22" s="3421"/>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21"/>
      <c r="Q23" s="1555" t="str">
        <f>B23</f>
        <v>环境质量</v>
      </c>
      <c r="R23" s="1556" t="s">
        <v>8</v>
      </c>
      <c r="S23" s="1557">
        <f>F23</f>
        <v>100</v>
      </c>
      <c r="T23" s="1556" t="s">
        <v>8</v>
      </c>
      <c r="U23" s="1557">
        <f>H23</f>
        <v>100</v>
      </c>
      <c r="V23" s="1556" t="s">
        <v>8</v>
      </c>
      <c r="W23" s="1557">
        <f>J23</f>
        <v>100</v>
      </c>
      <c r="X23" s="1550"/>
      <c r="Y23" s="3421"/>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21"/>
      <c r="Q24" s="1555"/>
      <c r="R24" s="1556"/>
      <c r="S24" s="1557"/>
      <c r="T24" s="1556"/>
      <c r="U24" s="1557"/>
      <c r="V24" s="1556"/>
      <c r="W24" s="1557"/>
      <c r="X24" s="1550"/>
      <c r="Y24" s="3421"/>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21"/>
      <c r="Q25" s="1555" t="str">
        <f>B25</f>
        <v>毗邻道路的类型与等级</v>
      </c>
      <c r="R25" s="1556" t="s">
        <v>8</v>
      </c>
      <c r="S25" s="1557">
        <f>F25</f>
        <v>100</v>
      </c>
      <c r="T25" s="1556" t="s">
        <v>8</v>
      </c>
      <c r="U25" s="1557">
        <f>H25</f>
        <v>100</v>
      </c>
      <c r="V25" s="1556" t="s">
        <v>8</v>
      </c>
      <c r="W25" s="1557">
        <f>J25</f>
        <v>100</v>
      </c>
      <c r="X25" s="1550"/>
      <c r="Y25" s="3421"/>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21"/>
      <c r="Q26" s="1555"/>
      <c r="R26" s="1556"/>
      <c r="S26" s="1557"/>
      <c r="T26" s="1556"/>
      <c r="U26" s="1557"/>
      <c r="V26" s="1556"/>
      <c r="W26" s="1557"/>
      <c r="X26" s="1550"/>
      <c r="Y26" s="3421"/>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1"/>
      <c r="Q27" s="1555" t="str">
        <f t="shared" ref="Q27:Q47" si="11">B27</f>
        <v>楼层</v>
      </c>
      <c r="R27" s="1556" t="s">
        <v>8</v>
      </c>
      <c r="S27" s="1557">
        <f>F27</f>
        <v>100</v>
      </c>
      <c r="T27" s="1556" t="s">
        <v>8</v>
      </c>
      <c r="U27" s="1557">
        <f>H27</f>
        <v>100</v>
      </c>
      <c r="V27" s="1556" t="s">
        <v>8</v>
      </c>
      <c r="W27" s="1557">
        <f>J27</f>
        <v>100</v>
      </c>
      <c r="X27" s="1550"/>
      <c r="Y27" s="3421"/>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21"/>
      <c r="Q28" s="1144" t="str">
        <f t="shared" si="11"/>
        <v>朝向</v>
      </c>
      <c r="R28" s="1551" t="s">
        <v>8</v>
      </c>
      <c r="S28" s="1552">
        <f>F28</f>
        <v>100</v>
      </c>
      <c r="T28" s="1551" t="s">
        <v>8</v>
      </c>
      <c r="U28" s="1552">
        <f>H28</f>
        <v>100</v>
      </c>
      <c r="V28" s="1551" t="s">
        <v>8</v>
      </c>
      <c r="W28" s="1552">
        <f>J28</f>
        <v>100</v>
      </c>
      <c r="X28" s="1553"/>
      <c r="Y28" s="3421"/>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21"/>
      <c r="Q29" s="1555">
        <f t="shared" si="11"/>
        <v>111</v>
      </c>
      <c r="R29" s="1556" t="s">
        <v>8</v>
      </c>
      <c r="S29" s="1557">
        <f t="shared" ref="S29:S47" si="12">F29</f>
        <v>100</v>
      </c>
      <c r="T29" s="1556" t="s">
        <v>8</v>
      </c>
      <c r="U29" s="1557">
        <f t="shared" ref="U29:U47" si="13">H29</f>
        <v>100</v>
      </c>
      <c r="V29" s="1556" t="s">
        <v>8</v>
      </c>
      <c r="W29" s="1557">
        <f t="shared" ref="W29:W47" si="14">J29</f>
        <v>100</v>
      </c>
      <c r="X29" s="1550"/>
      <c r="Y29" s="3421"/>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21"/>
      <c r="Q30" s="1555">
        <f t="shared" si="11"/>
        <v>111</v>
      </c>
      <c r="R30" s="1556" t="s">
        <v>8</v>
      </c>
      <c r="S30" s="1557">
        <f t="shared" si="12"/>
        <v>100</v>
      </c>
      <c r="T30" s="1556" t="s">
        <v>8</v>
      </c>
      <c r="U30" s="1557">
        <f t="shared" si="13"/>
        <v>100</v>
      </c>
      <c r="V30" s="1556" t="s">
        <v>8</v>
      </c>
      <c r="W30" s="1557">
        <f t="shared" si="14"/>
        <v>100</v>
      </c>
      <c r="X30" s="1550"/>
      <c r="Y30" s="3421"/>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21"/>
      <c r="Q31" s="1555">
        <f t="shared" si="11"/>
        <v>111</v>
      </c>
      <c r="R31" s="1556" t="s">
        <v>8</v>
      </c>
      <c r="S31" s="1557">
        <f t="shared" si="12"/>
        <v>100</v>
      </c>
      <c r="T31" s="1556" t="s">
        <v>8</v>
      </c>
      <c r="U31" s="1557">
        <f t="shared" si="13"/>
        <v>100</v>
      </c>
      <c r="V31" s="1556" t="s">
        <v>8</v>
      </c>
      <c r="W31" s="1557">
        <f t="shared" si="14"/>
        <v>100</v>
      </c>
      <c r="X31" s="1550"/>
      <c r="Y31" s="3421"/>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21"/>
      <c r="Q32" s="1555">
        <f t="shared" si="11"/>
        <v>111</v>
      </c>
      <c r="R32" s="1556" t="s">
        <v>8</v>
      </c>
      <c r="S32" s="1557">
        <f t="shared" si="12"/>
        <v>100</v>
      </c>
      <c r="T32" s="1556" t="s">
        <v>8</v>
      </c>
      <c r="U32" s="1557">
        <f t="shared" si="13"/>
        <v>100</v>
      </c>
      <c r="V32" s="1556" t="s">
        <v>8</v>
      </c>
      <c r="W32" s="1557">
        <f t="shared" si="14"/>
        <v>100</v>
      </c>
      <c r="X32" s="1550"/>
      <c r="Y32" s="3421"/>
      <c r="Z32" s="1558">
        <f t="shared" si="15"/>
        <v>111</v>
      </c>
      <c r="AA32" s="1559">
        <f t="shared" si="3"/>
        <v>1</v>
      </c>
      <c r="AB32" s="1559">
        <f t="shared" si="4"/>
        <v>1</v>
      </c>
      <c r="AC32" s="1559">
        <f t="shared" si="5"/>
        <v>1</v>
      </c>
    </row>
    <row r="33" spans="1:29" ht="15">
      <c r="A33" s="2858" t="s">
        <v>2750</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22" t="s">
        <v>550</v>
      </c>
      <c r="Q33" s="1555" t="str">
        <f t="shared" si="11"/>
        <v>建筑类型</v>
      </c>
      <c r="R33" s="1556" t="s">
        <v>8</v>
      </c>
      <c r="S33" s="1557">
        <f t="shared" si="12"/>
        <v>100</v>
      </c>
      <c r="T33" s="1556" t="s">
        <v>8</v>
      </c>
      <c r="U33" s="1557">
        <f t="shared" si="13"/>
        <v>100</v>
      </c>
      <c r="V33" s="1556" t="s">
        <v>8</v>
      </c>
      <c r="W33" s="1557">
        <f t="shared" si="14"/>
        <v>100</v>
      </c>
      <c r="X33" s="1550"/>
      <c r="Y33" s="3423"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3"/>
      <c r="Q34" s="1587" t="str">
        <f t="shared" si="11"/>
        <v>项目建筑规模</v>
      </c>
      <c r="R34" s="1560" t="s">
        <v>8</v>
      </c>
      <c r="S34" s="1561" t="e">
        <f t="shared" si="12"/>
        <v>#N/A</v>
      </c>
      <c r="T34" s="1560" t="s">
        <v>8</v>
      </c>
      <c r="U34" s="1561" t="e">
        <f t="shared" si="13"/>
        <v>#N/A</v>
      </c>
      <c r="V34" s="1560" t="s">
        <v>8</v>
      </c>
      <c r="W34" s="1561" t="e">
        <f t="shared" si="14"/>
        <v>#N/A</v>
      </c>
      <c r="X34" s="1562"/>
      <c r="Y34" s="3423"/>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3"/>
      <c r="Q35" s="1555" t="str">
        <f t="shared" si="11"/>
        <v>建筑结构</v>
      </c>
      <c r="R35" s="1556" t="s">
        <v>8</v>
      </c>
      <c r="S35" s="1557">
        <f t="shared" si="12"/>
        <v>100</v>
      </c>
      <c r="T35" s="1556" t="s">
        <v>8</v>
      </c>
      <c r="U35" s="1557">
        <f t="shared" si="13"/>
        <v>100</v>
      </c>
      <c r="V35" s="1556" t="s">
        <v>8</v>
      </c>
      <c r="W35" s="1557">
        <f t="shared" si="14"/>
        <v>100</v>
      </c>
      <c r="X35" s="1550"/>
      <c r="Y35" s="3423"/>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3"/>
      <c r="Q36" s="1555" t="str">
        <f t="shared" si="11"/>
        <v>公共部分装修</v>
      </c>
      <c r="R36" s="1556" t="s">
        <v>8</v>
      </c>
      <c r="S36" s="1557">
        <f t="shared" si="12"/>
        <v>100</v>
      </c>
      <c r="T36" s="1556" t="s">
        <v>8</v>
      </c>
      <c r="U36" s="1557">
        <f t="shared" si="13"/>
        <v>100</v>
      </c>
      <c r="V36" s="1556" t="s">
        <v>8</v>
      </c>
      <c r="W36" s="1557">
        <f t="shared" si="14"/>
        <v>100</v>
      </c>
      <c r="X36" s="1550"/>
      <c r="Y36" s="3423"/>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23"/>
      <c r="Q37" s="1555" t="str">
        <f t="shared" si="11"/>
        <v>成新度</v>
      </c>
      <c r="R37" s="1556" t="s">
        <v>8</v>
      </c>
      <c r="S37" s="1557" t="e">
        <f t="shared" si="12"/>
        <v>#N/A</v>
      </c>
      <c r="T37" s="1556" t="s">
        <v>8</v>
      </c>
      <c r="U37" s="1557" t="e">
        <f t="shared" si="13"/>
        <v>#N/A</v>
      </c>
      <c r="V37" s="1556" t="s">
        <v>8</v>
      </c>
      <c r="W37" s="1557" t="e">
        <f t="shared" si="14"/>
        <v>#N/A</v>
      </c>
      <c r="X37" s="1550"/>
      <c r="Y37" s="3423"/>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3"/>
      <c r="Q38" s="1144" t="str">
        <f t="shared" si="11"/>
        <v>写字楼等级</v>
      </c>
      <c r="R38" s="1551" t="s">
        <v>8</v>
      </c>
      <c r="S38" s="1552">
        <f t="shared" si="12"/>
        <v>100</v>
      </c>
      <c r="T38" s="1551" t="s">
        <v>8</v>
      </c>
      <c r="U38" s="1552">
        <f t="shared" si="13"/>
        <v>100</v>
      </c>
      <c r="V38" s="1551" t="s">
        <v>8</v>
      </c>
      <c r="W38" s="1552">
        <f t="shared" si="14"/>
        <v>100</v>
      </c>
      <c r="X38" s="1553"/>
      <c r="Y38" s="3423"/>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3" t="s">
        <v>550</v>
      </c>
      <c r="Q39" s="1555" t="str">
        <f t="shared" si="11"/>
        <v>物业管理</v>
      </c>
      <c r="R39" s="1556" t="s">
        <v>8</v>
      </c>
      <c r="S39" s="1557">
        <f t="shared" si="12"/>
        <v>100</v>
      </c>
      <c r="T39" s="1556" t="s">
        <v>8</v>
      </c>
      <c r="U39" s="1557">
        <f t="shared" si="13"/>
        <v>100</v>
      </c>
      <c r="V39" s="1556" t="s">
        <v>8</v>
      </c>
      <c r="W39" s="1557">
        <f t="shared" si="14"/>
        <v>100</v>
      </c>
      <c r="X39" s="1550"/>
      <c r="Y39" s="3423"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3"/>
      <c r="Q40" s="1555" t="str">
        <f t="shared" si="11"/>
        <v>市政基础设施</v>
      </c>
      <c r="R40" s="1556" t="s">
        <v>8</v>
      </c>
      <c r="S40" s="1557">
        <f t="shared" si="12"/>
        <v>100</v>
      </c>
      <c r="T40" s="1556" t="s">
        <v>8</v>
      </c>
      <c r="U40" s="1557">
        <f t="shared" si="13"/>
        <v>100</v>
      </c>
      <c r="V40" s="1556" t="s">
        <v>8</v>
      </c>
      <c r="W40" s="1557">
        <f t="shared" si="14"/>
        <v>100</v>
      </c>
      <c r="X40" s="1550"/>
      <c r="Y40" s="3423"/>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3"/>
      <c r="Q41" s="1555" t="str">
        <f t="shared" si="11"/>
        <v>层高</v>
      </c>
      <c r="R41" s="1556" t="s">
        <v>8</v>
      </c>
      <c r="S41" s="1557">
        <f t="shared" si="12"/>
        <v>100</v>
      </c>
      <c r="T41" s="1556" t="s">
        <v>8</v>
      </c>
      <c r="U41" s="1557">
        <f t="shared" si="13"/>
        <v>100</v>
      </c>
      <c r="V41" s="1556" t="s">
        <v>8</v>
      </c>
      <c r="W41" s="1557">
        <f t="shared" si="14"/>
        <v>100</v>
      </c>
      <c r="X41" s="1550"/>
      <c r="Y41" s="3423"/>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3"/>
      <c r="Q42" s="1587" t="str">
        <f t="shared" si="11"/>
        <v>单套建筑面积</v>
      </c>
      <c r="R42" s="1560" t="s">
        <v>8</v>
      </c>
      <c r="S42" s="1561">
        <f t="shared" si="12"/>
        <v>100</v>
      </c>
      <c r="T42" s="1560" t="s">
        <v>8</v>
      </c>
      <c r="U42" s="1561">
        <f t="shared" si="13"/>
        <v>100</v>
      </c>
      <c r="V42" s="1560" t="s">
        <v>8</v>
      </c>
      <c r="W42" s="1561">
        <f t="shared" si="14"/>
        <v>100</v>
      </c>
      <c r="X42" s="1562"/>
      <c r="Y42" s="3423"/>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3"/>
      <c r="Q43" s="1555" t="str">
        <f t="shared" si="11"/>
        <v>内部装修</v>
      </c>
      <c r="R43" s="1556" t="s">
        <v>8</v>
      </c>
      <c r="S43" s="1557">
        <f t="shared" si="12"/>
        <v>100</v>
      </c>
      <c r="T43" s="1556" t="s">
        <v>8</v>
      </c>
      <c r="U43" s="1557">
        <f t="shared" si="13"/>
        <v>100</v>
      </c>
      <c r="V43" s="1556" t="s">
        <v>8</v>
      </c>
      <c r="W43" s="1557">
        <f t="shared" si="14"/>
        <v>100</v>
      </c>
      <c r="X43" s="1550"/>
      <c r="Y43" s="3423"/>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3"/>
      <c r="Q44" s="1555" t="str">
        <f t="shared" si="11"/>
        <v>内部装修维护情况</v>
      </c>
      <c r="R44" s="1556" t="s">
        <v>8</v>
      </c>
      <c r="S44" s="1557">
        <f t="shared" si="12"/>
        <v>100</v>
      </c>
      <c r="T44" s="1556" t="s">
        <v>8</v>
      </c>
      <c r="U44" s="1557">
        <f t="shared" si="13"/>
        <v>100</v>
      </c>
      <c r="V44" s="1556" t="s">
        <v>8</v>
      </c>
      <c r="W44" s="1557">
        <f t="shared" si="14"/>
        <v>100</v>
      </c>
      <c r="X44" s="1550"/>
      <c r="Y44" s="3423"/>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3"/>
      <c r="Q45" s="1144">
        <f t="shared" si="11"/>
        <v>111</v>
      </c>
      <c r="R45" s="1551" t="s">
        <v>8</v>
      </c>
      <c r="S45" s="1552">
        <f t="shared" si="12"/>
        <v>100</v>
      </c>
      <c r="T45" s="1551" t="s">
        <v>8</v>
      </c>
      <c r="U45" s="1552">
        <f t="shared" si="13"/>
        <v>100</v>
      </c>
      <c r="V45" s="1551" t="s">
        <v>8</v>
      </c>
      <c r="W45" s="1552">
        <f t="shared" si="14"/>
        <v>100</v>
      </c>
      <c r="X45" s="1553"/>
      <c r="Y45" s="3423"/>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3"/>
      <c r="Q46" s="1555">
        <f t="shared" si="11"/>
        <v>111</v>
      </c>
      <c r="R46" s="1556" t="s">
        <v>8</v>
      </c>
      <c r="S46" s="1557">
        <f t="shared" si="12"/>
        <v>100</v>
      </c>
      <c r="T46" s="1556" t="s">
        <v>8</v>
      </c>
      <c r="U46" s="1557">
        <f t="shared" si="13"/>
        <v>100</v>
      </c>
      <c r="V46" s="1556" t="s">
        <v>8</v>
      </c>
      <c r="W46" s="1557">
        <f t="shared" si="14"/>
        <v>100</v>
      </c>
      <c r="X46" s="1550"/>
      <c r="Y46" s="3423"/>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4"/>
      <c r="Q47" s="1555">
        <f t="shared" si="11"/>
        <v>111</v>
      </c>
      <c r="R47" s="1556" t="s">
        <v>8</v>
      </c>
      <c r="S47" s="1557">
        <f t="shared" si="12"/>
        <v>100</v>
      </c>
      <c r="T47" s="1556" t="s">
        <v>8</v>
      </c>
      <c r="U47" s="1557">
        <f t="shared" si="13"/>
        <v>100</v>
      </c>
      <c r="V47" s="1556" t="s">
        <v>8</v>
      </c>
      <c r="W47" s="1557">
        <f t="shared" si="14"/>
        <v>100</v>
      </c>
      <c r="X47" s="1550"/>
      <c r="Y47" s="3504"/>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440" t="str">
        <f>A48</f>
        <v>成交单价（元/平方米）</v>
      </c>
      <c r="Q48" s="3418"/>
      <c r="R48" s="3503">
        <f>E48</f>
        <v>0</v>
      </c>
      <c r="S48" s="3503"/>
      <c r="T48" s="3503">
        <f>G48</f>
        <v>0</v>
      </c>
      <c r="U48" s="3503"/>
      <c r="V48" s="3503">
        <f>I48</f>
        <v>0</v>
      </c>
      <c r="W48" s="3503"/>
      <c r="X48" s="1542"/>
      <c r="Y48" s="1564"/>
      <c r="Z48" s="1542"/>
      <c r="AA48" s="1542"/>
      <c r="AB48" s="1542"/>
      <c r="AC48" s="1542"/>
    </row>
    <row r="49" spans="1:29" ht="15.75" thickBot="1">
      <c r="A49" s="613" t="s">
        <v>2755</v>
      </c>
      <c r="B49" s="885"/>
      <c r="C49" s="2593" t="e">
        <f>R50</f>
        <v>#DIV/0!</v>
      </c>
      <c r="D49" s="2594"/>
      <c r="E49" s="2595" t="e">
        <f>R49</f>
        <v>#DIV/0!</v>
      </c>
      <c r="F49" s="2595"/>
      <c r="G49" s="2593" t="e">
        <f>T49</f>
        <v>#DIV/0!</v>
      </c>
      <c r="H49" s="2594"/>
      <c r="I49" s="2595" t="e">
        <f>V49</f>
        <v>#DIV/0!</v>
      </c>
      <c r="J49" s="2594"/>
      <c r="K49" s="1594"/>
      <c r="L49" s="2126"/>
      <c r="M49" s="2116"/>
      <c r="N49" s="2116"/>
      <c r="O49" s="2116"/>
      <c r="P49" s="3440" t="str">
        <f>A49</f>
        <v>比较价格（元/平方米）</v>
      </c>
      <c r="Q49" s="3418"/>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2"/>
      <c r="Y49" s="1542"/>
      <c r="Z49" s="1542"/>
      <c r="AA49" s="1542"/>
      <c r="AB49" s="1542"/>
      <c r="AC49" s="1542"/>
    </row>
    <row r="50" spans="1:29" ht="15.75" thickBot="1">
      <c r="A50" s="619" t="s">
        <v>2923</v>
      </c>
      <c r="B50" s="620"/>
      <c r="C50" s="2596" t="e">
        <f>R50</f>
        <v>#DIV/0!</v>
      </c>
      <c r="D50" s="2596"/>
      <c r="E50" s="2596"/>
      <c r="F50" s="2596"/>
      <c r="G50" s="2596"/>
      <c r="H50" s="2596"/>
      <c r="I50" s="2596"/>
      <c r="J50" s="2596"/>
      <c r="K50" s="1595"/>
      <c r="L50" s="2126"/>
      <c r="M50" s="2116"/>
      <c r="N50" s="2116"/>
      <c r="O50" s="2116"/>
      <c r="P50" s="3531" t="str">
        <f>A50</f>
        <v>估价对象XX用房的比较价格（楼面单价，元/平方米）</v>
      </c>
      <c r="Q50" s="3440"/>
      <c r="R50" s="3502" t="e">
        <f>IF(F1="售价",ROUND(AVERAGE(R49:V49),0),ROUND(AVERAGE(R49:V49),1))</f>
        <v>#DIV/0!</v>
      </c>
      <c r="S50" s="3502"/>
      <c r="T50" s="3502"/>
      <c r="U50" s="3502"/>
      <c r="V50" s="3502"/>
      <c r="W50" s="3502"/>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2019-12</v>
      </c>
      <c r="D59" s="2755">
        <f>EDATE(C59,-1)</f>
        <v>43770</v>
      </c>
      <c r="E59" s="2755">
        <f t="shared" ref="E59:O59" si="16">EDATE(D59,-1)</f>
        <v>43739</v>
      </c>
      <c r="F59" s="2755">
        <f t="shared" si="16"/>
        <v>43709</v>
      </c>
      <c r="G59" s="2755">
        <f t="shared" si="16"/>
        <v>43678</v>
      </c>
      <c r="H59" s="2755">
        <f t="shared" si="16"/>
        <v>43647</v>
      </c>
      <c r="I59" s="2755">
        <f t="shared" si="16"/>
        <v>43617</v>
      </c>
      <c r="J59" s="2755">
        <f t="shared" si="16"/>
        <v>43586</v>
      </c>
      <c r="K59" s="2755">
        <f t="shared" si="16"/>
        <v>43556</v>
      </c>
      <c r="L59" s="2755">
        <f t="shared" si="16"/>
        <v>43525</v>
      </c>
      <c r="M59" s="2755">
        <f t="shared" si="16"/>
        <v>43497</v>
      </c>
      <c r="N59" s="2755">
        <f t="shared" si="16"/>
        <v>43466</v>
      </c>
      <c r="O59" s="2755">
        <f t="shared" si="16"/>
        <v>43435</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24" t="s">
        <v>522</v>
      </c>
      <c r="D4" s="3425"/>
      <c r="E4" s="3448" t="s">
        <v>523</v>
      </c>
      <c r="F4" s="3449"/>
      <c r="G4" s="3424" t="s">
        <v>524</v>
      </c>
      <c r="H4" s="3425"/>
      <c r="I4" s="3424" t="s">
        <v>525</v>
      </c>
      <c r="J4" s="3425"/>
      <c r="K4" s="512"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08" t="s">
        <v>524</v>
      </c>
      <c r="AC4" s="3407" t="s">
        <v>525</v>
      </c>
    </row>
    <row r="5" spans="1:29" ht="15">
      <c r="A5" s="513"/>
      <c r="B5" s="514"/>
      <c r="C5" s="3435" t="s">
        <v>2917</v>
      </c>
      <c r="D5" s="3436"/>
      <c r="E5" s="3450" t="s">
        <v>2918</v>
      </c>
      <c r="F5" s="3451"/>
      <c r="G5" s="3435" t="s">
        <v>2919</v>
      </c>
      <c r="H5" s="3436"/>
      <c r="I5" s="3435" t="s">
        <v>2920</v>
      </c>
      <c r="J5" s="3436"/>
      <c r="K5" s="51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2921</v>
      </c>
      <c r="D6" s="3434"/>
      <c r="E6" s="3452" t="s">
        <v>2921</v>
      </c>
      <c r="F6" s="3453"/>
      <c r="G6" s="3433" t="s">
        <v>2921</v>
      </c>
      <c r="H6" s="3434"/>
      <c r="I6" s="3433" t="s">
        <v>2921</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862"/>
      <c r="B7" s="2869" t="s">
        <v>529</v>
      </c>
      <c r="C7" s="517">
        <f>'数据-取费表'!B2</f>
        <v>43805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0"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40" si="3">D8/F8</f>
        <v>#DIV/0!</v>
      </c>
      <c r="AB8" s="1554" t="e">
        <f t="shared" ref="AB8:AB40" si="4">D8/H8</f>
        <v>#DIV/0!</v>
      </c>
      <c r="AC8" s="1554" t="e">
        <f t="shared" ref="AC8:AC40" si="5">D8/J8</f>
        <v>#DIV/0!</v>
      </c>
    </row>
    <row r="9" spans="1:29" s="1213" customFormat="1" ht="15">
      <c r="A9" s="2864"/>
      <c r="B9" s="2871" t="s">
        <v>2751</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75"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18"/>
      <c r="Q11" s="1144" t="str">
        <f t="shared" si="6"/>
        <v>容积率</v>
      </c>
      <c r="R11" s="1551" t="s">
        <v>8</v>
      </c>
      <c r="S11" s="1552" t="e">
        <f t="shared" si="0"/>
        <v>#N/A</v>
      </c>
      <c r="T11" s="1551" t="s">
        <v>8</v>
      </c>
      <c r="U11" s="1552" t="e">
        <f t="shared" si="1"/>
        <v>#N/A</v>
      </c>
      <c r="V11" s="1551" t="s">
        <v>8</v>
      </c>
      <c r="W11" s="1552" t="e">
        <f t="shared" si="2"/>
        <v>#N/A</v>
      </c>
      <c r="X11" s="1553"/>
      <c r="Y11" s="3375"/>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75"/>
      <c r="Z12" s="1143">
        <f t="shared" si="7"/>
        <v>111</v>
      </c>
      <c r="AA12" s="1554">
        <f>D12/F12</f>
        <v>1</v>
      </c>
      <c r="AB12" s="1554">
        <f>D12/H12</f>
        <v>1</v>
      </c>
      <c r="AC12" s="1554">
        <f>D12/J12</f>
        <v>1</v>
      </c>
    </row>
    <row r="13" spans="1:29" ht="15">
      <c r="A13" s="2867"/>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75"/>
      <c r="Z13" s="1143">
        <f t="shared" si="7"/>
        <v>111</v>
      </c>
      <c r="AA13" s="1554">
        <f t="shared" si="3"/>
        <v>1</v>
      </c>
      <c r="AB13" s="1554">
        <f t="shared" si="4"/>
        <v>1</v>
      </c>
      <c r="AC13" s="1554">
        <f t="shared" si="5"/>
        <v>1</v>
      </c>
    </row>
    <row r="14" spans="1:29" ht="15.75" thickBot="1">
      <c r="A14" s="2868"/>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18"/>
      <c r="Q14" s="1144">
        <f t="shared" si="6"/>
        <v>111</v>
      </c>
      <c r="R14" s="1551" t="s">
        <v>8</v>
      </c>
      <c r="S14" s="1552">
        <f t="shared" si="0"/>
        <v>100</v>
      </c>
      <c r="T14" s="1551" t="s">
        <v>8</v>
      </c>
      <c r="U14" s="1552">
        <f t="shared" si="1"/>
        <v>100</v>
      </c>
      <c r="V14" s="1551" t="s">
        <v>8</v>
      </c>
      <c r="W14" s="1552">
        <f t="shared" si="2"/>
        <v>100</v>
      </c>
      <c r="X14" s="1553"/>
      <c r="Y14" s="3375"/>
      <c r="Z14" s="1143">
        <f t="shared" si="7"/>
        <v>111</v>
      </c>
      <c r="AA14" s="1554">
        <f t="shared" si="3"/>
        <v>1</v>
      </c>
      <c r="AB14" s="1554">
        <f t="shared" si="4"/>
        <v>1</v>
      </c>
      <c r="AC14" s="1554">
        <f t="shared" si="5"/>
        <v>1</v>
      </c>
    </row>
    <row r="15" spans="1:29" ht="57">
      <c r="A15" s="2860" t="s">
        <v>2749</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20" t="s">
        <v>540</v>
      </c>
      <c r="Q15" s="1555" t="str">
        <f t="shared" si="6"/>
        <v>产业集聚程度</v>
      </c>
      <c r="R15" s="1556" t="s">
        <v>8</v>
      </c>
      <c r="S15" s="1557">
        <f t="shared" si="0"/>
        <v>100</v>
      </c>
      <c r="T15" s="1556" t="s">
        <v>8</v>
      </c>
      <c r="U15" s="1557">
        <f t="shared" si="1"/>
        <v>100</v>
      </c>
      <c r="V15" s="1556" t="s">
        <v>8</v>
      </c>
      <c r="W15" s="1557">
        <f t="shared" si="2"/>
        <v>100</v>
      </c>
      <c r="X15" s="1550"/>
      <c r="Y15" s="3420"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1"/>
      <c r="Q16" s="1555"/>
      <c r="R16" s="1556"/>
      <c r="S16" s="1557"/>
      <c r="T16" s="1556"/>
      <c r="U16" s="1557"/>
      <c r="V16" s="1556"/>
      <c r="W16" s="1557"/>
      <c r="X16" s="1550"/>
      <c r="Y16" s="3421"/>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1"/>
      <c r="Q18" s="1555"/>
      <c r="R18" s="1556"/>
      <c r="S18" s="1557"/>
      <c r="T18" s="1556"/>
      <c r="U18" s="1557"/>
      <c r="V18" s="1556"/>
      <c r="W18" s="1557"/>
      <c r="X18" s="1550"/>
      <c r="Y18" s="3421"/>
      <c r="Z18" s="1558"/>
      <c r="AA18" s="1559">
        <v>1</v>
      </c>
      <c r="AB18" s="1559">
        <v>1</v>
      </c>
      <c r="AC18" s="1559">
        <v>1</v>
      </c>
    </row>
    <row r="19" spans="1:29" ht="42.75">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21"/>
      <c r="Q20" s="1555"/>
      <c r="R20" s="1556"/>
      <c r="S20" s="1557"/>
      <c r="T20" s="1556"/>
      <c r="U20" s="1557"/>
      <c r="V20" s="1556"/>
      <c r="W20" s="1557"/>
      <c r="X20" s="1550"/>
      <c r="Y20" s="3421"/>
      <c r="Z20" s="1558"/>
      <c r="AA20" s="1559">
        <v>1</v>
      </c>
      <c r="AB20" s="1559">
        <v>1</v>
      </c>
      <c r="AC20" s="1559">
        <v>1</v>
      </c>
    </row>
    <row r="21" spans="1:29" ht="28.5">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21"/>
      <c r="Q23" s="1555" t="str">
        <f>B23</f>
        <v>环境质量</v>
      </c>
      <c r="R23" s="1556" t="s">
        <v>8</v>
      </c>
      <c r="S23" s="1557">
        <f>F23</f>
        <v>100</v>
      </c>
      <c r="T23" s="1556" t="s">
        <v>8</v>
      </c>
      <c r="U23" s="1557">
        <f>H23</f>
        <v>100</v>
      </c>
      <c r="V23" s="1556" t="s">
        <v>8</v>
      </c>
      <c r="W23" s="1557">
        <f>J23</f>
        <v>100</v>
      </c>
      <c r="X23" s="1550"/>
      <c r="Y23" s="3421"/>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1"/>
      <c r="Q25" s="1555">
        <f>B25</f>
        <v>111</v>
      </c>
      <c r="R25" s="1556" t="s">
        <v>8</v>
      </c>
      <c r="S25" s="1557">
        <f>F25</f>
        <v>100</v>
      </c>
      <c r="T25" s="1556" t="s">
        <v>8</v>
      </c>
      <c r="U25" s="1557">
        <f>H25</f>
        <v>100</v>
      </c>
      <c r="V25" s="1556" t="s">
        <v>8</v>
      </c>
      <c r="W25" s="1557">
        <f>J25</f>
        <v>100</v>
      </c>
      <c r="X25" s="1550"/>
      <c r="Y25" s="3421"/>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1"/>
      <c r="Q26" s="1555">
        <f t="shared" ref="Q26:Q40" si="11">B26</f>
        <v>111</v>
      </c>
      <c r="R26" s="1556" t="s">
        <v>8</v>
      </c>
      <c r="S26" s="1557">
        <f>F26</f>
        <v>100</v>
      </c>
      <c r="T26" s="1556" t="s">
        <v>8</v>
      </c>
      <c r="U26" s="1557">
        <f>H26</f>
        <v>100</v>
      </c>
      <c r="V26" s="1556" t="s">
        <v>8</v>
      </c>
      <c r="W26" s="1557">
        <f>J26</f>
        <v>100</v>
      </c>
      <c r="X26" s="1550"/>
      <c r="Y26" s="3421"/>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1"/>
      <c r="Q27" s="1144">
        <f t="shared" si="11"/>
        <v>111</v>
      </c>
      <c r="R27" s="1551" t="s">
        <v>8</v>
      </c>
      <c r="S27" s="1552">
        <f>F27</f>
        <v>100</v>
      </c>
      <c r="T27" s="1551" t="s">
        <v>8</v>
      </c>
      <c r="U27" s="1552">
        <f>H27</f>
        <v>100</v>
      </c>
      <c r="V27" s="1551" t="s">
        <v>8</v>
      </c>
      <c r="W27" s="1552">
        <f>J27</f>
        <v>100</v>
      </c>
      <c r="X27" s="1553"/>
      <c r="Y27" s="3421"/>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21"/>
      <c r="Q28" s="1555">
        <f t="shared" si="11"/>
        <v>111</v>
      </c>
      <c r="R28" s="1556" t="s">
        <v>8</v>
      </c>
      <c r="S28" s="1557">
        <f t="shared" ref="S28:S40" si="12">F28</f>
        <v>100</v>
      </c>
      <c r="T28" s="1556" t="s">
        <v>8</v>
      </c>
      <c r="U28" s="1557">
        <f t="shared" ref="U28:U40" si="13">H28</f>
        <v>100</v>
      </c>
      <c r="V28" s="1556" t="s">
        <v>8</v>
      </c>
      <c r="W28" s="1557">
        <f t="shared" ref="W28:W40" si="14">J28</f>
        <v>100</v>
      </c>
      <c r="X28" s="1550"/>
      <c r="Y28" s="3421"/>
      <c r="Z28" s="1558">
        <f t="shared" ref="Z28:Z40" si="15">Q28</f>
        <v>111</v>
      </c>
      <c r="AA28" s="1559">
        <f t="shared" si="3"/>
        <v>1</v>
      </c>
      <c r="AB28" s="1559">
        <f t="shared" si="4"/>
        <v>1</v>
      </c>
      <c r="AC28" s="1559">
        <f t="shared" si="5"/>
        <v>1</v>
      </c>
    </row>
    <row r="29" spans="1:29" ht="15">
      <c r="A29" s="2858" t="s">
        <v>2750</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22" t="s">
        <v>550</v>
      </c>
      <c r="Q29" s="1555" t="str">
        <f t="shared" si="11"/>
        <v>建筑类型</v>
      </c>
      <c r="R29" s="1556" t="s">
        <v>8</v>
      </c>
      <c r="S29" s="1557">
        <f t="shared" si="12"/>
        <v>100</v>
      </c>
      <c r="T29" s="1556" t="s">
        <v>8</v>
      </c>
      <c r="U29" s="1557">
        <f t="shared" si="13"/>
        <v>100</v>
      </c>
      <c r="V29" s="1556" t="s">
        <v>8</v>
      </c>
      <c r="W29" s="1557">
        <f t="shared" si="14"/>
        <v>100</v>
      </c>
      <c r="X29" s="1550"/>
      <c r="Y29" s="3423"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3"/>
      <c r="Q30" s="1587" t="str">
        <f t="shared" si="11"/>
        <v>项目建筑规模</v>
      </c>
      <c r="R30" s="1560" t="s">
        <v>8</v>
      </c>
      <c r="S30" s="1561" t="e">
        <f t="shared" si="12"/>
        <v>#N/A</v>
      </c>
      <c r="T30" s="1560" t="s">
        <v>8</v>
      </c>
      <c r="U30" s="1561" t="e">
        <f t="shared" si="13"/>
        <v>#N/A</v>
      </c>
      <c r="V30" s="1560" t="s">
        <v>8</v>
      </c>
      <c r="W30" s="1561" t="e">
        <f t="shared" si="14"/>
        <v>#N/A</v>
      </c>
      <c r="X30" s="1562"/>
      <c r="Y30" s="3423"/>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3"/>
      <c r="Q31" s="1555" t="str">
        <f t="shared" si="11"/>
        <v>建筑结构</v>
      </c>
      <c r="R31" s="1556" t="s">
        <v>8</v>
      </c>
      <c r="S31" s="1557">
        <f t="shared" si="12"/>
        <v>100</v>
      </c>
      <c r="T31" s="1556" t="s">
        <v>8</v>
      </c>
      <c r="U31" s="1557">
        <f t="shared" si="13"/>
        <v>100</v>
      </c>
      <c r="V31" s="1556" t="s">
        <v>8</v>
      </c>
      <c r="W31" s="1557">
        <f t="shared" si="14"/>
        <v>100</v>
      </c>
      <c r="X31" s="1550"/>
      <c r="Y31" s="3423"/>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3"/>
      <c r="Q32" s="1555" t="str">
        <f t="shared" si="11"/>
        <v>公共部分装修</v>
      </c>
      <c r="R32" s="1556" t="s">
        <v>8</v>
      </c>
      <c r="S32" s="1557">
        <f t="shared" si="12"/>
        <v>100</v>
      </c>
      <c r="T32" s="1556" t="s">
        <v>8</v>
      </c>
      <c r="U32" s="1557">
        <f t="shared" si="13"/>
        <v>100</v>
      </c>
      <c r="V32" s="1556" t="s">
        <v>8</v>
      </c>
      <c r="W32" s="1557">
        <f t="shared" si="14"/>
        <v>100</v>
      </c>
      <c r="X32" s="1550"/>
      <c r="Y32" s="3423"/>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23"/>
      <c r="Q33" s="1555" t="str">
        <f t="shared" si="11"/>
        <v>成新度</v>
      </c>
      <c r="R33" s="1556" t="s">
        <v>8</v>
      </c>
      <c r="S33" s="1557" t="e">
        <f t="shared" si="12"/>
        <v>#N/A</v>
      </c>
      <c r="T33" s="1556" t="s">
        <v>8</v>
      </c>
      <c r="U33" s="1557" t="e">
        <f t="shared" si="13"/>
        <v>#N/A</v>
      </c>
      <c r="V33" s="1556" t="s">
        <v>8</v>
      </c>
      <c r="W33" s="1557" t="e">
        <f t="shared" si="14"/>
        <v>#N/A</v>
      </c>
      <c r="X33" s="1550"/>
      <c r="Y33" s="3423"/>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3"/>
      <c r="Q34" s="1144" t="str">
        <f t="shared" si="11"/>
        <v>物业管理</v>
      </c>
      <c r="R34" s="1551" t="s">
        <v>8</v>
      </c>
      <c r="S34" s="1552">
        <f t="shared" si="12"/>
        <v>100</v>
      </c>
      <c r="T34" s="1551" t="s">
        <v>8</v>
      </c>
      <c r="U34" s="1552">
        <f t="shared" si="13"/>
        <v>100</v>
      </c>
      <c r="V34" s="1551" t="s">
        <v>8</v>
      </c>
      <c r="W34" s="1552">
        <f t="shared" si="14"/>
        <v>100</v>
      </c>
      <c r="X34" s="1553"/>
      <c r="Y34" s="3423"/>
      <c r="Z34" s="1143"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3" t="s">
        <v>550</v>
      </c>
      <c r="Q35" s="1555" t="str">
        <f t="shared" si="11"/>
        <v>市政基础设施</v>
      </c>
      <c r="R35" s="1556" t="s">
        <v>8</v>
      </c>
      <c r="S35" s="1557">
        <f t="shared" si="12"/>
        <v>100</v>
      </c>
      <c r="T35" s="1556" t="s">
        <v>8</v>
      </c>
      <c r="U35" s="1557">
        <f t="shared" si="13"/>
        <v>100</v>
      </c>
      <c r="V35" s="1556" t="s">
        <v>8</v>
      </c>
      <c r="W35" s="1557">
        <f t="shared" si="14"/>
        <v>100</v>
      </c>
      <c r="X35" s="1550"/>
      <c r="Y35" s="3423"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3"/>
      <c r="Q36" s="1555" t="str">
        <f t="shared" si="11"/>
        <v>内部装修</v>
      </c>
      <c r="R36" s="1556" t="s">
        <v>8</v>
      </c>
      <c r="S36" s="1557">
        <f t="shared" si="12"/>
        <v>100</v>
      </c>
      <c r="T36" s="1556" t="s">
        <v>8</v>
      </c>
      <c r="U36" s="1557">
        <f t="shared" si="13"/>
        <v>100</v>
      </c>
      <c r="V36" s="1556" t="s">
        <v>8</v>
      </c>
      <c r="W36" s="1557">
        <f t="shared" si="14"/>
        <v>100</v>
      </c>
      <c r="X36" s="1550"/>
      <c r="Y36" s="3423"/>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3"/>
      <c r="Q37" s="1555" t="str">
        <f t="shared" si="11"/>
        <v>内部装修状况</v>
      </c>
      <c r="R37" s="1556" t="s">
        <v>8</v>
      </c>
      <c r="S37" s="1557">
        <f t="shared" si="12"/>
        <v>100</v>
      </c>
      <c r="T37" s="1556" t="s">
        <v>8</v>
      </c>
      <c r="U37" s="1557">
        <f t="shared" si="13"/>
        <v>100</v>
      </c>
      <c r="V37" s="1556" t="s">
        <v>8</v>
      </c>
      <c r="W37" s="1557">
        <f t="shared" si="14"/>
        <v>100</v>
      </c>
      <c r="X37" s="1550"/>
      <c r="Y37" s="3423"/>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23"/>
      <c r="Q38" s="1587">
        <f t="shared" si="11"/>
        <v>111</v>
      </c>
      <c r="R38" s="1560" t="s">
        <v>8</v>
      </c>
      <c r="S38" s="1561">
        <f t="shared" si="12"/>
        <v>100</v>
      </c>
      <c r="T38" s="1560" t="s">
        <v>8</v>
      </c>
      <c r="U38" s="1561">
        <f t="shared" si="13"/>
        <v>100</v>
      </c>
      <c r="V38" s="1560" t="s">
        <v>8</v>
      </c>
      <c r="W38" s="1561">
        <f t="shared" si="14"/>
        <v>100</v>
      </c>
      <c r="X38" s="1562"/>
      <c r="Y38" s="3423"/>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23"/>
      <c r="Q39" s="1555">
        <f t="shared" si="11"/>
        <v>111</v>
      </c>
      <c r="R39" s="1556" t="s">
        <v>8</v>
      </c>
      <c r="S39" s="1557">
        <f t="shared" si="12"/>
        <v>100</v>
      </c>
      <c r="T39" s="1556" t="s">
        <v>8</v>
      </c>
      <c r="U39" s="1557">
        <f t="shared" si="13"/>
        <v>100</v>
      </c>
      <c r="V39" s="1556" t="s">
        <v>8</v>
      </c>
      <c r="W39" s="1557">
        <f t="shared" si="14"/>
        <v>100</v>
      </c>
      <c r="X39" s="1550"/>
      <c r="Y39" s="3423"/>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04"/>
      <c r="Q40" s="1555">
        <f t="shared" si="11"/>
        <v>111</v>
      </c>
      <c r="R40" s="1556" t="s">
        <v>8</v>
      </c>
      <c r="S40" s="1557">
        <f t="shared" si="12"/>
        <v>100</v>
      </c>
      <c r="T40" s="1556" t="s">
        <v>8</v>
      </c>
      <c r="U40" s="1557">
        <f t="shared" si="13"/>
        <v>100</v>
      </c>
      <c r="V40" s="1556" t="s">
        <v>8</v>
      </c>
      <c r="W40" s="1557">
        <f t="shared" si="14"/>
        <v>100</v>
      </c>
      <c r="X40" s="1550"/>
      <c r="Y40" s="3504"/>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418" t="str">
        <f>A41</f>
        <v>成交单价（元/平方米）</v>
      </c>
      <c r="Q41" s="3418"/>
      <c r="R41" s="3503">
        <f>E41</f>
        <v>0</v>
      </c>
      <c r="S41" s="3503"/>
      <c r="T41" s="3503">
        <f>G41</f>
        <v>0</v>
      </c>
      <c r="U41" s="3503"/>
      <c r="V41" s="3503">
        <f>I41</f>
        <v>0</v>
      </c>
      <c r="W41" s="3503"/>
      <c r="X41" s="1542"/>
      <c r="Y41" s="1564"/>
      <c r="Z41" s="1542"/>
      <c r="AA41" s="1542"/>
      <c r="AB41" s="1542"/>
      <c r="AC41" s="1542"/>
    </row>
    <row r="42" spans="1:29" ht="15.75" thickBot="1">
      <c r="A42" s="613" t="s">
        <v>2755</v>
      </c>
      <c r="B42" s="885"/>
      <c r="C42" s="2593" t="e">
        <f>R43</f>
        <v>#DIV/0!</v>
      </c>
      <c r="D42" s="2594"/>
      <c r="E42" s="2595" t="e">
        <f>R42</f>
        <v>#DIV/0!</v>
      </c>
      <c r="F42" s="2595"/>
      <c r="G42" s="2593" t="e">
        <f>T42</f>
        <v>#DIV/0!</v>
      </c>
      <c r="H42" s="2594"/>
      <c r="I42" s="2595" t="e">
        <f>V42</f>
        <v>#DIV/0!</v>
      </c>
      <c r="J42" s="2594"/>
      <c r="K42" s="1594"/>
      <c r="L42" s="2126"/>
      <c r="M42" s="2127"/>
      <c r="N42" s="2116"/>
      <c r="O42" s="2127"/>
      <c r="P42" s="3418" t="str">
        <f>A42</f>
        <v>比较价格（元/平方米）</v>
      </c>
      <c r="Q42" s="341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2"/>
      <c r="Y42" s="1542"/>
      <c r="Z42" s="1542"/>
      <c r="AA42" s="1542"/>
      <c r="AB42" s="1542"/>
      <c r="AC42" s="1542"/>
    </row>
    <row r="43" spans="1:29" ht="15.75" thickBot="1">
      <c r="A43" s="619" t="s">
        <v>2923</v>
      </c>
      <c r="B43" s="620"/>
      <c r="C43" s="2596" t="e">
        <f>R43</f>
        <v>#DIV/0!</v>
      </c>
      <c r="D43" s="2596"/>
      <c r="E43" s="2596"/>
      <c r="F43" s="2596"/>
      <c r="G43" s="2596"/>
      <c r="H43" s="2596"/>
      <c r="I43" s="2596"/>
      <c r="J43" s="2596"/>
      <c r="K43" s="1595"/>
      <c r="L43" s="2126"/>
      <c r="M43" s="2127"/>
      <c r="N43" s="2127"/>
      <c r="O43" s="2127"/>
      <c r="P43" s="3439" t="str">
        <f>A43</f>
        <v>估价对象XX用房的比较价格（楼面单价，元/平方米）</v>
      </c>
      <c r="Q43" s="3440"/>
      <c r="R43" s="3502" t="e">
        <f>IF(F1="售价",ROUND(AVERAGE(R42:V42),0),ROUND(AVERAGE(R42:V42),1))</f>
        <v>#DIV/0!</v>
      </c>
      <c r="S43" s="3502"/>
      <c r="T43" s="3502"/>
      <c r="U43" s="3502"/>
      <c r="V43" s="3502"/>
      <c r="W43" s="3502"/>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2019-12</v>
      </c>
      <c r="D52" s="2755">
        <f>EDATE(C52,-1)</f>
        <v>43770</v>
      </c>
      <c r="E52" s="2755">
        <f t="shared" ref="E52:O52" si="16">EDATE(D52,-1)</f>
        <v>43739</v>
      </c>
      <c r="F52" s="2755">
        <f t="shared" si="16"/>
        <v>43709</v>
      </c>
      <c r="G52" s="2755">
        <f t="shared" si="16"/>
        <v>43678</v>
      </c>
      <c r="H52" s="2755">
        <f t="shared" si="16"/>
        <v>43647</v>
      </c>
      <c r="I52" s="2755">
        <f t="shared" si="16"/>
        <v>43617</v>
      </c>
      <c r="J52" s="2755">
        <f t="shared" si="16"/>
        <v>43586</v>
      </c>
      <c r="K52" s="2755">
        <f t="shared" si="16"/>
        <v>43556</v>
      </c>
      <c r="L52" s="2755">
        <f t="shared" si="16"/>
        <v>43525</v>
      </c>
      <c r="M52" s="2755">
        <f t="shared" si="16"/>
        <v>43497</v>
      </c>
      <c r="N52" s="2755">
        <f t="shared" si="16"/>
        <v>43466</v>
      </c>
      <c r="O52" s="2755">
        <f t="shared" si="16"/>
        <v>43435</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2554</v>
      </c>
      <c r="C76" s="2559" t="s">
        <v>2555</v>
      </c>
      <c r="D76" s="2559" t="s">
        <v>2556</v>
      </c>
      <c r="E76" s="2559" t="s">
        <v>2557</v>
      </c>
      <c r="F76" s="2559" t="s">
        <v>2558</v>
      </c>
      <c r="G76" s="2559" t="s">
        <v>2559</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4" t="s">
        <v>798</v>
      </c>
      <c r="D4" s="3425"/>
      <c r="E4" s="3424" t="s">
        <v>799</v>
      </c>
      <c r="F4" s="3425"/>
      <c r="G4" s="3424" t="s">
        <v>800</v>
      </c>
      <c r="H4" s="3425"/>
      <c r="I4" s="3424" t="s">
        <v>801</v>
      </c>
      <c r="J4" s="3425"/>
      <c r="K4" s="512" t="s">
        <v>802</v>
      </c>
      <c r="L4" s="2115"/>
      <c r="M4" s="2116"/>
      <c r="N4" s="2116"/>
      <c r="O4" s="2116"/>
      <c r="P4" s="3426" t="s">
        <v>803</v>
      </c>
      <c r="Q4" s="3427"/>
      <c r="R4" s="3412" t="s">
        <v>799</v>
      </c>
      <c r="S4" s="3413"/>
      <c r="T4" s="3412" t="s">
        <v>800</v>
      </c>
      <c r="U4" s="3413"/>
      <c r="V4" s="3432" t="s">
        <v>801</v>
      </c>
      <c r="W4" s="3432"/>
      <c r="X4" s="1550"/>
      <c r="Y4" s="3412" t="s">
        <v>803</v>
      </c>
      <c r="Z4" s="3413"/>
      <c r="AA4" s="3407" t="s">
        <v>799</v>
      </c>
      <c r="AB4" s="3408" t="s">
        <v>800</v>
      </c>
      <c r="AC4" s="3407" t="s">
        <v>801</v>
      </c>
    </row>
    <row r="5" spans="1:29" ht="15">
      <c r="A5" s="513"/>
      <c r="B5" s="514"/>
      <c r="C5" s="3435" t="s">
        <v>2917</v>
      </c>
      <c r="D5" s="3436"/>
      <c r="E5" s="3435" t="s">
        <v>2918</v>
      </c>
      <c r="F5" s="3436"/>
      <c r="G5" s="3435" t="s">
        <v>2919</v>
      </c>
      <c r="H5" s="3436"/>
      <c r="I5" s="3435" t="s">
        <v>2920</v>
      </c>
      <c r="J5" s="3436"/>
      <c r="K5" s="51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2921</v>
      </c>
      <c r="D6" s="3434"/>
      <c r="E6" s="3437" t="s">
        <v>2921</v>
      </c>
      <c r="F6" s="3438"/>
      <c r="G6" s="3433" t="s">
        <v>2921</v>
      </c>
      <c r="H6" s="3434"/>
      <c r="I6" s="3433" t="s">
        <v>2921</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862"/>
      <c r="B7" s="2869" t="s">
        <v>529</v>
      </c>
      <c r="C7" s="517">
        <f>'数据-取费表'!B2</f>
        <v>43805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0" t="s">
        <v>530</v>
      </c>
      <c r="Q7" s="3419"/>
      <c r="R7" s="1551" t="s">
        <v>8</v>
      </c>
      <c r="S7" s="1552">
        <f t="shared" ref="S7:S14" si="0">F7</f>
        <v>0</v>
      </c>
      <c r="T7" s="1551" t="s">
        <v>8</v>
      </c>
      <c r="U7" s="1552">
        <f t="shared" ref="U7:U14" si="1">H7</f>
        <v>0</v>
      </c>
      <c r="V7" s="1551" t="s">
        <v>8</v>
      </c>
      <c r="W7" s="1552">
        <f t="shared" ref="W7:W14" si="2">J7</f>
        <v>0</v>
      </c>
      <c r="X7" s="1553"/>
      <c r="Y7" s="3410" t="s">
        <v>530</v>
      </c>
      <c r="Z7" s="3411"/>
      <c r="AA7" s="1554" t="e">
        <f>D7/F7</f>
        <v>#DIV/0!</v>
      </c>
      <c r="AB7" s="1554" t="e">
        <f>D7/H7</f>
        <v>#DIV/0!</v>
      </c>
      <c r="AC7" s="1554"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36" si="3">D8/F8</f>
        <v>#DIV/0!</v>
      </c>
      <c r="AB8" s="1554" t="e">
        <f t="shared" ref="AB8:AB36" si="4">D8/H8</f>
        <v>#DIV/0!</v>
      </c>
      <c r="AC8" s="1554" t="e">
        <f t="shared" ref="AC8:AC36" si="5">D8/J8</f>
        <v>#DIV/0!</v>
      </c>
    </row>
    <row r="9" spans="1:29" s="1213" customFormat="1" ht="15">
      <c r="A9" s="2864"/>
      <c r="B9" s="2871" t="s">
        <v>2751</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18" t="s">
        <v>535</v>
      </c>
      <c r="Q9" s="1144" t="str">
        <f t="shared" ref="Q9:Q14" si="6">B9</f>
        <v>用途</v>
      </c>
      <c r="R9" s="1551" t="s">
        <v>8</v>
      </c>
      <c r="S9" s="1552">
        <f t="shared" si="0"/>
        <v>100</v>
      </c>
      <c r="T9" s="1551" t="s">
        <v>8</v>
      </c>
      <c r="U9" s="1552">
        <f t="shared" si="1"/>
        <v>100</v>
      </c>
      <c r="V9" s="1551" t="s">
        <v>8</v>
      </c>
      <c r="W9" s="1552">
        <f t="shared" si="2"/>
        <v>100</v>
      </c>
      <c r="X9" s="1553"/>
      <c r="Y9" s="3375"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
      <c r="A11" s="2867"/>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18"/>
      <c r="Q11" s="1144">
        <f t="shared" si="6"/>
        <v>111</v>
      </c>
      <c r="R11" s="1551" t="s">
        <v>8</v>
      </c>
      <c r="S11" s="1552">
        <f t="shared" si="0"/>
        <v>100</v>
      </c>
      <c r="T11" s="1551" t="s">
        <v>8</v>
      </c>
      <c r="U11" s="1552">
        <f t="shared" si="1"/>
        <v>100</v>
      </c>
      <c r="V11" s="1551" t="s">
        <v>8</v>
      </c>
      <c r="W11" s="1552">
        <f t="shared" si="2"/>
        <v>100</v>
      </c>
      <c r="X11" s="1553"/>
      <c r="Y11" s="3375"/>
      <c r="Z11" s="1143">
        <f t="shared" si="7"/>
        <v>111</v>
      </c>
      <c r="AA11" s="1554">
        <f t="shared" si="3"/>
        <v>1</v>
      </c>
      <c r="AB11" s="1554">
        <f t="shared" si="4"/>
        <v>1</v>
      </c>
      <c r="AC11" s="1554">
        <f t="shared" si="5"/>
        <v>1</v>
      </c>
    </row>
    <row r="12" spans="1:29" s="1213" customFormat="1" ht="15">
      <c r="A12" s="2867"/>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75"/>
      <c r="Z12" s="1143">
        <f t="shared" si="7"/>
        <v>111</v>
      </c>
      <c r="AA12" s="1554">
        <f>D12/F12</f>
        <v>1</v>
      </c>
      <c r="AB12" s="1554">
        <f>D12/H12</f>
        <v>1</v>
      </c>
      <c r="AC12" s="1554">
        <f>D12/J12</f>
        <v>1</v>
      </c>
    </row>
    <row r="13" spans="1:29" ht="15.75" thickBot="1">
      <c r="A13" s="2868"/>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75"/>
      <c r="Z13" s="1143">
        <f t="shared" si="7"/>
        <v>111</v>
      </c>
      <c r="AA13" s="1554">
        <f t="shared" si="3"/>
        <v>1</v>
      </c>
      <c r="AB13" s="1554">
        <f t="shared" si="4"/>
        <v>1</v>
      </c>
      <c r="AC13" s="1554">
        <f t="shared" si="5"/>
        <v>1</v>
      </c>
    </row>
    <row r="14" spans="1:29" ht="85.5">
      <c r="A14" s="2860" t="s">
        <v>2749</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20" t="s">
        <v>540</v>
      </c>
      <c r="Q14" s="1555" t="str">
        <f t="shared" si="6"/>
        <v>交通便捷度</v>
      </c>
      <c r="R14" s="1556" t="s">
        <v>8</v>
      </c>
      <c r="S14" s="1557">
        <f t="shared" si="0"/>
        <v>100</v>
      </c>
      <c r="T14" s="1556" t="s">
        <v>8</v>
      </c>
      <c r="U14" s="1557">
        <f t="shared" si="1"/>
        <v>100</v>
      </c>
      <c r="V14" s="1556" t="s">
        <v>8</v>
      </c>
      <c r="W14" s="1557">
        <f t="shared" si="2"/>
        <v>100</v>
      </c>
      <c r="X14" s="1550"/>
      <c r="Y14" s="3420"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21"/>
      <c r="Q15" s="1555"/>
      <c r="R15" s="1556"/>
      <c r="S15" s="1557"/>
      <c r="T15" s="1556"/>
      <c r="U15" s="1557"/>
      <c r="V15" s="1556"/>
      <c r="W15" s="1557"/>
      <c r="X15" s="1550"/>
      <c r="Y15" s="3421"/>
      <c r="Z15" s="1558"/>
      <c r="AA15" s="1559">
        <v>1</v>
      </c>
      <c r="AB15" s="1559">
        <v>1</v>
      </c>
      <c r="AC15" s="1559">
        <v>1</v>
      </c>
    </row>
    <row r="16" spans="1:29" ht="42.75">
      <c r="A16" s="513"/>
      <c r="B16" s="2564" t="s">
        <v>2542</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21"/>
      <c r="Q16" s="1555" t="str">
        <f>B16</f>
        <v>公共配套设施</v>
      </c>
      <c r="R16" s="1556" t="s">
        <v>8</v>
      </c>
      <c r="S16" s="1557">
        <f>F16</f>
        <v>100</v>
      </c>
      <c r="T16" s="1556" t="s">
        <v>8</v>
      </c>
      <c r="U16" s="1557">
        <f>H16</f>
        <v>100</v>
      </c>
      <c r="V16" s="1556" t="s">
        <v>8</v>
      </c>
      <c r="W16" s="1557">
        <f>J16</f>
        <v>100</v>
      </c>
      <c r="X16" s="1550"/>
      <c r="Y16" s="3421"/>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21"/>
      <c r="Q17" s="1555"/>
      <c r="R17" s="1556"/>
      <c r="S17" s="1557"/>
      <c r="T17" s="1556"/>
      <c r="U17" s="1557"/>
      <c r="V17" s="1556"/>
      <c r="W17" s="1557"/>
      <c r="X17" s="1550"/>
      <c r="Y17" s="3421"/>
      <c r="Z17" s="1558"/>
      <c r="AA17" s="1559">
        <v>1</v>
      </c>
      <c r="AB17" s="1559">
        <v>1</v>
      </c>
      <c r="AC17" s="1559">
        <v>1</v>
      </c>
    </row>
    <row r="18" spans="1:29" ht="42.75">
      <c r="A18" s="513"/>
      <c r="B18" s="2552" t="s">
        <v>2554</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21"/>
      <c r="Q18" s="2540" t="str">
        <f>B18</f>
        <v>基础设施水平</v>
      </c>
      <c r="R18" s="1556" t="s">
        <v>8</v>
      </c>
      <c r="S18" s="1557">
        <f>F18</f>
        <v>100</v>
      </c>
      <c r="T18" s="1556" t="s">
        <v>8</v>
      </c>
      <c r="U18" s="1557">
        <f>H18</f>
        <v>100</v>
      </c>
      <c r="V18" s="1556" t="s">
        <v>8</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21"/>
      <c r="Q20" s="1555" t="str">
        <f>B20</f>
        <v>自然及人文环境</v>
      </c>
      <c r="R20" s="1556" t="s">
        <v>8</v>
      </c>
      <c r="S20" s="1557">
        <f>F20</f>
        <v>100</v>
      </c>
      <c r="T20" s="1556" t="s">
        <v>8</v>
      </c>
      <c r="U20" s="1557">
        <f>H20</f>
        <v>100</v>
      </c>
      <c r="V20" s="1556" t="s">
        <v>8</v>
      </c>
      <c r="W20" s="1557">
        <f>J20</f>
        <v>100</v>
      </c>
      <c r="X20" s="1550"/>
      <c r="Y20" s="3421"/>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1"/>
      <c r="Q22" s="1555" t="str">
        <f>B22</f>
        <v>楼层</v>
      </c>
      <c r="R22" s="1556" t="s">
        <v>8</v>
      </c>
      <c r="S22" s="1557">
        <f>F22</f>
        <v>100</v>
      </c>
      <c r="T22" s="1556" t="s">
        <v>8</v>
      </c>
      <c r="U22" s="1557">
        <f>H22</f>
        <v>100</v>
      </c>
      <c r="V22" s="1556" t="s">
        <v>8</v>
      </c>
      <c r="W22" s="1557">
        <f>J22</f>
        <v>100</v>
      </c>
      <c r="X22" s="1550"/>
      <c r="Y22" s="3421"/>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1"/>
      <c r="Q23" s="1555">
        <f>B23</f>
        <v>111</v>
      </c>
      <c r="R23" s="1556" t="s">
        <v>8</v>
      </c>
      <c r="S23" s="1557">
        <f>F23</f>
        <v>100</v>
      </c>
      <c r="T23" s="1556" t="s">
        <v>8</v>
      </c>
      <c r="U23" s="1557">
        <f>H23</f>
        <v>100</v>
      </c>
      <c r="V23" s="1556" t="s">
        <v>8</v>
      </c>
      <c r="W23" s="1557">
        <f>J23</f>
        <v>100</v>
      </c>
      <c r="X23" s="1550"/>
      <c r="Y23" s="3421"/>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1"/>
      <c r="Q24" s="1555">
        <f t="shared" ref="Q24:Q36" si="11">B24</f>
        <v>111</v>
      </c>
      <c r="R24" s="1556" t="s">
        <v>8</v>
      </c>
      <c r="S24" s="1557">
        <f>F24</f>
        <v>100</v>
      </c>
      <c r="T24" s="1556" t="s">
        <v>8</v>
      </c>
      <c r="U24" s="1557">
        <f>H24</f>
        <v>100</v>
      </c>
      <c r="V24" s="1556" t="s">
        <v>8</v>
      </c>
      <c r="W24" s="1557">
        <f>J24</f>
        <v>100</v>
      </c>
      <c r="X24" s="1550"/>
      <c r="Y24" s="3421"/>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21"/>
      <c r="Q25" s="1144">
        <f t="shared" si="11"/>
        <v>111</v>
      </c>
      <c r="R25" s="1551" t="s">
        <v>8</v>
      </c>
      <c r="S25" s="1552">
        <f>F25</f>
        <v>100</v>
      </c>
      <c r="T25" s="1551" t="s">
        <v>8</v>
      </c>
      <c r="U25" s="1552">
        <f>H25</f>
        <v>100</v>
      </c>
      <c r="V25" s="1551" t="s">
        <v>8</v>
      </c>
      <c r="W25" s="1552">
        <f>J25</f>
        <v>100</v>
      </c>
      <c r="X25" s="1553"/>
      <c r="Y25" s="3421"/>
      <c r="Z25" s="1143">
        <f>Q25</f>
        <v>111</v>
      </c>
      <c r="AA25" s="1559">
        <f>D25/F25</f>
        <v>1</v>
      </c>
      <c r="AB25" s="1559">
        <f>D25/H25</f>
        <v>1</v>
      </c>
      <c r="AC25" s="1559">
        <f>D25/J25</f>
        <v>1</v>
      </c>
    </row>
    <row r="26" spans="1:29" ht="15">
      <c r="A26" s="2858" t="s">
        <v>2750</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2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3"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23"/>
      <c r="Q27" s="1587" t="str">
        <f t="shared" si="11"/>
        <v>项目停车位配比</v>
      </c>
      <c r="R27" s="1560" t="s">
        <v>8</v>
      </c>
      <c r="S27" s="1561">
        <f t="shared" si="12"/>
        <v>100</v>
      </c>
      <c r="T27" s="1560" t="s">
        <v>8</v>
      </c>
      <c r="U27" s="1561">
        <f t="shared" si="13"/>
        <v>100</v>
      </c>
      <c r="V27" s="1560" t="s">
        <v>8</v>
      </c>
      <c r="W27" s="1561">
        <f t="shared" si="14"/>
        <v>100</v>
      </c>
      <c r="X27" s="1562"/>
      <c r="Y27" s="3423"/>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3"/>
      <c r="Q28" s="1555" t="str">
        <f t="shared" si="11"/>
        <v>公共部分装修</v>
      </c>
      <c r="R28" s="1556" t="s">
        <v>8</v>
      </c>
      <c r="S28" s="1557">
        <f t="shared" si="12"/>
        <v>100</v>
      </c>
      <c r="T28" s="1556" t="s">
        <v>8</v>
      </c>
      <c r="U28" s="1557">
        <f t="shared" si="13"/>
        <v>100</v>
      </c>
      <c r="V28" s="1556" t="s">
        <v>8</v>
      </c>
      <c r="W28" s="1557">
        <f t="shared" si="14"/>
        <v>100</v>
      </c>
      <c r="X28" s="1550"/>
      <c r="Y28" s="3423"/>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23"/>
      <c r="Q29" s="1555" t="str">
        <f t="shared" si="11"/>
        <v>成新率</v>
      </c>
      <c r="R29" s="1556" t="s">
        <v>8</v>
      </c>
      <c r="S29" s="1557" t="e">
        <f t="shared" si="12"/>
        <v>#N/A</v>
      </c>
      <c r="T29" s="1556" t="s">
        <v>8</v>
      </c>
      <c r="U29" s="1557" t="e">
        <f t="shared" si="13"/>
        <v>#N/A</v>
      </c>
      <c r="V29" s="1556" t="s">
        <v>8</v>
      </c>
      <c r="W29" s="1557" t="e">
        <f t="shared" si="14"/>
        <v>#N/A</v>
      </c>
      <c r="X29" s="1550"/>
      <c r="Y29" s="3423"/>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23"/>
      <c r="Q30" s="1555" t="str">
        <f t="shared" si="11"/>
        <v>物业等级</v>
      </c>
      <c r="R30" s="1556" t="s">
        <v>8</v>
      </c>
      <c r="S30" s="1557">
        <f t="shared" si="12"/>
        <v>100</v>
      </c>
      <c r="T30" s="1556" t="s">
        <v>8</v>
      </c>
      <c r="U30" s="1557">
        <f t="shared" si="13"/>
        <v>100</v>
      </c>
      <c r="V30" s="1556" t="s">
        <v>8</v>
      </c>
      <c r="W30" s="1557">
        <f t="shared" si="14"/>
        <v>100</v>
      </c>
      <c r="X30" s="1550"/>
      <c r="Y30" s="3423"/>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23"/>
      <c r="Q31" s="1144" t="str">
        <f t="shared" si="11"/>
        <v>停车位面积</v>
      </c>
      <c r="R31" s="1551" t="s">
        <v>8</v>
      </c>
      <c r="S31" s="1552" t="e">
        <f t="shared" si="12"/>
        <v>#N/A</v>
      </c>
      <c r="T31" s="1551" t="s">
        <v>8</v>
      </c>
      <c r="U31" s="1552" t="e">
        <f t="shared" si="13"/>
        <v>#N/A</v>
      </c>
      <c r="V31" s="1551" t="s">
        <v>8</v>
      </c>
      <c r="W31" s="1552" t="e">
        <f t="shared" si="14"/>
        <v>#N/A</v>
      </c>
      <c r="X31" s="1553"/>
      <c r="Y31" s="3423"/>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3" t="s">
        <v>550</v>
      </c>
      <c r="Q32" s="1555" t="str">
        <f t="shared" si="11"/>
        <v>车位类型</v>
      </c>
      <c r="R32" s="1556" t="s">
        <v>8</v>
      </c>
      <c r="S32" s="1557">
        <f t="shared" si="12"/>
        <v>100</v>
      </c>
      <c r="T32" s="1556" t="s">
        <v>8</v>
      </c>
      <c r="U32" s="1557">
        <f t="shared" si="13"/>
        <v>100</v>
      </c>
      <c r="V32" s="1556" t="s">
        <v>8</v>
      </c>
      <c r="W32" s="1557">
        <f t="shared" si="14"/>
        <v>100</v>
      </c>
      <c r="X32" s="1550"/>
      <c r="Y32" s="3423"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3"/>
      <c r="Q33" s="1555" t="str">
        <f t="shared" si="11"/>
        <v>是否直接入户</v>
      </c>
      <c r="R33" s="1556" t="s">
        <v>8</v>
      </c>
      <c r="S33" s="1557">
        <f t="shared" si="12"/>
        <v>100</v>
      </c>
      <c r="T33" s="1556" t="s">
        <v>8</v>
      </c>
      <c r="U33" s="1557">
        <f t="shared" si="13"/>
        <v>100</v>
      </c>
      <c r="V33" s="1556" t="s">
        <v>8</v>
      </c>
      <c r="W33" s="1557">
        <f t="shared" si="14"/>
        <v>100</v>
      </c>
      <c r="X33" s="1550"/>
      <c r="Y33" s="3423"/>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3"/>
      <c r="Q34" s="1555">
        <f t="shared" si="11"/>
        <v>111</v>
      </c>
      <c r="R34" s="1556" t="s">
        <v>8</v>
      </c>
      <c r="S34" s="1557">
        <f t="shared" si="12"/>
        <v>100</v>
      </c>
      <c r="T34" s="1556" t="s">
        <v>8</v>
      </c>
      <c r="U34" s="1557">
        <f t="shared" si="13"/>
        <v>100</v>
      </c>
      <c r="V34" s="1556" t="s">
        <v>8</v>
      </c>
      <c r="W34" s="1557">
        <f t="shared" si="14"/>
        <v>100</v>
      </c>
      <c r="X34" s="1550"/>
      <c r="Y34" s="3423"/>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3"/>
      <c r="Q35" s="1587">
        <f t="shared" si="11"/>
        <v>111</v>
      </c>
      <c r="R35" s="1560" t="s">
        <v>8</v>
      </c>
      <c r="S35" s="1561">
        <f t="shared" si="12"/>
        <v>100</v>
      </c>
      <c r="T35" s="1560" t="s">
        <v>8</v>
      </c>
      <c r="U35" s="1561">
        <f t="shared" si="13"/>
        <v>100</v>
      </c>
      <c r="V35" s="1560" t="s">
        <v>8</v>
      </c>
      <c r="W35" s="1561">
        <f t="shared" si="14"/>
        <v>100</v>
      </c>
      <c r="X35" s="1562"/>
      <c r="Y35" s="3423"/>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3"/>
      <c r="Q36" s="1555">
        <f t="shared" si="11"/>
        <v>111</v>
      </c>
      <c r="R36" s="1556" t="s">
        <v>8</v>
      </c>
      <c r="S36" s="1557">
        <f t="shared" si="12"/>
        <v>100</v>
      </c>
      <c r="T36" s="1556" t="s">
        <v>8</v>
      </c>
      <c r="U36" s="1557">
        <f t="shared" si="13"/>
        <v>100</v>
      </c>
      <c r="V36" s="1556" t="s">
        <v>8</v>
      </c>
      <c r="W36" s="1557">
        <f t="shared" si="14"/>
        <v>100</v>
      </c>
      <c r="X36" s="1550"/>
      <c r="Y36" s="3423"/>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6"/>
      <c r="M37" s="2127"/>
      <c r="N37" s="2116"/>
      <c r="O37" s="2127"/>
      <c r="P37" s="3418" t="str">
        <f>A37</f>
        <v>成交单价</v>
      </c>
      <c r="Q37" s="3418"/>
      <c r="R37" s="3503">
        <f>E37</f>
        <v>0</v>
      </c>
      <c r="S37" s="3503"/>
      <c r="T37" s="3503">
        <f>G37</f>
        <v>0</v>
      </c>
      <c r="U37" s="3503"/>
      <c r="V37" s="3503">
        <f>I37</f>
        <v>0</v>
      </c>
      <c r="W37" s="3503"/>
      <c r="X37" s="1542"/>
      <c r="Y37" s="1564"/>
      <c r="Z37" s="1542"/>
      <c r="AA37" s="1542"/>
      <c r="AB37" s="1542"/>
      <c r="AC37" s="1542"/>
    </row>
    <row r="38" spans="1:29" ht="15.75" thickBot="1">
      <c r="A38" s="613" t="s">
        <v>2755</v>
      </c>
      <c r="B38" s="885"/>
      <c r="C38" s="2593" t="e">
        <f>R39</f>
        <v>#DIV/0!</v>
      </c>
      <c r="D38" s="2594"/>
      <c r="E38" s="2595" t="e">
        <f>R38</f>
        <v>#DIV/0!</v>
      </c>
      <c r="F38" s="2595"/>
      <c r="G38" s="2593" t="e">
        <f>T38</f>
        <v>#DIV/0!</v>
      </c>
      <c r="H38" s="2594"/>
      <c r="I38" s="2595" t="e">
        <f>V38</f>
        <v>#DIV/0!</v>
      </c>
      <c r="J38" s="2594"/>
      <c r="K38" s="1594"/>
      <c r="L38" s="2126"/>
      <c r="M38" s="2127"/>
      <c r="N38" s="2127"/>
      <c r="O38" s="2127"/>
      <c r="P38" s="3418" t="str">
        <f>A38</f>
        <v>比较价格（元/平方米）</v>
      </c>
      <c r="Q38" s="3418"/>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2"/>
      <c r="Y38" s="1542"/>
      <c r="Z38" s="1542"/>
      <c r="AA38" s="1542"/>
      <c r="AB38" s="1542"/>
      <c r="AC38" s="1542"/>
    </row>
    <row r="39" spans="1:29" ht="15.75" thickBot="1">
      <c r="A39" s="619" t="s">
        <v>2923</v>
      </c>
      <c r="B39" s="620"/>
      <c r="C39" s="2596" t="e">
        <f>R39</f>
        <v>#DIV/0!</v>
      </c>
      <c r="D39" s="2596"/>
      <c r="E39" s="2596"/>
      <c r="F39" s="2596"/>
      <c r="G39" s="2596"/>
      <c r="H39" s="2596"/>
      <c r="I39" s="2596"/>
      <c r="J39" s="2596"/>
      <c r="K39" s="1595"/>
      <c r="L39" s="2126"/>
      <c r="M39" s="2127"/>
      <c r="N39" s="2127"/>
      <c r="O39" s="2127"/>
      <c r="P39" s="3439" t="str">
        <f>A39</f>
        <v>估价对象XX用房的比较价格（楼面单价，元/平方米）</v>
      </c>
      <c r="Q39" s="3440"/>
      <c r="R39" s="3502" t="e">
        <f>IF(F1="售价",ROUND(AVERAGE(R38:V38),0),ROUND(AVERAGE(R38:V38),1))</f>
        <v>#DIV/0!</v>
      </c>
      <c r="S39" s="3502"/>
      <c r="T39" s="3502"/>
      <c r="U39" s="3502"/>
      <c r="V39" s="3502"/>
      <c r="W39" s="3502"/>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2019-12</v>
      </c>
      <c r="D48" s="2755">
        <f>EDATE(C48,-1)</f>
        <v>43770</v>
      </c>
      <c r="E48" s="2755">
        <f t="shared" ref="E48:O48" si="16">EDATE(D48,-1)</f>
        <v>43739</v>
      </c>
      <c r="F48" s="2755">
        <f t="shared" si="16"/>
        <v>43709</v>
      </c>
      <c r="G48" s="2755">
        <f t="shared" si="16"/>
        <v>43678</v>
      </c>
      <c r="H48" s="2755">
        <f t="shared" si="16"/>
        <v>43647</v>
      </c>
      <c r="I48" s="2755">
        <f t="shared" si="16"/>
        <v>43617</v>
      </c>
      <c r="J48" s="2755">
        <f t="shared" si="16"/>
        <v>43586</v>
      </c>
      <c r="K48" s="2755">
        <f t="shared" si="16"/>
        <v>43556</v>
      </c>
      <c r="L48" s="2755">
        <f t="shared" si="16"/>
        <v>43525</v>
      </c>
      <c r="M48" s="2755">
        <f t="shared" si="16"/>
        <v>43497</v>
      </c>
      <c r="N48" s="2755">
        <f t="shared" si="16"/>
        <v>43466</v>
      </c>
      <c r="O48" s="2755">
        <f t="shared" si="16"/>
        <v>43435</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4" t="s">
        <v>798</v>
      </c>
      <c r="D4" s="3425"/>
      <c r="E4" s="3448" t="s">
        <v>799</v>
      </c>
      <c r="F4" s="3449"/>
      <c r="G4" s="3424" t="s">
        <v>800</v>
      </c>
      <c r="H4" s="3425"/>
      <c r="I4" s="3424" t="s">
        <v>801</v>
      </c>
      <c r="J4" s="3425"/>
      <c r="K4" s="512" t="s">
        <v>802</v>
      </c>
      <c r="L4" s="2115"/>
      <c r="M4" s="2116"/>
      <c r="N4" s="2116"/>
      <c r="O4" s="2116"/>
      <c r="P4" s="3426" t="s">
        <v>803</v>
      </c>
      <c r="Q4" s="3427"/>
      <c r="R4" s="3412" t="s">
        <v>799</v>
      </c>
      <c r="S4" s="3413"/>
      <c r="T4" s="3412" t="s">
        <v>800</v>
      </c>
      <c r="U4" s="3413"/>
      <c r="V4" s="3432" t="s">
        <v>801</v>
      </c>
      <c r="W4" s="3432"/>
      <c r="X4" s="1550"/>
      <c r="Y4" s="3412" t="s">
        <v>803</v>
      </c>
      <c r="Z4" s="3413"/>
      <c r="AA4" s="3407" t="s">
        <v>799</v>
      </c>
      <c r="AB4" s="3408" t="s">
        <v>800</v>
      </c>
      <c r="AC4" s="3407" t="s">
        <v>801</v>
      </c>
    </row>
    <row r="5" spans="1:29" ht="15">
      <c r="A5" s="513"/>
      <c r="B5" s="514"/>
      <c r="C5" s="3435" t="s">
        <v>2917</v>
      </c>
      <c r="D5" s="3436"/>
      <c r="E5" s="3450" t="s">
        <v>2918</v>
      </c>
      <c r="F5" s="3451"/>
      <c r="G5" s="3435" t="s">
        <v>2919</v>
      </c>
      <c r="H5" s="3436"/>
      <c r="I5" s="3435" t="s">
        <v>2920</v>
      </c>
      <c r="J5" s="3436"/>
      <c r="K5" s="51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2921</v>
      </c>
      <c r="D6" s="3434"/>
      <c r="E6" s="3452" t="s">
        <v>2921</v>
      </c>
      <c r="F6" s="3453"/>
      <c r="G6" s="3433" t="s">
        <v>2921</v>
      </c>
      <c r="H6" s="3434"/>
      <c r="I6" s="3433" t="s">
        <v>2921</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862"/>
      <c r="B7" s="2869" t="s">
        <v>529</v>
      </c>
      <c r="C7" s="517">
        <f>'数据-取费表'!B2</f>
        <v>43805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0" t="s">
        <v>530</v>
      </c>
      <c r="Q7" s="3419"/>
      <c r="R7" s="1551" t="s">
        <v>8</v>
      </c>
      <c r="S7" s="1552">
        <f t="shared" ref="S7:S14" si="0">F7</f>
        <v>0</v>
      </c>
      <c r="T7" s="1551" t="s">
        <v>8</v>
      </c>
      <c r="U7" s="1552">
        <f t="shared" ref="U7:U14" si="1">H7</f>
        <v>0</v>
      </c>
      <c r="V7" s="1551" t="s">
        <v>8</v>
      </c>
      <c r="W7" s="1552">
        <f t="shared" ref="W7:W14" si="2">J7</f>
        <v>0</v>
      </c>
      <c r="X7" s="1553"/>
      <c r="Y7" s="3410" t="s">
        <v>530</v>
      </c>
      <c r="Z7" s="3411"/>
      <c r="AA7" s="1554" t="e">
        <f>D7/F7</f>
        <v>#DIV/0!</v>
      </c>
      <c r="AB7" s="1554" t="e">
        <f>D7/H7</f>
        <v>#DIV/0!</v>
      </c>
      <c r="AC7" s="1554"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34" si="3">D8/F8</f>
        <v>#DIV/0!</v>
      </c>
      <c r="AB8" s="1554" t="e">
        <f t="shared" ref="AB8:AB34" si="4">D8/H8</f>
        <v>#DIV/0!</v>
      </c>
      <c r="AC8" s="1554" t="e">
        <f t="shared" ref="AC8:AC34" si="5">D8/J8</f>
        <v>#DIV/0!</v>
      </c>
    </row>
    <row r="9" spans="1:29" s="1213" customFormat="1" ht="15">
      <c r="A9" s="2864"/>
      <c r="B9" s="2871" t="s">
        <v>2751</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18" t="s">
        <v>535</v>
      </c>
      <c r="Q9" s="1144" t="str">
        <f t="shared" ref="Q9:Q14" si="6">B9</f>
        <v>用途</v>
      </c>
      <c r="R9" s="1551" t="s">
        <v>8</v>
      </c>
      <c r="S9" s="1552">
        <f t="shared" si="0"/>
        <v>100</v>
      </c>
      <c r="T9" s="1551" t="s">
        <v>8</v>
      </c>
      <c r="U9" s="1552">
        <f t="shared" si="1"/>
        <v>100</v>
      </c>
      <c r="V9" s="1551" t="s">
        <v>8</v>
      </c>
      <c r="W9" s="1552">
        <f t="shared" si="2"/>
        <v>100</v>
      </c>
      <c r="X9" s="1553"/>
      <c r="Y9" s="3375"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75"/>
      <c r="Z10" s="1143" t="str">
        <f t="shared" si="7"/>
        <v>土地使用年限（年）</v>
      </c>
      <c r="AA10" s="1554">
        <f t="shared" si="3"/>
        <v>1</v>
      </c>
      <c r="AB10" s="1554">
        <f t="shared" si="4"/>
        <v>1</v>
      </c>
      <c r="AC10" s="1554">
        <f t="shared" si="5"/>
        <v>1</v>
      </c>
    </row>
    <row r="11" spans="1:29" ht="15">
      <c r="A11" s="2867"/>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18"/>
      <c r="Q11" s="1144">
        <f t="shared" si="6"/>
        <v>111</v>
      </c>
      <c r="R11" s="1551" t="s">
        <v>8</v>
      </c>
      <c r="S11" s="1552">
        <f t="shared" si="0"/>
        <v>100</v>
      </c>
      <c r="T11" s="1551" t="s">
        <v>8</v>
      </c>
      <c r="U11" s="1552">
        <f t="shared" si="1"/>
        <v>100</v>
      </c>
      <c r="V11" s="1551" t="s">
        <v>8</v>
      </c>
      <c r="W11" s="1552">
        <f t="shared" si="2"/>
        <v>100</v>
      </c>
      <c r="X11" s="1553"/>
      <c r="Y11" s="3375"/>
      <c r="Z11" s="1143">
        <f t="shared" si="7"/>
        <v>111</v>
      </c>
      <c r="AA11" s="1554">
        <f t="shared" si="3"/>
        <v>1</v>
      </c>
      <c r="AB11" s="1554">
        <f t="shared" si="4"/>
        <v>1</v>
      </c>
      <c r="AC11" s="1554">
        <f t="shared" si="5"/>
        <v>1</v>
      </c>
    </row>
    <row r="12" spans="1:29" s="1213" customFormat="1" ht="15">
      <c r="A12" s="2867"/>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75"/>
      <c r="Z12" s="1143">
        <f t="shared" si="7"/>
        <v>111</v>
      </c>
      <c r="AA12" s="1554">
        <f>D12/F12</f>
        <v>1</v>
      </c>
      <c r="AB12" s="1554">
        <f>D12/H12</f>
        <v>1</v>
      </c>
      <c r="AC12" s="1554">
        <f>D12/J12</f>
        <v>1</v>
      </c>
    </row>
    <row r="13" spans="1:29" ht="15.75" thickBot="1">
      <c r="A13" s="2868"/>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75"/>
      <c r="Z13" s="1143">
        <f t="shared" si="7"/>
        <v>111</v>
      </c>
      <c r="AA13" s="1554">
        <f t="shared" si="3"/>
        <v>1</v>
      </c>
      <c r="AB13" s="1554">
        <f t="shared" si="4"/>
        <v>1</v>
      </c>
      <c r="AC13" s="1554">
        <f t="shared" si="5"/>
        <v>1</v>
      </c>
    </row>
    <row r="14" spans="1:29" ht="85.5">
      <c r="A14" s="2860" t="s">
        <v>2749</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20" t="s">
        <v>540</v>
      </c>
      <c r="Q14" s="1555" t="str">
        <f t="shared" si="6"/>
        <v>交通便捷度</v>
      </c>
      <c r="R14" s="1556" t="s">
        <v>8</v>
      </c>
      <c r="S14" s="1557">
        <f t="shared" si="0"/>
        <v>100</v>
      </c>
      <c r="T14" s="1556" t="s">
        <v>8</v>
      </c>
      <c r="U14" s="1557">
        <f t="shared" si="1"/>
        <v>100</v>
      </c>
      <c r="V14" s="1556" t="s">
        <v>8</v>
      </c>
      <c r="W14" s="1557">
        <f t="shared" si="2"/>
        <v>100</v>
      </c>
      <c r="X14" s="1550"/>
      <c r="Y14" s="3420"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21"/>
      <c r="Q15" s="1555"/>
      <c r="R15" s="1556"/>
      <c r="S15" s="1557"/>
      <c r="T15" s="1556"/>
      <c r="U15" s="1557"/>
      <c r="V15" s="1556"/>
      <c r="W15" s="1557"/>
      <c r="X15" s="1550"/>
      <c r="Y15" s="3421"/>
      <c r="Z15" s="1558"/>
      <c r="AA15" s="1559">
        <v>1</v>
      </c>
      <c r="AB15" s="1559">
        <v>1</v>
      </c>
      <c r="AC15" s="1559">
        <v>1</v>
      </c>
    </row>
    <row r="16" spans="1:29" ht="42.75">
      <c r="A16" s="530"/>
      <c r="B16" s="2564" t="s">
        <v>2542</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21"/>
      <c r="Q16" s="1555" t="str">
        <f>B16</f>
        <v>公共配套设施</v>
      </c>
      <c r="R16" s="1556" t="s">
        <v>8</v>
      </c>
      <c r="S16" s="1557">
        <f>F16</f>
        <v>100</v>
      </c>
      <c r="T16" s="1556" t="s">
        <v>8</v>
      </c>
      <c r="U16" s="1557">
        <f>H16</f>
        <v>100</v>
      </c>
      <c r="V16" s="1556" t="s">
        <v>8</v>
      </c>
      <c r="W16" s="1557">
        <f>J16</f>
        <v>100</v>
      </c>
      <c r="X16" s="1550"/>
      <c r="Y16" s="3421"/>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21"/>
      <c r="Q17" s="1555"/>
      <c r="R17" s="1556"/>
      <c r="S17" s="1557"/>
      <c r="T17" s="1556"/>
      <c r="U17" s="1557"/>
      <c r="V17" s="1556"/>
      <c r="W17" s="1557"/>
      <c r="X17" s="1550"/>
      <c r="Y17" s="3421"/>
      <c r="Z17" s="1558"/>
      <c r="AA17" s="1559">
        <v>1</v>
      </c>
      <c r="AB17" s="1559">
        <v>1</v>
      </c>
      <c r="AC17" s="1559">
        <v>1</v>
      </c>
    </row>
    <row r="18" spans="1:29" ht="42.75">
      <c r="A18" s="530"/>
      <c r="B18" s="2552" t="s">
        <v>2554</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21"/>
      <c r="Q18" s="2540" t="str">
        <f>B18</f>
        <v>基础设施水平</v>
      </c>
      <c r="R18" s="1556" t="s">
        <v>8</v>
      </c>
      <c r="S18" s="1557">
        <f>F18</f>
        <v>100</v>
      </c>
      <c r="T18" s="1556" t="s">
        <v>8</v>
      </c>
      <c r="U18" s="1557">
        <f>H18</f>
        <v>100</v>
      </c>
      <c r="V18" s="1556" t="s">
        <v>8</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21"/>
      <c r="Q20" s="1555" t="str">
        <f>B20</f>
        <v>自然及人文环境</v>
      </c>
      <c r="R20" s="1556" t="s">
        <v>8</v>
      </c>
      <c r="S20" s="1557">
        <f>F20</f>
        <v>100</v>
      </c>
      <c r="T20" s="1556" t="s">
        <v>8</v>
      </c>
      <c r="U20" s="1557">
        <f>H20</f>
        <v>100</v>
      </c>
      <c r="V20" s="1556" t="s">
        <v>8</v>
      </c>
      <c r="W20" s="1557">
        <f>J20</f>
        <v>100</v>
      </c>
      <c r="X20" s="1550"/>
      <c r="Y20" s="3421"/>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1"/>
      <c r="Q22" s="1555" t="str">
        <f>B22</f>
        <v>楼层</v>
      </c>
      <c r="R22" s="1556" t="s">
        <v>8</v>
      </c>
      <c r="S22" s="1557">
        <f>F22</f>
        <v>100</v>
      </c>
      <c r="T22" s="1556" t="s">
        <v>8</v>
      </c>
      <c r="U22" s="1557">
        <f>H22</f>
        <v>100</v>
      </c>
      <c r="V22" s="1556" t="s">
        <v>8</v>
      </c>
      <c r="W22" s="1557">
        <f>J22</f>
        <v>100</v>
      </c>
      <c r="X22" s="1550"/>
      <c r="Y22" s="3421"/>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1"/>
      <c r="Q23" s="1555">
        <f>B23</f>
        <v>111</v>
      </c>
      <c r="R23" s="1556" t="s">
        <v>8</v>
      </c>
      <c r="S23" s="1557">
        <f>F23</f>
        <v>100</v>
      </c>
      <c r="T23" s="1556" t="s">
        <v>8</v>
      </c>
      <c r="U23" s="1557">
        <f>H23</f>
        <v>100</v>
      </c>
      <c r="V23" s="1556" t="s">
        <v>8</v>
      </c>
      <c r="W23" s="1557">
        <f>J23</f>
        <v>100</v>
      </c>
      <c r="X23" s="1550"/>
      <c r="Y23" s="3421"/>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1"/>
      <c r="Q24" s="1555">
        <f t="shared" ref="Q24:Q34" si="11">B24</f>
        <v>111</v>
      </c>
      <c r="R24" s="1556" t="s">
        <v>8</v>
      </c>
      <c r="S24" s="1557">
        <f>F24</f>
        <v>100</v>
      </c>
      <c r="T24" s="1556" t="s">
        <v>8</v>
      </c>
      <c r="U24" s="1557">
        <f>H24</f>
        <v>100</v>
      </c>
      <c r="V24" s="1556" t="s">
        <v>8</v>
      </c>
      <c r="W24" s="1557">
        <f>J24</f>
        <v>100</v>
      </c>
      <c r="X24" s="1550"/>
      <c r="Y24" s="3421"/>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21"/>
      <c r="Q25" s="1144">
        <f t="shared" si="11"/>
        <v>111</v>
      </c>
      <c r="R25" s="1551" t="s">
        <v>8</v>
      </c>
      <c r="S25" s="1552">
        <f>F25</f>
        <v>100</v>
      </c>
      <c r="T25" s="1551" t="s">
        <v>8</v>
      </c>
      <c r="U25" s="1552">
        <f>H25</f>
        <v>100</v>
      </c>
      <c r="V25" s="1551" t="s">
        <v>8</v>
      </c>
      <c r="W25" s="1552">
        <f>J25</f>
        <v>100</v>
      </c>
      <c r="X25" s="1553"/>
      <c r="Y25" s="3421"/>
      <c r="Z25" s="1143">
        <f>Q25</f>
        <v>111</v>
      </c>
      <c r="AA25" s="1559">
        <f>D25/F25</f>
        <v>1</v>
      </c>
      <c r="AB25" s="1559">
        <f>D25/H25</f>
        <v>1</v>
      </c>
      <c r="AC25" s="1559">
        <f>D25/J25</f>
        <v>1</v>
      </c>
    </row>
    <row r="26" spans="1:29" ht="15">
      <c r="A26" s="2858" t="s">
        <v>2750</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2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3"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23"/>
      <c r="Q27" s="1587" t="str">
        <f t="shared" si="11"/>
        <v>成新率</v>
      </c>
      <c r="R27" s="1560" t="s">
        <v>8</v>
      </c>
      <c r="S27" s="1561" t="e">
        <f t="shared" si="12"/>
        <v>#N/A</v>
      </c>
      <c r="T27" s="1560" t="s">
        <v>8</v>
      </c>
      <c r="U27" s="1561" t="e">
        <f t="shared" si="13"/>
        <v>#N/A</v>
      </c>
      <c r="V27" s="1560" t="s">
        <v>8</v>
      </c>
      <c r="W27" s="1561" t="e">
        <f t="shared" si="14"/>
        <v>#N/A</v>
      </c>
      <c r="X27" s="1562"/>
      <c r="Y27" s="3423"/>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3"/>
      <c r="Q28" s="1555" t="str">
        <f t="shared" si="11"/>
        <v>物业等级</v>
      </c>
      <c r="R28" s="1556" t="s">
        <v>8</v>
      </c>
      <c r="S28" s="1557">
        <f t="shared" si="12"/>
        <v>100</v>
      </c>
      <c r="T28" s="1556" t="s">
        <v>8</v>
      </c>
      <c r="U28" s="1557">
        <f t="shared" si="13"/>
        <v>100</v>
      </c>
      <c r="V28" s="1556" t="s">
        <v>8</v>
      </c>
      <c r="W28" s="1557">
        <f t="shared" si="14"/>
        <v>100</v>
      </c>
      <c r="X28" s="1550"/>
      <c r="Y28" s="3423"/>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23"/>
      <c r="Q29" s="1555" t="str">
        <f t="shared" si="11"/>
        <v>有无电梯</v>
      </c>
      <c r="R29" s="1556" t="s">
        <v>8</v>
      </c>
      <c r="S29" s="1557">
        <f t="shared" si="12"/>
        <v>100</v>
      </c>
      <c r="T29" s="1556" t="s">
        <v>8</v>
      </c>
      <c r="U29" s="1557">
        <f t="shared" si="13"/>
        <v>100</v>
      </c>
      <c r="V29" s="1556" t="s">
        <v>8</v>
      </c>
      <c r="W29" s="1557">
        <f t="shared" si="14"/>
        <v>100</v>
      </c>
      <c r="X29" s="1550"/>
      <c r="Y29" s="3423"/>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23"/>
      <c r="Q30" s="1555" t="str">
        <f t="shared" si="11"/>
        <v>建筑面积</v>
      </c>
      <c r="R30" s="1556" t="s">
        <v>8</v>
      </c>
      <c r="S30" s="1557" t="e">
        <f t="shared" si="12"/>
        <v>#N/A</v>
      </c>
      <c r="T30" s="1556" t="s">
        <v>8</v>
      </c>
      <c r="U30" s="1557" t="e">
        <f t="shared" si="13"/>
        <v>#N/A</v>
      </c>
      <c r="V30" s="1556" t="s">
        <v>8</v>
      </c>
      <c r="W30" s="1557" t="e">
        <f t="shared" si="14"/>
        <v>#N/A</v>
      </c>
      <c r="X30" s="1550"/>
      <c r="Y30" s="3423"/>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23"/>
      <c r="Q31" s="1144" t="str">
        <f t="shared" si="11"/>
        <v>是否封闭</v>
      </c>
      <c r="R31" s="1551" t="s">
        <v>8</v>
      </c>
      <c r="S31" s="1552">
        <f t="shared" si="12"/>
        <v>100</v>
      </c>
      <c r="T31" s="1551" t="s">
        <v>8</v>
      </c>
      <c r="U31" s="1552">
        <f t="shared" si="13"/>
        <v>100</v>
      </c>
      <c r="V31" s="1551" t="s">
        <v>8</v>
      </c>
      <c r="W31" s="1552">
        <f t="shared" si="14"/>
        <v>100</v>
      </c>
      <c r="X31" s="1553"/>
      <c r="Y31" s="3423"/>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23" t="s">
        <v>550</v>
      </c>
      <c r="Q32" s="1555">
        <f t="shared" si="11"/>
        <v>111</v>
      </c>
      <c r="R32" s="1556" t="s">
        <v>8</v>
      </c>
      <c r="S32" s="1557">
        <f t="shared" si="12"/>
        <v>100</v>
      </c>
      <c r="T32" s="1556" t="s">
        <v>8</v>
      </c>
      <c r="U32" s="1557">
        <f t="shared" si="13"/>
        <v>100</v>
      </c>
      <c r="V32" s="1556" t="s">
        <v>8</v>
      </c>
      <c r="W32" s="1557">
        <f t="shared" si="14"/>
        <v>100</v>
      </c>
      <c r="X32" s="1550"/>
      <c r="Y32" s="3423"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23"/>
      <c r="Q33" s="1555">
        <f t="shared" si="11"/>
        <v>111</v>
      </c>
      <c r="R33" s="1556" t="s">
        <v>8</v>
      </c>
      <c r="S33" s="1557">
        <f t="shared" si="12"/>
        <v>100</v>
      </c>
      <c r="T33" s="1556" t="s">
        <v>8</v>
      </c>
      <c r="U33" s="1557">
        <f t="shared" si="13"/>
        <v>100</v>
      </c>
      <c r="V33" s="1556" t="s">
        <v>8</v>
      </c>
      <c r="W33" s="1557">
        <f t="shared" si="14"/>
        <v>100</v>
      </c>
      <c r="X33" s="1550"/>
      <c r="Y33" s="3423"/>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23"/>
      <c r="Q34" s="1555">
        <f t="shared" si="11"/>
        <v>111</v>
      </c>
      <c r="R34" s="1556" t="s">
        <v>8</v>
      </c>
      <c r="S34" s="1557">
        <f t="shared" si="12"/>
        <v>100</v>
      </c>
      <c r="T34" s="1556" t="s">
        <v>8</v>
      </c>
      <c r="U34" s="1557">
        <f t="shared" si="13"/>
        <v>100</v>
      </c>
      <c r="V34" s="1556" t="s">
        <v>8</v>
      </c>
      <c r="W34" s="1557">
        <f t="shared" si="14"/>
        <v>100</v>
      </c>
      <c r="X34" s="1550"/>
      <c r="Y34" s="3423"/>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418" t="str">
        <f>A35</f>
        <v>成交单价（元/平方米）</v>
      </c>
      <c r="Q35" s="3418"/>
      <c r="R35" s="3503">
        <f>E35</f>
        <v>0</v>
      </c>
      <c r="S35" s="3503"/>
      <c r="T35" s="3503">
        <f>G35</f>
        <v>0</v>
      </c>
      <c r="U35" s="3503"/>
      <c r="V35" s="3503">
        <f>I35</f>
        <v>0</v>
      </c>
      <c r="W35" s="3503"/>
      <c r="X35" s="1542"/>
      <c r="Y35" s="1564"/>
      <c r="Z35" s="1542"/>
      <c r="AA35" s="1542"/>
      <c r="AB35" s="1542"/>
      <c r="AC35" s="1542"/>
    </row>
    <row r="36" spans="1:29" ht="15.75" thickBot="1">
      <c r="A36" s="613" t="s">
        <v>2755</v>
      </c>
      <c r="B36" s="885"/>
      <c r="C36" s="2593" t="e">
        <f>R37</f>
        <v>#DIV/0!</v>
      </c>
      <c r="D36" s="2594"/>
      <c r="E36" s="2595" t="e">
        <f>R36</f>
        <v>#DIV/0!</v>
      </c>
      <c r="F36" s="2595"/>
      <c r="G36" s="2593" t="e">
        <f>T36</f>
        <v>#DIV/0!</v>
      </c>
      <c r="H36" s="2594"/>
      <c r="I36" s="2595" t="e">
        <f>V36</f>
        <v>#DIV/0!</v>
      </c>
      <c r="J36" s="2594"/>
      <c r="K36" s="1594"/>
      <c r="L36" s="2126"/>
      <c r="M36" s="2127"/>
      <c r="N36" s="2116"/>
      <c r="O36" s="2127"/>
      <c r="P36" s="3418" t="str">
        <f>A36</f>
        <v>比较价格（元/平方米）</v>
      </c>
      <c r="Q36" s="341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2"/>
      <c r="Y36" s="1542"/>
      <c r="Z36" s="1542"/>
      <c r="AA36" s="1542"/>
      <c r="AB36" s="1542"/>
      <c r="AC36" s="1542"/>
    </row>
    <row r="37" spans="1:29" ht="15.75" thickBot="1">
      <c r="A37" s="619" t="s">
        <v>2923</v>
      </c>
      <c r="B37" s="620"/>
      <c r="C37" s="2596" t="e">
        <f>R37</f>
        <v>#DIV/0!</v>
      </c>
      <c r="D37" s="2596"/>
      <c r="E37" s="2596"/>
      <c r="F37" s="2596"/>
      <c r="G37" s="2596"/>
      <c r="H37" s="2596"/>
      <c r="I37" s="2596"/>
      <c r="J37" s="2596"/>
      <c r="K37" s="1595"/>
      <c r="L37" s="2126"/>
      <c r="M37" s="2127"/>
      <c r="N37" s="2127"/>
      <c r="O37" s="2127"/>
      <c r="P37" s="3439" t="str">
        <f>A37</f>
        <v>估价对象XX用房的比较价格（楼面单价，元/平方米）</v>
      </c>
      <c r="Q37" s="3440"/>
      <c r="R37" s="3502" t="e">
        <f>IF(F1="售价",ROUND(AVERAGE(R36:V36),0),ROUND(AVERAGE(R36:V36),1))</f>
        <v>#DIV/0!</v>
      </c>
      <c r="S37" s="3502"/>
      <c r="T37" s="3502"/>
      <c r="U37" s="3502"/>
      <c r="V37" s="3502"/>
      <c r="W37" s="3502"/>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2019-12</v>
      </c>
      <c r="D46" s="2755">
        <f>EDATE(C46,-1)</f>
        <v>43770</v>
      </c>
      <c r="E46" s="2755">
        <f t="shared" ref="E46:O46" si="16">EDATE(D46,-1)</f>
        <v>43739</v>
      </c>
      <c r="F46" s="2755">
        <f t="shared" si="16"/>
        <v>43709</v>
      </c>
      <c r="G46" s="2755">
        <f t="shared" si="16"/>
        <v>43678</v>
      </c>
      <c r="H46" s="2755">
        <f t="shared" si="16"/>
        <v>43647</v>
      </c>
      <c r="I46" s="2755">
        <f t="shared" si="16"/>
        <v>43617</v>
      </c>
      <c r="J46" s="2755">
        <f t="shared" si="16"/>
        <v>43586</v>
      </c>
      <c r="K46" s="2755">
        <f t="shared" si="16"/>
        <v>43556</v>
      </c>
      <c r="L46" s="2755">
        <f t="shared" si="16"/>
        <v>43525</v>
      </c>
      <c r="M46" s="2755">
        <f t="shared" si="16"/>
        <v>43497</v>
      </c>
      <c r="N46" s="2755">
        <f t="shared" si="16"/>
        <v>43466</v>
      </c>
      <c r="O46" s="2755">
        <f t="shared" si="16"/>
        <v>43435</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93.75">
      <c r="A7" s="2824" t="s">
        <v>2743</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2744</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U29" sqref="U29"/>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35" t="s">
        <v>2301</v>
      </c>
      <c r="D1" s="3536"/>
      <c r="E1" s="3536"/>
      <c r="F1" s="3536"/>
      <c r="G1" s="3536"/>
      <c r="H1" s="3536"/>
      <c r="I1" s="3536"/>
      <c r="J1" s="3536"/>
      <c r="K1" s="3536"/>
      <c r="L1" s="3536"/>
      <c r="M1" s="3536"/>
      <c r="N1" s="3536"/>
      <c r="O1" s="3536"/>
      <c r="P1" s="3536"/>
      <c r="Q1" s="3536"/>
      <c r="R1" s="3536"/>
      <c r="S1" s="3537"/>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2303</v>
      </c>
      <c r="C2" s="947" t="str">
        <f t="shared" ref="C2:L2" si="0">C3&amp;"(含)"&amp;"-"&amp;D3</f>
        <v>0(含)-1000000</v>
      </c>
      <c r="D2" s="948" t="str">
        <f t="shared" si="0"/>
        <v>1000000(含)-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v>0</v>
      </c>
      <c r="D3" s="952">
        <v>1000000</v>
      </c>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27" t="s">
        <v>3185</v>
      </c>
      <c r="C5" s="3228" t="s">
        <v>3186</v>
      </c>
      <c r="D5" s="3229" t="s">
        <v>3187</v>
      </c>
      <c r="E5" s="2235"/>
      <c r="F5" s="2235"/>
      <c r="G5" s="2235"/>
      <c r="H5" s="2235"/>
      <c r="I5" s="2235"/>
      <c r="J5" s="2235"/>
      <c r="K5" s="2235"/>
      <c r="L5" s="2236"/>
      <c r="M5" s="2237"/>
      <c r="N5" s="2237"/>
      <c r="O5" s="2235"/>
      <c r="P5" s="2235"/>
      <c r="Q5" s="2235"/>
      <c r="R5" s="2235"/>
      <c r="S5" s="2238"/>
      <c r="T5" s="2239">
        <v>25</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75</v>
      </c>
      <c r="E6" s="1951">
        <f t="shared" ref="E6:S6" si="7">D6-$T5</f>
        <v>50</v>
      </c>
      <c r="F6" s="1951">
        <f t="shared" si="7"/>
        <v>25</v>
      </c>
      <c r="G6" s="1951">
        <f t="shared" si="7"/>
        <v>0</v>
      </c>
      <c r="H6" s="1951">
        <f t="shared" si="7"/>
        <v>-25</v>
      </c>
      <c r="I6" s="1951">
        <f t="shared" si="7"/>
        <v>-50</v>
      </c>
      <c r="J6" s="1951">
        <f t="shared" si="7"/>
        <v>-75</v>
      </c>
      <c r="K6" s="1951">
        <f t="shared" si="7"/>
        <v>-100</v>
      </c>
      <c r="L6" s="1951">
        <f t="shared" si="7"/>
        <v>-125</v>
      </c>
      <c r="M6" s="1951">
        <f t="shared" si="7"/>
        <v>-150</v>
      </c>
      <c r="N6" s="1951">
        <f t="shared" si="7"/>
        <v>-175</v>
      </c>
      <c r="O6" s="1951">
        <f t="shared" si="7"/>
        <v>-200</v>
      </c>
      <c r="P6" s="1951">
        <f t="shared" si="7"/>
        <v>-225</v>
      </c>
      <c r="Q6" s="1951">
        <f t="shared" si="7"/>
        <v>-250</v>
      </c>
      <c r="R6" s="1951">
        <f t="shared" si="7"/>
        <v>-275</v>
      </c>
      <c r="S6" s="1951">
        <f t="shared" si="7"/>
        <v>-300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2916</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t="12.75" customHeight="1" thickBot="1">
      <c r="A9" s="2233"/>
      <c r="B9" s="3034" t="s">
        <v>2915</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t="13.5" hidden="1" thickBot="1">
      <c r="A11" s="2233"/>
      <c r="B11" s="3032"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t="13.5" hidden="1" thickBot="1">
      <c r="A13" s="2233"/>
      <c r="B13" s="3032"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t="13.5" hidden="1" thickBot="1">
      <c r="A15" s="2233"/>
      <c r="B15" s="3032"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84709</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f ca="1">R22</f>
        <v>532</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1591642.7999999998</v>
      </c>
      <c r="C22" s="3532" t="s">
        <v>20</v>
      </c>
      <c r="D22" s="3533"/>
      <c r="E22" s="3533"/>
      <c r="F22" s="3533"/>
      <c r="G22" s="3533"/>
      <c r="H22" s="3533"/>
      <c r="I22" s="3533"/>
      <c r="J22" s="3533"/>
      <c r="K22" s="3533"/>
      <c r="L22" s="3533"/>
      <c r="M22" s="3533"/>
      <c r="N22" s="3533"/>
      <c r="O22" s="3533"/>
      <c r="P22" s="3533"/>
      <c r="Q22" s="3534"/>
      <c r="R22" s="488">
        <f ca="1">ROUND(S22*10000/B22,0)</f>
        <v>532</v>
      </c>
      <c r="S22" s="52">
        <f ca="1">SUM(S24:S10000)</f>
        <v>84709</v>
      </c>
      <c r="T22" s="255">
        <f>T24+T25</f>
        <v>353698.4</v>
      </c>
      <c r="U22" s="255">
        <f>B22/T22</f>
        <v>4.4999999999999991</v>
      </c>
      <c r="V22" s="255">
        <f ca="1">U22*R22*666.67/10000</f>
        <v>159.60079799999994</v>
      </c>
    </row>
    <row r="23" spans="1:45" s="1596" customFormat="1" ht="24">
      <c r="A23" s="17" t="s">
        <v>831</v>
      </c>
      <c r="B23" s="17" t="s">
        <v>832</v>
      </c>
      <c r="C23" s="17" t="s">
        <v>833</v>
      </c>
      <c r="D23" s="17" t="str">
        <f>B5</f>
        <v>位置</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3230" t="s">
        <v>3188</v>
      </c>
      <c r="U23" s="18"/>
      <c r="V23" s="18"/>
      <c r="W23" s="18"/>
      <c r="X23" s="18"/>
      <c r="Y23" s="18"/>
      <c r="Z23" s="18"/>
      <c r="AA23" s="18"/>
      <c r="AB23" s="18"/>
      <c r="AC23" s="18"/>
      <c r="AD23" s="18"/>
      <c r="AE23" s="18"/>
      <c r="AF23" s="18"/>
      <c r="AG23" s="18"/>
      <c r="AH23" s="18"/>
      <c r="AI23" s="18"/>
    </row>
    <row r="24" spans="1:45" s="1597" customFormat="1">
      <c r="A24" s="3232" t="s">
        <v>3183</v>
      </c>
      <c r="B24" s="958">
        <f>'数据-基础表'!I13</f>
        <v>888914.7</v>
      </c>
      <c r="C24" s="959">
        <v>1</v>
      </c>
      <c r="D24" s="960" t="s">
        <v>3030</v>
      </c>
      <c r="E24" s="959">
        <v>1</v>
      </c>
      <c r="F24" s="960"/>
      <c r="G24" s="959">
        <v>1</v>
      </c>
      <c r="H24" s="960"/>
      <c r="I24" s="959">
        <v>1</v>
      </c>
      <c r="J24" s="960"/>
      <c r="K24" s="959">
        <v>1</v>
      </c>
      <c r="L24" s="960"/>
      <c r="M24" s="959">
        <v>1</v>
      </c>
      <c r="N24" s="960"/>
      <c r="O24" s="959">
        <v>1</v>
      </c>
      <c r="P24" s="960"/>
      <c r="Q24" s="959">
        <v>1</v>
      </c>
      <c r="R24" s="961">
        <f ca="1">结果表!G20</f>
        <v>598</v>
      </c>
      <c r="S24" s="959">
        <f t="shared" ref="S24:S54" ca="1" si="11">ROUND(R24*B24/10000,0)</f>
        <v>53157</v>
      </c>
      <c r="T24" s="1955">
        <f>'数据-基础表'!E13</f>
        <v>197536.6</v>
      </c>
      <c r="U24" s="1955">
        <f>B24/T24</f>
        <v>4.5</v>
      </c>
      <c r="V24" s="3231">
        <f ca="1">R24*U24*666.67/10000</f>
        <v>179.40089699999999</v>
      </c>
      <c r="W24" s="1955"/>
      <c r="X24" s="1955"/>
      <c r="Y24" s="1955"/>
      <c r="Z24" s="1955"/>
      <c r="AA24" s="1955"/>
      <c r="AB24" s="1955"/>
      <c r="AC24" s="1955"/>
      <c r="AD24" s="1955"/>
      <c r="AE24" s="1955"/>
      <c r="AF24" s="1955"/>
      <c r="AG24" s="1955"/>
      <c r="AH24" s="1955"/>
      <c r="AI24" s="1955"/>
    </row>
    <row r="25" spans="1:45">
      <c r="A25" s="3233" t="s">
        <v>3184</v>
      </c>
      <c r="B25" s="136">
        <f>'数据-基础表'!I14</f>
        <v>702728.1</v>
      </c>
      <c r="C25" s="52">
        <f>IF(B25="",1,(LOOKUP(B25,$3:$3,$4:$4)-LOOKUP($B$24,$3:$3,$4:$4)+100)/100)</f>
        <v>1</v>
      </c>
      <c r="D25" s="960" t="s">
        <v>3175</v>
      </c>
      <c r="E25" s="52">
        <f>(SUMIF($5:$5,D25,$6:$6)-SUMIF($5:$5,$D$24,$6:$6)+100)/100</f>
        <v>0.75</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449</v>
      </c>
      <c r="S25" s="797">
        <f t="shared" ca="1" si="11"/>
        <v>31552</v>
      </c>
      <c r="T25" s="255">
        <f>'数据-基础表'!E14</f>
        <v>156161.79999999999</v>
      </c>
      <c r="U25" s="1955">
        <f>B25/T25</f>
        <v>4.5</v>
      </c>
      <c r="V25" s="3231">
        <f ca="1">R25*U25*666.67/10000</f>
        <v>134.70067349999999</v>
      </c>
    </row>
    <row r="26" spans="1:45">
      <c r="A26" s="962"/>
      <c r="B26" s="136"/>
      <c r="C26" s="52">
        <f t="shared" ref="C26:C89" si="12">IF(B26="",1,(LOOKUP(B26,$3:$3,$4:$4)-LOOKUP($B$24,$3:$3,$4:$4)+100)/100)</f>
        <v>1</v>
      </c>
      <c r="D26" s="960"/>
      <c r="E26" s="52">
        <f t="shared" ref="E26:E89" si="13">(SUMIF($5:$5,D26,$6:$6)-SUMIF($5:$5,$D$24,$6:$6)+100)/100</f>
        <v>0</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0</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0</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0</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0</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0</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0</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0</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0</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0</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0</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0</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0</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0</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0</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0</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0</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0</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0</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0</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0</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0</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0</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0</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0</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0</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0</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0</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0</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0</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0</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0</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0</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0</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0</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0</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0</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0</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0</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0</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0</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0</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0</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0</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0</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0</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0</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0</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0</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0</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0</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0</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0</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0</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0</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0</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0</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0</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0</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0</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0</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0</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0</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0</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0</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0</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0</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0</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0</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0</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0</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0</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0</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0</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0</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0</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0</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0</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0</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0</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0</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0</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0</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0</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0</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0</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0</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0</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0</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0</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0</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0</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0</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0</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0</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0</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0</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0</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0</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0</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0</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0</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0</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0</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0</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0</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0</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0</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0</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0</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0</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0</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0</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0</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0</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0</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0</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0</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0</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0</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0</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0</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0</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0</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0</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0</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0</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0</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0</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0</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0</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0</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0</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0</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0</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0</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0</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0</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0</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0</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0</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0</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0</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0</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0</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0</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0</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0</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0</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0</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0</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0</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0</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0</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0</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0</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0</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0</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0</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0</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0</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0</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0</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0</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0</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0</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0</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0</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0</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0</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0</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0</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0</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0</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0</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0</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0</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0</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0</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0</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0</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0</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0</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0</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0</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0</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0</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0</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0</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0</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0</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0</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0</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0</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0</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0</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0</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0</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0</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0</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0</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0</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0</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0</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0</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0</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0</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0</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0</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0</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0</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0</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0</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0</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0</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0</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0</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0</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0</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0</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0</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0</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0</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0</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0</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0</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0</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0</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0</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0</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0</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0</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0</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0</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0</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0</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0</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0</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0</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0</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0</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0</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0</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0</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0</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0</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0</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0</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0</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0</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0</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0</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0</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0</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0</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0</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0</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0</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0</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0</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0</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0</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0</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0</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0</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0</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0</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0</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0</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0</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0</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0</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0</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0</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0</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0</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0</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0</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0</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0</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0</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0</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0</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0</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0</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0</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0</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0</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0</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0</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0</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0</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0</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0</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0</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0</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0</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0</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0</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0</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0</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0</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0</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0</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0</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0</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0</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0</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0</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0</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0</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0</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0</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0</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0</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0</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0</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0</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0</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0</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0</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0</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0</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0</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0</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0</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0</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0</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0</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0</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0</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0</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0</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0</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0</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0</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0</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0</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0</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0</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0</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0</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0</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0</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0</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0</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0</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0</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0</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0</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0</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0</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0</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0</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0</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0</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0</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0</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0</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0</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0</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0</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0</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0</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0</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0</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0</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0</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0</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0</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0</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0</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0</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0</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0</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0</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0</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0</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0</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0</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0</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0</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0</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0</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0</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0</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0</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0</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0</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0</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0</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0</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0</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0</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0</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0</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0</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0</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0</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0</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0</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0</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0</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0</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0</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0</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0</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0</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0</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0</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0</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0</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0</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0</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0</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0</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0</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0</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0</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0</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0</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0</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0</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0</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0</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0</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0</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0</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0</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0</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0</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0</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0</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0</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0</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0</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0</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0</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0</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0</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0</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0</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0</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0</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0</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0</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0</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0</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0</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0</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0</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0</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0</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0</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0</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0</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0</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0</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0</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0</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0</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0</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0</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0</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0</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0</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0</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0</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0</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0</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0</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0</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0</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0</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0</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0</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0</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0</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0</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0</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0</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0</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0</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0</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0</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0</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0</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0</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0</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0</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0</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0</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0</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0</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0</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0</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0</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0</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0</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2783</v>
      </c>
      <c r="C1" s="2953">
        <f>项目基本情况!D3</f>
        <v>43805</v>
      </c>
      <c r="H1" s="2887">
        <f>IF(C1&gt;C13,0,MATCH(C1,C$13:C$100,-1))+IF(SUMIF(C13:C100,C1,D13:D100)=0,13,12)</f>
        <v>13</v>
      </c>
      <c r="I1" s="2887">
        <f ca="1">MATCH(C2,H3:H7,1)+IF(SUMIF(H3:H7,C2,I3:I7)=0,2,1)</f>
        <v>6</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2814</v>
      </c>
      <c r="C2" s="2954">
        <f>'数据-取费表'!B22</f>
        <v>5</v>
      </c>
      <c r="D2" s="2949" t="s">
        <v>2784</v>
      </c>
      <c r="E2" s="2952">
        <f ca="1">INDIRECT("I"&amp;$I$1)/100</f>
        <v>4.7500000000000001E-2</v>
      </c>
      <c r="G2" s="2889"/>
      <c r="H2" s="2889"/>
      <c r="I2" s="2889" t="s">
        <v>2785</v>
      </c>
      <c r="K2" s="2889"/>
      <c r="L2" s="2889"/>
      <c r="M2" s="2889"/>
      <c r="N2" s="2889" t="s">
        <v>2786</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2816</v>
      </c>
      <c r="C3" s="2951">
        <f>'数据-取费表'!B19</f>
        <v>0</v>
      </c>
      <c r="D3" s="2949" t="s">
        <v>2784</v>
      </c>
      <c r="E3" s="2952">
        <f ca="1">INDIRECT("J"&amp;$J$1)/100</f>
        <v>0</v>
      </c>
      <c r="G3" s="2891" t="s">
        <v>2787</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2815</v>
      </c>
      <c r="C4" s="2952">
        <f ca="1">N4/100</f>
        <v>1.4999999999999999E-2</v>
      </c>
      <c r="G4" s="2897" t="s">
        <v>2788</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2789</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2790</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2791</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2792</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2793</v>
      </c>
      <c r="C10" s="2916"/>
      <c r="D10" s="2916"/>
      <c r="E10" s="2916"/>
      <c r="F10" s="2916"/>
      <c r="G10" s="2916"/>
      <c r="H10" s="2916"/>
      <c r="I10" s="2890"/>
      <c r="J10" s="2890"/>
      <c r="K10" s="2916"/>
      <c r="L10" s="2917" t="s">
        <v>2794</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2795</v>
      </c>
      <c r="C11" s="2921" t="s">
        <v>2796</v>
      </c>
      <c r="D11" s="2922" t="s">
        <v>2797</v>
      </c>
      <c r="E11" s="2923"/>
      <c r="F11" s="2922" t="s">
        <v>2798</v>
      </c>
      <c r="G11" s="2924"/>
      <c r="H11" s="2923"/>
      <c r="I11" s="2922" t="s">
        <v>2799</v>
      </c>
      <c r="J11" s="2923"/>
      <c r="K11" s="2919"/>
      <c r="L11" s="2920" t="s">
        <v>2795</v>
      </c>
      <c r="M11" s="2921" t="s">
        <v>2796</v>
      </c>
      <c r="N11" s="2920" t="s">
        <v>2800</v>
      </c>
      <c r="O11" s="2922" t="s">
        <v>2801</v>
      </c>
      <c r="P11" s="2924"/>
      <c r="Q11" s="2924"/>
      <c r="R11" s="2924"/>
      <c r="S11" s="2924"/>
      <c r="T11" s="2923"/>
      <c r="U11" s="2922" t="s">
        <v>2802</v>
      </c>
      <c r="V11" s="2924"/>
      <c r="W11" s="2923"/>
      <c r="X11" s="2920" t="s">
        <v>2803</v>
      </c>
      <c r="Y11" s="2920" t="s">
        <v>2804</v>
      </c>
      <c r="Z11" s="2920" t="s">
        <v>2805</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2806</v>
      </c>
      <c r="E12" s="2929" t="s">
        <v>2807</v>
      </c>
      <c r="F12" s="2929" t="s">
        <v>2808</v>
      </c>
      <c r="G12" s="2929" t="s">
        <v>2809</v>
      </c>
      <c r="H12" s="2929" t="s">
        <v>2791</v>
      </c>
      <c r="I12" s="2930" t="s">
        <v>2810</v>
      </c>
      <c r="J12" s="2930" t="s">
        <v>2810</v>
      </c>
      <c r="K12" s="2926"/>
      <c r="L12" s="2927"/>
      <c r="M12" s="2928"/>
      <c r="N12" s="2927"/>
      <c r="O12" s="2930" t="s">
        <v>2811</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2812</v>
      </c>
      <c r="C13" s="2934">
        <v>42301</v>
      </c>
      <c r="D13" s="2935">
        <v>4.3499999999999996</v>
      </c>
      <c r="E13" s="2935">
        <v>4.3499999999999996</v>
      </c>
      <c r="F13" s="2935">
        <v>4.75</v>
      </c>
      <c r="G13" s="2935">
        <v>4.75</v>
      </c>
      <c r="H13" s="2935">
        <v>4.9000000000000004</v>
      </c>
      <c r="I13" s="2935">
        <v>2.75</v>
      </c>
      <c r="J13" s="2935">
        <v>3.25</v>
      </c>
      <c r="K13" s="2932"/>
      <c r="L13" s="2933" t="s">
        <v>2812</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2813</v>
      </c>
      <c r="Y42" s="2939" t="s">
        <v>2813</v>
      </c>
      <c r="Z42" s="2939" t="s">
        <v>2813</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2813</v>
      </c>
      <c r="Y43" s="2939" t="s">
        <v>2813</v>
      </c>
      <c r="Z43" s="2939" t="s">
        <v>2813</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2813</v>
      </c>
      <c r="Y44" s="2939" t="s">
        <v>2813</v>
      </c>
      <c r="Z44" s="2939" t="s">
        <v>2813</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2813</v>
      </c>
      <c r="Y45" s="2939" t="s">
        <v>2813</v>
      </c>
      <c r="Z45" s="2939" t="s">
        <v>2813</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2813</v>
      </c>
      <c r="Y46" s="2939" t="s">
        <v>2813</v>
      </c>
      <c r="Z46" s="2939" t="s">
        <v>2813</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2813</v>
      </c>
      <c r="Y47" s="2939" t="s">
        <v>2813</v>
      </c>
      <c r="Z47" s="2939" t="s">
        <v>2813</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2813</v>
      </c>
      <c r="Y48" s="2939" t="s">
        <v>2813</v>
      </c>
      <c r="Z48" s="2939" t="s">
        <v>2813</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2813</v>
      </c>
      <c r="Y49" s="2939" t="s">
        <v>2813</v>
      </c>
      <c r="Z49" s="2939" t="s">
        <v>2813</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2813</v>
      </c>
      <c r="Y50" s="2939" t="s">
        <v>2813</v>
      </c>
      <c r="Z50" s="2939" t="s">
        <v>2813</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2813</v>
      </c>
      <c r="V51" s="2939" t="s">
        <v>2813</v>
      </c>
      <c r="W51" s="2939" t="s">
        <v>2813</v>
      </c>
      <c r="X51" s="2939" t="s">
        <v>2813</v>
      </c>
      <c r="Y51" s="2939" t="s">
        <v>2813</v>
      </c>
      <c r="Z51" s="2939" t="s">
        <v>2813</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2813</v>
      </c>
      <c r="J55" s="2939" t="s">
        <v>2813</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O23"/>
  <sheetViews>
    <sheetView zoomScale="60" zoomScaleNormal="60" workbookViewId="0">
      <selection activeCell="L6" sqref="L6"/>
    </sheetView>
  </sheetViews>
  <sheetFormatPr defaultRowHeight="13.5"/>
  <sheetData>
    <row r="3" spans="7:15">
      <c r="M3" s="3215" t="s">
        <v>3173</v>
      </c>
      <c r="N3">
        <v>4.5</v>
      </c>
    </row>
    <row r="4" spans="7:15">
      <c r="G4" s="3213"/>
      <c r="H4" s="3214" t="s">
        <v>3166</v>
      </c>
      <c r="I4" s="3214" t="s">
        <v>3167</v>
      </c>
      <c r="J4" s="3214" t="s">
        <v>3168</v>
      </c>
    </row>
    <row r="5" spans="7:15">
      <c r="G5" s="3214" t="s">
        <v>3169</v>
      </c>
      <c r="H5" s="3213">
        <v>1</v>
      </c>
      <c r="I5" s="3213">
        <v>9000</v>
      </c>
      <c r="J5" s="3213">
        <v>1.8</v>
      </c>
      <c r="N5">
        <f>'数据-汇总表'!E3/'数据-汇总表'!D3/0.3</f>
        <v>15</v>
      </c>
    </row>
    <row r="6" spans="7:15">
      <c r="G6" s="3214" t="s">
        <v>3170</v>
      </c>
      <c r="H6" s="3213">
        <v>0.7</v>
      </c>
      <c r="I6" s="3213">
        <f>$I$5*H6</f>
        <v>6300</v>
      </c>
      <c r="J6" s="3213"/>
    </row>
    <row r="7" spans="7:15">
      <c r="G7" s="3214" t="s">
        <v>3171</v>
      </c>
      <c r="H7" s="3213">
        <v>0.5</v>
      </c>
      <c r="I7" s="3213">
        <f>$I$5*H7</f>
        <v>4500</v>
      </c>
      <c r="J7" s="3213"/>
      <c r="N7">
        <v>1</v>
      </c>
      <c r="O7">
        <v>1.8</v>
      </c>
    </row>
    <row r="8" spans="7:15">
      <c r="G8" s="3214" t="s">
        <v>3172</v>
      </c>
      <c r="H8" s="3214"/>
      <c r="I8" s="3213">
        <v>6600</v>
      </c>
      <c r="J8" s="3213"/>
      <c r="N8">
        <v>2</v>
      </c>
      <c r="O8">
        <f>1.8*0.7</f>
        <v>1.26</v>
      </c>
    </row>
    <row r="9" spans="7:15">
      <c r="N9">
        <v>3</v>
      </c>
      <c r="O9">
        <f>1.8*0.6</f>
        <v>1.08</v>
      </c>
    </row>
    <row r="10" spans="7:15">
      <c r="N10">
        <v>4</v>
      </c>
      <c r="O10">
        <f>1.8*0.55</f>
        <v>0.9900000000000001</v>
      </c>
    </row>
    <row r="11" spans="7:15">
      <c r="N11">
        <v>5</v>
      </c>
      <c r="O11">
        <f t="shared" ref="O11:O21" si="0">1.8*0.55</f>
        <v>0.9900000000000001</v>
      </c>
    </row>
    <row r="12" spans="7:15">
      <c r="N12">
        <v>6</v>
      </c>
      <c r="O12">
        <f t="shared" si="0"/>
        <v>0.9900000000000001</v>
      </c>
    </row>
    <row r="13" spans="7:15">
      <c r="N13">
        <v>7</v>
      </c>
      <c r="O13">
        <f t="shared" si="0"/>
        <v>0.9900000000000001</v>
      </c>
    </row>
    <row r="14" spans="7:15">
      <c r="N14">
        <v>8</v>
      </c>
      <c r="O14">
        <f t="shared" si="0"/>
        <v>0.9900000000000001</v>
      </c>
    </row>
    <row r="15" spans="7:15">
      <c r="N15">
        <v>9</v>
      </c>
      <c r="O15">
        <f t="shared" si="0"/>
        <v>0.9900000000000001</v>
      </c>
    </row>
    <row r="16" spans="7:15">
      <c r="N16">
        <v>10</v>
      </c>
      <c r="O16">
        <f t="shared" si="0"/>
        <v>0.9900000000000001</v>
      </c>
    </row>
    <row r="17" spans="14:15">
      <c r="N17">
        <v>11</v>
      </c>
      <c r="O17">
        <f t="shared" si="0"/>
        <v>0.9900000000000001</v>
      </c>
    </row>
    <row r="18" spans="14:15">
      <c r="N18">
        <v>12</v>
      </c>
      <c r="O18">
        <f t="shared" si="0"/>
        <v>0.9900000000000001</v>
      </c>
    </row>
    <row r="19" spans="14:15">
      <c r="N19">
        <v>13</v>
      </c>
      <c r="O19">
        <f t="shared" si="0"/>
        <v>0.9900000000000001</v>
      </c>
    </row>
    <row r="20" spans="14:15">
      <c r="N20">
        <v>14</v>
      </c>
      <c r="O20">
        <f t="shared" si="0"/>
        <v>0.9900000000000001</v>
      </c>
    </row>
    <row r="21" spans="14:15">
      <c r="N21">
        <v>15</v>
      </c>
      <c r="O21">
        <f t="shared" si="0"/>
        <v>0.9900000000000001</v>
      </c>
    </row>
    <row r="23" spans="14:15">
      <c r="O23">
        <f>AVERAGE(O7:O21)</f>
        <v>1.0680000000000003</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2035</v>
      </c>
      <c r="B1" s="3241"/>
      <c r="C1" s="3241"/>
      <c r="D1" s="3241"/>
      <c r="E1" s="3241"/>
      <c r="F1" s="3241"/>
      <c r="G1" s="3241"/>
      <c r="H1" s="3241"/>
      <c r="I1" s="3241"/>
      <c r="J1" s="3241"/>
      <c r="K1" s="3241"/>
      <c r="L1" s="3241"/>
      <c r="M1" s="3241"/>
      <c r="N1" s="3241"/>
      <c r="O1" s="3241"/>
      <c r="P1" s="3241"/>
      <c r="Q1" s="3241"/>
      <c r="R1" s="3241"/>
    </row>
    <row r="2" spans="1:18">
      <c r="A2" s="1789" t="s">
        <v>2037</v>
      </c>
      <c r="B2" s="1789"/>
      <c r="C2" s="1789"/>
      <c r="D2" s="1789"/>
      <c r="E2" s="1789"/>
      <c r="F2" s="1789"/>
      <c r="G2" s="1789"/>
      <c r="H2" s="1789"/>
      <c r="I2" s="1790"/>
      <c r="J2" s="1790"/>
      <c r="K2" s="1791" t="str">
        <f>"估价期日："&amp;TEXT(项目基本情况!D3,"yyyy年m月d日;;")</f>
        <v>估价期日：2019年12月6日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2" t="s">
        <v>2026</v>
      </c>
      <c r="B3" s="3242" t="s">
        <v>2726</v>
      </c>
      <c r="C3" s="3243" t="s">
        <v>2027</v>
      </c>
      <c r="D3" s="3242" t="s">
        <v>2730</v>
      </c>
      <c r="E3" s="3245" t="s">
        <v>2028</v>
      </c>
      <c r="F3" s="3245"/>
      <c r="G3" s="3245"/>
      <c r="H3" s="3245" t="s">
        <v>2029</v>
      </c>
      <c r="I3" s="3245"/>
      <c r="J3" s="3245"/>
      <c r="K3" s="3243" t="s">
        <v>2030</v>
      </c>
      <c r="L3" s="3243" t="s">
        <v>2031</v>
      </c>
      <c r="M3" s="3242" t="s">
        <v>2727</v>
      </c>
      <c r="N3" s="3244" t="str">
        <f>"（分摊）"&amp;项目基本情况!B16&amp;"国有建设用地使用权面积/㎡"</f>
        <v>（分摊）出让国有建设用地使用权面积/㎡</v>
      </c>
      <c r="O3" s="3242" t="s">
        <v>2060</v>
      </c>
      <c r="P3" s="3243" t="s">
        <v>2040</v>
      </c>
      <c r="Q3" s="3243" t="s">
        <v>2061</v>
      </c>
      <c r="R3" s="3243" t="s">
        <v>2032</v>
      </c>
    </row>
    <row r="4" spans="1:18" ht="36.75" customHeight="1">
      <c r="A4" s="3242"/>
      <c r="B4" s="3242"/>
      <c r="C4" s="3243"/>
      <c r="D4" s="3242"/>
      <c r="E4" s="2609" t="s">
        <v>2039</v>
      </c>
      <c r="F4" s="2609" t="s">
        <v>2739</v>
      </c>
      <c r="G4" s="2609" t="s">
        <v>2033</v>
      </c>
      <c r="H4" s="2609" t="s">
        <v>2034</v>
      </c>
      <c r="I4" s="2609" t="s">
        <v>2740</v>
      </c>
      <c r="J4" s="2609" t="s">
        <v>2033</v>
      </c>
      <c r="K4" s="3243"/>
      <c r="L4" s="3243"/>
      <c r="M4" s="3242"/>
      <c r="N4" s="3244"/>
      <c r="O4" s="3242"/>
      <c r="P4" s="3243"/>
      <c r="Q4" s="3243"/>
      <c r="R4" s="3243"/>
    </row>
    <row r="5" spans="1:18" ht="135" customHeight="1">
      <c r="A5" s="1925" t="s">
        <v>2650</v>
      </c>
      <c r="B5" s="2818" t="s">
        <v>2648</v>
      </c>
      <c r="C5" s="2608">
        <v>22</v>
      </c>
      <c r="D5" s="2607" t="s">
        <v>2649</v>
      </c>
      <c r="E5" s="1792" t="str">
        <f>项目基本情况!B12</f>
        <v>商业</v>
      </c>
      <c r="F5" s="2607">
        <v>258</v>
      </c>
      <c r="G5" s="1792" t="str">
        <f>项目基本情况!B13</f>
        <v>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197536.6</v>
      </c>
      <c r="O5" s="1792">
        <f>项目基本情况!C21</f>
        <v>888914.7</v>
      </c>
      <c r="P5" s="1792">
        <f ca="1">结果表!E42</f>
        <v>2691</v>
      </c>
      <c r="Q5" s="1792">
        <f ca="1">结果表!D42</f>
        <v>598</v>
      </c>
      <c r="R5" s="1793">
        <f ca="1">结果表!C42</f>
        <v>53150</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4">
        <f ca="1">结果表!O39</f>
        <v>53150</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4"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6" t="s">
        <v>2062</v>
      </c>
      <c r="B1" s="3246"/>
      <c r="C1" s="3246"/>
      <c r="D1" s="3246"/>
    </row>
    <row r="2" spans="1:4" ht="47.25" customHeight="1">
      <c r="A2" s="3250" t="str">
        <f>"1.权利限制："&amp;项目基本情况!L24&amp;"未设定租赁等其他他项权利。"</f>
        <v>1.权利限制：根据估价对象《不动产权证书》原件，截至估价期日，估价对象抵押权未见登记。未设定租赁等其他他项权利。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46"/>
      <c r="C3" s="3246"/>
      <c r="D3" s="3246"/>
    </row>
    <row r="4" spans="1:4" ht="36.75" customHeight="1">
      <c r="A4" s="3246" t="str">
        <f>"3.估价规划限制条件：详见"&amp;项目基本情况!E21&amp;"。"</f>
        <v>3.估价规划限制条件：详见。</v>
      </c>
      <c r="B4" s="3246"/>
      <c r="C4" s="3246"/>
      <c r="D4" s="3246"/>
    </row>
    <row r="5" spans="1:4">
      <c r="A5" s="3249" t="s">
        <v>2063</v>
      </c>
      <c r="B5" s="3249"/>
      <c r="C5" s="3249"/>
      <c r="D5" s="3249"/>
    </row>
    <row r="6" spans="1:4">
      <c r="A6" s="3246" t="s">
        <v>2041</v>
      </c>
      <c r="B6" s="3246"/>
      <c r="C6" s="3246"/>
      <c r="D6" s="3246"/>
    </row>
    <row r="7" spans="1:4" ht="33" customHeight="1">
      <c r="A7" s="3246" t="s">
        <v>2571</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（1）根据估价对象《不动产权证书》原件，截至估价期日，估价对象抵押权未见登记。</v>
      </c>
      <c r="B11" s="3248"/>
      <c r="C11" s="3248"/>
      <c r="D11" s="3248"/>
    </row>
    <row r="12" spans="1:4" ht="168" customHeight="1">
      <c r="A12" s="3249" t="s">
        <v>2065</v>
      </c>
      <c r="B12" s="3249"/>
      <c r="C12" s="3249"/>
      <c r="D12" s="3249"/>
    </row>
    <row r="13" spans="1:4">
      <c r="A13" s="3247" t="s">
        <v>2741</v>
      </c>
      <c r="B13" s="3247"/>
      <c r="C13" s="3247"/>
      <c r="D13" s="3247"/>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2697</v>
      </c>
      <c r="B17" s="3246"/>
      <c r="C17" s="3246"/>
      <c r="D17" s="3246"/>
    </row>
    <row r="18" spans="1:4">
      <c r="A18" s="3246" t="s">
        <v>2689</v>
      </c>
      <c r="B18" s="3246"/>
      <c r="C18" s="3246"/>
      <c r="D18" s="3246"/>
    </row>
    <row r="19" spans="1:4">
      <c r="A19" s="2819" t="s">
        <v>2690</v>
      </c>
      <c r="B19" s="2819" t="s">
        <v>2691</v>
      </c>
      <c r="C19" s="2819" t="s">
        <v>2692</v>
      </c>
      <c r="D19" s="2819" t="s">
        <v>2693</v>
      </c>
    </row>
    <row r="20" spans="1:4">
      <c r="A20" s="2819" t="str">
        <f>项目基本情况!B4</f>
        <v>王鹏</v>
      </c>
      <c r="B20" s="2819">
        <f ca="1">项目基本情况!C4</f>
        <v>2002110030</v>
      </c>
      <c r="C20" s="2821"/>
      <c r="D20" s="1782" t="s">
        <v>2698</v>
      </c>
    </row>
    <row r="21" spans="1:4">
      <c r="A21" s="2819" t="str">
        <f>项目基本情况!D4</f>
        <v>郑燚</v>
      </c>
      <c r="B21" s="2819">
        <f ca="1">项目基本情况!E4</f>
        <v>2014110011</v>
      </c>
      <c r="C21" s="2821"/>
      <c r="D21" s="1782" t="s">
        <v>2699</v>
      </c>
    </row>
    <row r="23" spans="1:4">
      <c r="A23" s="3246" t="s">
        <v>2694</v>
      </c>
      <c r="B23" s="3246"/>
      <c r="C23" s="3246"/>
      <c r="D23" s="3246"/>
    </row>
    <row r="24" spans="1:4">
      <c r="A24" s="2819" t="s">
        <v>2690</v>
      </c>
      <c r="B24" s="2819" t="s">
        <v>2695</v>
      </c>
      <c r="C24" s="2819" t="s">
        <v>2692</v>
      </c>
      <c r="D24" s="2819" t="s">
        <v>2693</v>
      </c>
    </row>
    <row r="25" spans="1:4">
      <c r="A25" s="2822" t="s">
        <v>2696</v>
      </c>
      <c r="B25" s="2819" t="s">
        <v>951</v>
      </c>
      <c r="C25" s="2821"/>
      <c r="D25" s="1782" t="s">
        <v>2699</v>
      </c>
    </row>
    <row r="29" spans="1:4">
      <c r="D29" s="2820" t="s">
        <v>2036</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58" t="s">
        <v>53</v>
      </c>
      <c r="B15" s="3259" t="s">
        <v>845</v>
      </c>
      <c r="C15" s="3255"/>
    </row>
    <row r="16" spans="1:7" ht="14.25">
      <c r="A16" s="3258"/>
      <c r="B16" s="3256" t="s">
        <v>54</v>
      </c>
      <c r="C16" s="1165" t="s">
        <v>53</v>
      </c>
    </row>
    <row r="17" spans="1:3" ht="14.25">
      <c r="A17" s="3258"/>
      <c r="B17" s="3256"/>
      <c r="C17" s="1165" t="s">
        <v>55</v>
      </c>
    </row>
    <row r="18" spans="1:3" ht="14.25">
      <c r="A18" s="3258"/>
      <c r="B18" s="3256"/>
      <c r="C18" s="1165" t="s">
        <v>56</v>
      </c>
    </row>
    <row r="19" spans="1:3" ht="14.25">
      <c r="A19" s="3258"/>
      <c r="B19" s="3254" t="s">
        <v>57</v>
      </c>
      <c r="C19" s="3255"/>
    </row>
    <row r="20" spans="1:3" ht="14.25">
      <c r="A20" s="1166" t="s">
        <v>58</v>
      </c>
      <c r="B20" s="1167"/>
      <c r="C20" s="1168"/>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69" t="s">
        <v>836</v>
      </c>
    </row>
    <row r="25" spans="1:3" ht="14.25">
      <c r="A25" s="3257"/>
      <c r="B25" s="3261"/>
      <c r="C25" s="1169" t="s">
        <v>837</v>
      </c>
    </row>
    <row r="26" spans="1:3" ht="14.25">
      <c r="A26" s="3257"/>
      <c r="B26" s="3261"/>
      <c r="C26" s="1169" t="s">
        <v>838</v>
      </c>
    </row>
    <row r="27" spans="1:3" ht="14.25">
      <c r="A27" s="3257"/>
      <c r="B27" s="3261"/>
      <c r="C27" s="1169" t="s">
        <v>839</v>
      </c>
    </row>
    <row r="28" spans="1:3" ht="14.25">
      <c r="A28" s="3257"/>
      <c r="B28" s="3261"/>
      <c r="C28" s="1169" t="s">
        <v>840</v>
      </c>
    </row>
    <row r="29" spans="1:3" ht="14.25">
      <c r="A29" s="3257"/>
      <c r="B29" s="3261"/>
      <c r="C29" s="1169" t="s">
        <v>841</v>
      </c>
    </row>
    <row r="30" spans="1:3" ht="14.25">
      <c r="A30" s="3257"/>
      <c r="B30" s="3261"/>
      <c r="C30" s="1169" t="s">
        <v>842</v>
      </c>
    </row>
    <row r="31" spans="1:3" ht="14.25">
      <c r="A31" s="3257"/>
      <c r="B31" s="3261"/>
      <c r="C31" s="1169" t="s">
        <v>843</v>
      </c>
    </row>
    <row r="32" spans="1:3" ht="14.25">
      <c r="A32" s="3257"/>
      <c r="B32" s="3261"/>
      <c r="C32" s="1169" t="s">
        <v>1645</v>
      </c>
    </row>
    <row r="33" spans="1:3" ht="14.25">
      <c r="A33" s="3257"/>
      <c r="B33" s="3251" t="s">
        <v>1651</v>
      </c>
      <c r="C33" s="1169" t="s">
        <v>1646</v>
      </c>
    </row>
    <row r="34" spans="1:3" ht="14.25">
      <c r="A34" s="3257"/>
      <c r="B34" s="3252"/>
      <c r="C34" s="1174" t="s">
        <v>1647</v>
      </c>
    </row>
    <row r="35" spans="1:3" ht="14.25">
      <c r="A35" s="3257"/>
      <c r="B35" s="3252"/>
      <c r="C35" s="1175" t="s">
        <v>1648</v>
      </c>
    </row>
    <row r="36" spans="1:3" ht="14.25">
      <c r="A36" s="3257"/>
      <c r="B36" s="3252"/>
      <c r="C36" s="1175" t="s">
        <v>1649</v>
      </c>
    </row>
    <row r="37" spans="1:3" ht="14.25">
      <c r="A37" s="3257"/>
      <c r="B37" s="3253"/>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1906</v>
      </c>
      <c r="B2" s="3117">
        <f ca="1">TODAY()</f>
        <v>43990</v>
      </c>
      <c r="C2" s="3118" t="s">
        <v>1907</v>
      </c>
      <c r="D2" s="3118"/>
    </row>
    <row r="3" spans="1:6" ht="20.25" customHeight="1">
      <c r="A3" s="3120" t="s">
        <v>1908</v>
      </c>
      <c r="B3" s="3121" t="s">
        <v>1909</v>
      </c>
      <c r="C3" s="3121" t="s">
        <v>1910</v>
      </c>
      <c r="D3" s="3122" t="s">
        <v>1911</v>
      </c>
      <c r="E3" s="3121" t="s">
        <v>1912</v>
      </c>
      <c r="F3" s="3121" t="s">
        <v>1910</v>
      </c>
    </row>
    <row r="4" spans="1:6" ht="20.25" customHeight="1">
      <c r="A4" s="3121" t="s">
        <v>1913</v>
      </c>
      <c r="B4" s="3121" t="str">
        <f ca="1">IF(C4&lt;B2,"已过期",1119970066)</f>
        <v>已过期</v>
      </c>
      <c r="C4" s="3123">
        <v>43849</v>
      </c>
      <c r="D4" s="3121" t="s">
        <v>1913</v>
      </c>
      <c r="E4" s="3121">
        <f ca="1">IF(F4&lt;B2,"已过期",96010014)</f>
        <v>96010014</v>
      </c>
      <c r="F4" s="3124">
        <v>47118</v>
      </c>
    </row>
    <row r="5" spans="1:6" ht="20.25" customHeight="1">
      <c r="A5" s="3121" t="s">
        <v>1914</v>
      </c>
      <c r="B5" s="3121" t="str">
        <f ca="1">IF(C5&lt;B2,"已过期",1119970074)</f>
        <v>已过期</v>
      </c>
      <c r="C5" s="3123">
        <v>43849</v>
      </c>
      <c r="D5" s="3121" t="s">
        <v>1914</v>
      </c>
      <c r="E5" s="3121">
        <f ca="1">IF(F5&lt;B2,"已过期",2002110027)</f>
        <v>2002110027</v>
      </c>
      <c r="F5" s="3124">
        <v>46752</v>
      </c>
    </row>
    <row r="6" spans="1:6" ht="20.25" customHeight="1">
      <c r="A6" s="3121" t="s">
        <v>1915</v>
      </c>
      <c r="B6" s="3121" t="str">
        <f ca="1">IF(C6&lt;B2,"已过期",1119970111)</f>
        <v>已过期</v>
      </c>
      <c r="C6" s="3123">
        <v>43849</v>
      </c>
      <c r="D6" s="3121" t="s">
        <v>1915</v>
      </c>
      <c r="E6" s="3121">
        <f ca="1">IF(F6&lt;B2,"已过期",94010078)</f>
        <v>94010078</v>
      </c>
      <c r="F6" s="3124">
        <v>46387</v>
      </c>
    </row>
    <row r="7" spans="1:6" ht="20.25" customHeight="1">
      <c r="A7" s="3121" t="s">
        <v>1916</v>
      </c>
      <c r="B7" s="3121">
        <f ca="1">IF(C7&lt;B2,"已过期",1120050019)</f>
        <v>1120050019</v>
      </c>
      <c r="C7" s="3123">
        <v>44395</v>
      </c>
      <c r="D7" s="3121" t="s">
        <v>1916</v>
      </c>
      <c r="E7" s="3121">
        <f ca="1">IF(F7&lt;B2,"已过期",2002110030)</f>
        <v>2002110030</v>
      </c>
      <c r="F7" s="3124">
        <v>46387</v>
      </c>
    </row>
    <row r="8" spans="1:6" ht="20.25" customHeight="1">
      <c r="A8" s="3121" t="s">
        <v>1917</v>
      </c>
      <c r="B8" s="3121" t="str">
        <f ca="1">IF(C8&lt;B2,"已过期",1120000080)</f>
        <v>已过期</v>
      </c>
      <c r="C8" s="3123">
        <v>43849</v>
      </c>
      <c r="D8" s="3121" t="s">
        <v>1917</v>
      </c>
      <c r="E8" s="3121">
        <f ca="1">IF(F8&lt;B2,"已过期",2000110082)</f>
        <v>2000110082</v>
      </c>
      <c r="F8" s="3124">
        <v>46387</v>
      </c>
    </row>
    <row r="9" spans="1:6" ht="20.25" customHeight="1">
      <c r="A9" s="3121" t="s">
        <v>1918</v>
      </c>
      <c r="B9" s="3121" t="str">
        <f ca="1">IF(C9&lt;B2,"已过期",1419970001)</f>
        <v>已过期</v>
      </c>
      <c r="C9" s="3123">
        <v>43867</v>
      </c>
      <c r="D9" s="3121" t="s">
        <v>1918</v>
      </c>
      <c r="E9" s="3121">
        <f ca="1">IF(F9&lt;B2,"已过期",2002110125)</f>
        <v>2002110125</v>
      </c>
      <c r="F9" s="3124">
        <v>47118</v>
      </c>
    </row>
    <row r="10" spans="1:6" ht="20.25" customHeight="1">
      <c r="A10" s="3121" t="s">
        <v>1919</v>
      </c>
      <c r="B10" s="3121">
        <f ca="1">IF(C10&lt;B2,"已过期",1120060040)</f>
        <v>1120060040</v>
      </c>
      <c r="C10" s="3123">
        <v>44554</v>
      </c>
      <c r="D10" s="3121" t="s">
        <v>1919</v>
      </c>
      <c r="E10" s="3121">
        <f ca="1">IF(F10&lt;B2,"已过期",2004110096)</f>
        <v>2004110096</v>
      </c>
      <c r="F10" s="3124">
        <v>47118</v>
      </c>
    </row>
    <row r="11" spans="1:6" ht="20.25" customHeight="1">
      <c r="A11" s="3121" t="s">
        <v>1920</v>
      </c>
      <c r="B11" s="3121">
        <f ca="1">IF(C11&lt;B2,"已过期",1120100036)</f>
        <v>1120100036</v>
      </c>
      <c r="C11" s="3123">
        <v>44675</v>
      </c>
      <c r="D11" s="3121" t="s">
        <v>1920</v>
      </c>
      <c r="E11" s="3121">
        <f ca="1">IF(F11&lt;B2,"已过期",2010110070)</f>
        <v>2010110070</v>
      </c>
      <c r="F11" s="3124">
        <v>47907</v>
      </c>
    </row>
    <row r="12" spans="1:6" ht="20.25" customHeight="1">
      <c r="A12" s="3121"/>
      <c r="B12" s="3121"/>
      <c r="C12" s="3123"/>
      <c r="D12" s="3121"/>
      <c r="E12" s="3121"/>
      <c r="F12" s="3124"/>
    </row>
    <row r="13" spans="1:6" ht="20.25" customHeight="1">
      <c r="A13" s="3121" t="s">
        <v>1921</v>
      </c>
      <c r="B13" s="3121" t="str">
        <f ca="1">IF(C13&lt;B2,"已过期",1120070131)</f>
        <v>已过期</v>
      </c>
      <c r="C13" s="3123">
        <v>43814</v>
      </c>
      <c r="D13" s="3121" t="s">
        <v>1921</v>
      </c>
      <c r="E13" s="3121">
        <f ca="1">IF(F13&lt;B2,"已过期",2014110011)</f>
        <v>2014110011</v>
      </c>
      <c r="F13" s="3124">
        <v>49302</v>
      </c>
    </row>
    <row r="14" spans="1:6" ht="20.25" customHeight="1">
      <c r="A14" s="3121" t="s">
        <v>2968</v>
      </c>
      <c r="B14" s="3121" t="str">
        <f ca="1">IF(C14&lt;B2,"已过期",1120040230)</f>
        <v>已过期</v>
      </c>
      <c r="C14" s="3125">
        <v>43835</v>
      </c>
      <c r="D14" s="3126" t="s">
        <v>2969</v>
      </c>
      <c r="E14" s="3121">
        <f ca="1">IF(F14&lt;B2,"已过期",98030020)</f>
        <v>98030020</v>
      </c>
      <c r="F14" s="3124">
        <v>47118</v>
      </c>
    </row>
    <row r="15" spans="1:6" ht="20.25" customHeight="1">
      <c r="A15" s="3121" t="s">
        <v>2570</v>
      </c>
      <c r="B15" s="3121" t="str">
        <f ca="1">IF(C15&lt;B2,"已过期",1120070085)</f>
        <v>已过期</v>
      </c>
      <c r="C15" s="3125">
        <v>43814</v>
      </c>
      <c r="D15" s="3121" t="s">
        <v>2970</v>
      </c>
      <c r="E15" s="3121">
        <f ca="1">IF(F15&lt;B2,"已过期",2004110128)</f>
        <v>2004110128</v>
      </c>
      <c r="F15" s="3127">
        <v>47118</v>
      </c>
    </row>
    <row r="16" spans="1:6" ht="20.25" customHeight="1">
      <c r="A16" s="3121" t="s">
        <v>1922</v>
      </c>
      <c r="B16" s="3121">
        <f ca="1">IF(C16&lt;B2,"已过期",1120140022)</f>
        <v>1120140022</v>
      </c>
      <c r="C16" s="3123">
        <v>44029</v>
      </c>
      <c r="D16" s="3121" t="s">
        <v>2971</v>
      </c>
      <c r="E16" s="3121">
        <f ca="1">IF(F16&lt;B2,"已过期",2008110059)</f>
        <v>2008110059</v>
      </c>
      <c r="F16" s="3124">
        <v>47177</v>
      </c>
    </row>
    <row r="17" spans="1:7" ht="20.25" customHeight="1">
      <c r="A17" s="3121"/>
      <c r="B17" s="3121"/>
      <c r="C17" s="3123"/>
      <c r="D17" s="3126" t="s">
        <v>2972</v>
      </c>
      <c r="E17" s="3121">
        <f ca="1">IF(F17&lt;B2,"已过期",2014110076)</f>
        <v>2014110076</v>
      </c>
      <c r="F17" s="3124">
        <v>49302</v>
      </c>
    </row>
    <row r="18" spans="1:7" ht="20.25" customHeight="1">
      <c r="A18" s="3121"/>
      <c r="B18" s="3121"/>
      <c r="C18" s="3123"/>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1923</v>
      </c>
      <c r="E21" s="3121">
        <f ca="1">IF(F21&lt;B2,"已过期",2011110090)</f>
        <v>2011110090</v>
      </c>
      <c r="F21" s="3124">
        <v>48302</v>
      </c>
    </row>
    <row r="22" spans="1:7" ht="20.25" customHeight="1">
      <c r="A22" s="3121" t="s">
        <v>1924</v>
      </c>
      <c r="B22" s="3121">
        <f ca="1">IF(C22&lt;B2,"已过期",1120020033)</f>
        <v>1120020033</v>
      </c>
      <c r="C22" s="3123">
        <v>44339</v>
      </c>
      <c r="D22" s="3121" t="s">
        <v>1924</v>
      </c>
      <c r="E22" s="3121">
        <f ca="1">IF(F22&lt;B2,"已过期",2000110137)</f>
        <v>2000110137</v>
      </c>
      <c r="F22" s="3124">
        <v>46387</v>
      </c>
    </row>
    <row r="23" spans="1:7" ht="20.25" customHeight="1">
      <c r="A23" s="3121"/>
      <c r="B23" s="3121"/>
      <c r="C23" s="3123"/>
      <c r="D23" s="3121"/>
      <c r="E23" s="3121"/>
      <c r="F23" s="3121"/>
    </row>
    <row r="24" spans="1:7" s="3129" customFormat="1" ht="20.25" customHeight="1">
      <c r="A24" s="3120" t="s">
        <v>2050</v>
      </c>
      <c r="B24" s="3120" t="s">
        <v>2050</v>
      </c>
      <c r="C24" s="3123"/>
      <c r="D24" s="3128" t="s">
        <v>2050</v>
      </c>
      <c r="E24" s="3120" t="s">
        <v>2050</v>
      </c>
      <c r="F24" s="3127"/>
    </row>
    <row r="25" spans="1:7" ht="20.25" customHeight="1">
      <c r="A25" s="3262" t="s">
        <v>1925</v>
      </c>
      <c r="B25" s="3262"/>
      <c r="C25" s="3262"/>
      <c r="D25" s="3262"/>
      <c r="E25" s="3262"/>
      <c r="F25" s="3262"/>
      <c r="G25" s="3262"/>
    </row>
    <row r="26" spans="1:7" ht="20.25" customHeight="1">
      <c r="A26" s="3263" t="s">
        <v>1926</v>
      </c>
      <c r="B26" s="3263"/>
      <c r="C26" s="3263"/>
      <c r="D26" s="3263" t="s">
        <v>1927</v>
      </c>
      <c r="E26" s="3263"/>
      <c r="F26" s="3263"/>
    </row>
    <row r="27" spans="1:7" s="3116" customFormat="1" ht="20.25" customHeight="1">
      <c r="A27" s="3130" t="s">
        <v>1928</v>
      </c>
      <c r="B27" s="3131" t="s">
        <v>1929</v>
      </c>
      <c r="C27" s="3131" t="s">
        <v>1930</v>
      </c>
      <c r="D27" s="3121" t="s">
        <v>1928</v>
      </c>
      <c r="E27" s="3131" t="s">
        <v>1929</v>
      </c>
      <c r="F27" s="3131" t="s">
        <v>1930</v>
      </c>
    </row>
    <row r="28" spans="1:7" s="3116" customFormat="1" ht="20.25" customHeight="1">
      <c r="A28" s="3132" t="s">
        <v>1931</v>
      </c>
      <c r="B28" s="3132" t="s">
        <v>1932</v>
      </c>
      <c r="C28" s="3124">
        <v>43725</v>
      </c>
      <c r="D28" s="3132" t="s">
        <v>1933</v>
      </c>
      <c r="E28" s="3132" t="s">
        <v>1934</v>
      </c>
      <c r="F28" s="3133">
        <v>44377</v>
      </c>
    </row>
    <row r="29" spans="1:7" s="3116" customFormat="1" ht="20.25" customHeight="1">
      <c r="A29" s="3132"/>
      <c r="B29" s="3132"/>
      <c r="C29" s="3134"/>
      <c r="D29" s="3132" t="s">
        <v>1935</v>
      </c>
      <c r="E29" s="3132" t="s">
        <v>2980</v>
      </c>
      <c r="F29" s="3133">
        <v>43646</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2536</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2537</v>
      </c>
      <c r="S3" s="9" t="s">
        <v>84</v>
      </c>
      <c r="T3" s="9" t="s">
        <v>85</v>
      </c>
      <c r="U3" s="9" t="s">
        <v>84</v>
      </c>
      <c r="V3" s="9" t="s">
        <v>86</v>
      </c>
      <c r="W3" s="9" t="s">
        <v>875</v>
      </c>
    </row>
    <row r="4" spans="1:23">
      <c r="A4" s="8" t="s">
        <v>87</v>
      </c>
      <c r="B4" s="8" t="s">
        <v>152</v>
      </c>
      <c r="C4" s="1534" t="s">
        <v>1710</v>
      </c>
      <c r="D4" s="9" t="s">
        <v>1992</v>
      </c>
      <c r="E4" s="9" t="s">
        <v>88</v>
      </c>
      <c r="F4" s="9" t="s">
        <v>89</v>
      </c>
      <c r="G4" s="9">
        <v>70</v>
      </c>
      <c r="H4" s="9" t="s">
        <v>90</v>
      </c>
      <c r="I4" s="9" t="s">
        <v>91</v>
      </c>
      <c r="K4" s="9" t="s">
        <v>92</v>
      </c>
      <c r="L4" s="9" t="s">
        <v>92</v>
      </c>
      <c r="M4" s="9" t="s">
        <v>92</v>
      </c>
      <c r="N4" s="9" t="s">
        <v>92</v>
      </c>
      <c r="O4" s="9" t="s">
        <v>92</v>
      </c>
      <c r="P4" s="1003" t="s">
        <v>760</v>
      </c>
      <c r="Q4" s="9" t="s">
        <v>92</v>
      </c>
      <c r="R4" s="1003" t="s">
        <v>2538</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2539</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2540</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5" t="s">
        <v>2942</v>
      </c>
      <c r="C18" s="1537"/>
    </row>
    <row r="19" spans="1:3">
      <c r="A19" s="8" t="s">
        <v>120</v>
      </c>
      <c r="B19" s="3055" t="s">
        <v>2950</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64"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c r="D53" s="1749"/>
      <c r="E53" s="1749"/>
    </row>
    <row r="54" spans="1:5">
      <c r="A54" s="3264"/>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4"/>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4"/>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4"/>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2020-06-08T00:57:31Z</dcterms:modified>
</cp:coreProperties>
</file>