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土地案例" sheetId="81" r:id="rId46"/>
    <sheet name="Sheet1" sheetId="80" r:id="rId47"/>
    <sheet name="Sheet2" sheetId="82"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40" l="1"/>
  <c r="F66" i="40" s="1"/>
  <c r="G66" i="40" s="1"/>
  <c r="H66" i="40" s="1"/>
  <c r="I66" i="40" s="1"/>
  <c r="J66" i="40" s="1"/>
  <c r="K66" i="40" s="1"/>
  <c r="L66" i="40" s="1"/>
  <c r="M66" i="40" s="1"/>
  <c r="N66" i="40" s="1"/>
  <c r="O66" i="40" s="1"/>
  <c r="D66" i="40"/>
  <c r="C11" i="40"/>
  <c r="N6" i="1"/>
  <c r="N20" i="1"/>
  <c r="N18" i="1"/>
  <c r="D3" i="4" l="1"/>
  <c r="F4" i="82" l="1"/>
  <c r="C14" i="74" l="1"/>
  <c r="B14" i="74"/>
  <c r="I5" i="40" l="1"/>
  <c r="G5" i="40"/>
  <c r="E5" i="40"/>
  <c r="I41" i="40" l="1"/>
  <c r="G41" i="40"/>
  <c r="E41" i="40"/>
  <c r="S8" i="81"/>
  <c r="S7" i="81"/>
  <c r="S6" i="81"/>
  <c r="S5" i="81"/>
  <c r="R8" i="81"/>
  <c r="R7" i="81"/>
  <c r="R6" i="81"/>
  <c r="R5" i="81"/>
  <c r="Q6" i="81"/>
  <c r="Q7" i="81"/>
  <c r="Q8" i="81"/>
  <c r="Q5" i="81"/>
  <c r="J22" i="81"/>
  <c r="E22" i="81"/>
  <c r="G22" i="81" s="1"/>
  <c r="G21" i="81"/>
  <c r="H22" i="81" l="1"/>
  <c r="I34" i="40" l="1"/>
  <c r="G34" i="40"/>
  <c r="E34" i="40"/>
  <c r="I7" i="40"/>
  <c r="G7" i="40"/>
  <c r="E7" i="40"/>
  <c r="G84" i="43" l="1"/>
  <c r="G85" i="43"/>
  <c r="G86" i="43"/>
  <c r="G87" i="43"/>
  <c r="G88" i="43"/>
  <c r="G89" i="43"/>
  <c r="G90" i="43"/>
  <c r="G83" i="43"/>
  <c r="Y6" i="1"/>
  <c r="B59"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s="1"/>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AB37" i="40" s="1"/>
  <c r="F35" i="40"/>
  <c r="AA35"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s="1"/>
  <c r="H30" i="40"/>
  <c r="AB30" i="40"/>
  <c r="F33" i="40"/>
  <c r="AA33" i="40"/>
  <c r="H33" i="40"/>
  <c r="U33" i="40"/>
  <c r="J35" i="40"/>
  <c r="AC35" i="40" s="1"/>
  <c r="J37" i="40"/>
  <c r="W37" i="40" s="1"/>
  <c r="F14" i="37"/>
  <c r="S14" i="37"/>
  <c r="F27" i="37"/>
  <c r="AA27" i="37"/>
  <c r="F13" i="39"/>
  <c r="J13" i="39"/>
  <c r="W13" i="39" s="1"/>
  <c r="H13" i="39"/>
  <c r="H14" i="40"/>
  <c r="AB14" i="40"/>
  <c r="J14" i="40"/>
  <c r="W14" i="40" s="1"/>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AB19" i="40" s="1"/>
  <c r="F19" i="40"/>
  <c r="AA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S35"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A5" i="3" s="1"/>
  <c r="BL17" i="3"/>
  <c r="AZ17" i="3"/>
  <c r="BL13" i="3"/>
  <c r="BL5" i="3" s="1"/>
  <c r="J56" i="9"/>
  <c r="J57" i="9" s="1"/>
  <c r="J59" i="9" s="1"/>
  <c r="J61" i="9" s="1"/>
  <c r="A24" i="51"/>
  <c r="B18" i="72" s="1"/>
  <c r="U29" i="34"/>
  <c r="E5" i="6"/>
  <c r="E32" i="6"/>
  <c r="G1" i="68"/>
  <c r="K1" i="12"/>
  <c r="E19" i="69"/>
  <c r="E19" i="68"/>
  <c r="E19" i="11"/>
  <c r="G22" i="69"/>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43" i="67"/>
  <c r="M8" i="67"/>
  <c r="E2" i="69"/>
  <c r="F37" i="15"/>
  <c r="F16" i="67"/>
  <c r="F40" i="15"/>
  <c r="M9" i="15"/>
  <c r="F16" i="15"/>
  <c r="M24" i="67"/>
  <c r="AO13" i="1"/>
  <c r="D5" i="73"/>
  <c r="F13" i="67"/>
  <c r="M8" i="15"/>
  <c r="F26" i="67"/>
  <c r="E2" i="68"/>
  <c r="F6" i="73"/>
  <c r="F3" i="73"/>
  <c r="M29" i="67"/>
  <c r="E13" i="76"/>
  <c r="F40" i="67"/>
  <c r="B11" i="76"/>
  <c r="M26" i="15"/>
  <c r="F38" i="67"/>
  <c r="B12" i="76"/>
  <c r="E8" i="76"/>
  <c r="M22" i="15"/>
  <c r="M26" i="67"/>
  <c r="M28" i="15"/>
  <c r="F37" i="67"/>
  <c r="E12" i="76"/>
  <c r="E10" i="76"/>
  <c r="D7" i="73"/>
  <c r="F8" i="67"/>
  <c r="D6" i="73"/>
  <c r="F9" i="15"/>
  <c r="L47" i="15"/>
  <c r="F7" i="67"/>
  <c r="F7" i="73"/>
  <c r="M24" i="15"/>
  <c r="M22" i="67"/>
  <c r="C76" i="67"/>
  <c r="E7" i="76"/>
  <c r="F5" i="73"/>
  <c r="D4" i="73"/>
  <c r="E9" i="76"/>
  <c r="F20" i="31"/>
  <c r="L48" i="67"/>
  <c r="J15" i="15"/>
  <c r="F9" i="67"/>
  <c r="L47" i="67"/>
  <c r="M23" i="15"/>
  <c r="F6" i="15"/>
  <c r="D3" i="73"/>
  <c r="J15" i="67"/>
  <c r="M23" i="67"/>
  <c r="M29" i="15"/>
  <c r="B10" i="76"/>
  <c r="C76" i="15"/>
  <c r="F38" i="15"/>
  <c r="L48" i="15"/>
  <c r="F43" i="15"/>
  <c r="F42" i="67"/>
  <c r="B13" i="76"/>
  <c r="F42" i="15"/>
  <c r="E11" i="76"/>
  <c r="F13" i="15"/>
  <c r="F36" i="67"/>
  <c r="M28" i="67"/>
  <c r="M6" i="67"/>
  <c r="F26" i="15"/>
  <c r="F8" i="15"/>
  <c r="B8" i="76"/>
  <c r="M9" i="67"/>
  <c r="B7" i="76"/>
  <c r="F6" i="67"/>
  <c r="B9" i="76"/>
  <c r="F7" i="15"/>
  <c r="M6" i="15"/>
  <c r="F4" i="73"/>
  <c r="F36" i="40" l="1"/>
  <c r="AA36" i="40" s="1"/>
  <c r="G113" i="40"/>
  <c r="H113" i="40" s="1"/>
  <c r="I113" i="40" s="1"/>
  <c r="J113" i="40" s="1"/>
  <c r="K113" i="40" s="1"/>
  <c r="L113" i="40" s="1"/>
  <c r="M113" i="40" s="1"/>
  <c r="H36" i="40"/>
  <c r="AB36" i="40" s="1"/>
  <c r="J36" i="40"/>
  <c r="W36" i="40" s="1"/>
  <c r="S37" i="40"/>
  <c r="AC37" i="40"/>
  <c r="U37" i="40"/>
  <c r="S36" i="40"/>
  <c r="G6" i="1"/>
  <c r="I24" i="43"/>
  <c r="U35" i="40"/>
  <c r="W35" i="40"/>
  <c r="W25" i="40"/>
  <c r="U25" i="40"/>
  <c r="AA25" i="40"/>
  <c r="J23" i="40"/>
  <c r="AC23" i="40" s="1"/>
  <c r="H23" i="40"/>
  <c r="AB23" i="40" s="1"/>
  <c r="F92" i="40"/>
  <c r="G92" i="40" s="1"/>
  <c r="F23" i="40"/>
  <c r="AA23" i="40" s="1"/>
  <c r="W23" i="40"/>
  <c r="U23" i="40"/>
  <c r="F21" i="40"/>
  <c r="S21" i="40" s="1"/>
  <c r="F90" i="40"/>
  <c r="G90" i="40" s="1"/>
  <c r="J21" i="40"/>
  <c r="H21" i="40"/>
  <c r="U21" i="40" s="1"/>
  <c r="AB21" i="40"/>
  <c r="AC19" i="40"/>
  <c r="S19" i="40"/>
  <c r="U19" i="40"/>
  <c r="F86" i="40"/>
  <c r="G86" i="40" s="1"/>
  <c r="H17" i="40"/>
  <c r="U17" i="40" s="1"/>
  <c r="F17" i="40"/>
  <c r="AA17" i="40" s="1"/>
  <c r="J17" i="40"/>
  <c r="W17" i="40" s="1"/>
  <c r="AB17" i="40"/>
  <c r="S17" i="40"/>
  <c r="U15" i="40"/>
  <c r="AA15" i="40"/>
  <c r="AC15" i="40"/>
  <c r="U13" i="40"/>
  <c r="AB13" i="40"/>
  <c r="AC12" i="40"/>
  <c r="W12" i="40"/>
  <c r="J13" i="40"/>
  <c r="AC14" i="40"/>
  <c r="F13" i="40"/>
  <c r="AA9" i="40"/>
  <c r="U9" i="40"/>
  <c r="F34" i="15"/>
  <c r="F62" i="15" s="1"/>
  <c r="M20" i="67"/>
  <c r="F34" i="67"/>
  <c r="F62" i="67" s="1"/>
  <c r="C24" i="12"/>
  <c r="D93" i="9"/>
  <c r="B41" i="1"/>
  <c r="C40" i="69"/>
  <c r="C21" i="68"/>
  <c r="G26" i="12"/>
  <c r="G22" i="68"/>
  <c r="G22" i="11"/>
  <c r="E1" i="73"/>
  <c r="K1" i="73" s="1"/>
  <c r="G28" i="6"/>
  <c r="G30" i="6" s="1"/>
  <c r="G31" i="6" s="1"/>
  <c r="G5" i="3"/>
  <c r="B3" i="3" s="1"/>
  <c r="E101" i="3" s="1"/>
  <c r="E365" i="3"/>
  <c r="E20" i="3"/>
  <c r="E340" i="3"/>
  <c r="E36" i="3"/>
  <c r="E392" i="3"/>
  <c r="E234" i="3"/>
  <c r="E170" i="3"/>
  <c r="E15" i="3"/>
  <c r="E43" i="3"/>
  <c r="E346" i="3"/>
  <c r="E242" i="3"/>
  <c r="E25" i="3"/>
  <c r="E401" i="3"/>
  <c r="AH6" i="3"/>
  <c r="E440" i="3"/>
  <c r="E543" i="3"/>
  <c r="E393" i="3"/>
  <c r="E16" i="3"/>
  <c r="E373" i="3"/>
  <c r="E19" i="3"/>
  <c r="E341" i="3"/>
  <c r="E87" i="3"/>
  <c r="E48" i="3"/>
  <c r="E584" i="3"/>
  <c r="E266" i="3"/>
  <c r="E209" i="3"/>
  <c r="E195" i="3"/>
  <c r="E138" i="3"/>
  <c r="E47" i="3"/>
  <c r="E446" i="3"/>
  <c r="E488" i="3"/>
  <c r="E110" i="3"/>
  <c r="E375" i="3"/>
  <c r="E378" i="3"/>
  <c r="E297" i="3"/>
  <c r="E240" i="3"/>
  <c r="E131" i="3"/>
  <c r="E57" i="3"/>
  <c r="E436" i="3"/>
  <c r="E520" i="3"/>
  <c r="E582" i="3"/>
  <c r="E500" i="3"/>
  <c r="E459" i="3"/>
  <c r="E416" i="3"/>
  <c r="E464" i="3"/>
  <c r="E421" i="3"/>
  <c r="AD6" i="3"/>
  <c r="E312" i="3"/>
  <c r="E149" i="3"/>
  <c r="E244" i="3"/>
  <c r="H50"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453" i="3"/>
  <c r="E568" i="3"/>
  <c r="E85" i="3"/>
  <c r="E181" i="3"/>
  <c r="E314" i="3"/>
  <c r="E545" i="3"/>
  <c r="E352" i="3"/>
  <c r="E511" i="3"/>
  <c r="AK6" i="3"/>
  <c r="E306" i="3"/>
  <c r="E99" i="3"/>
  <c r="E228" i="3"/>
  <c r="E157" i="3"/>
  <c r="E45" i="3"/>
  <c r="E277" i="3"/>
  <c r="E224" i="3"/>
  <c r="E193" i="3"/>
  <c r="E133" i="3"/>
  <c r="E313" i="3"/>
  <c r="E519" i="3"/>
  <c r="K6" i="3"/>
  <c r="E532" i="3"/>
  <c r="E573" i="3"/>
  <c r="E560" i="3"/>
  <c r="E529" i="3"/>
  <c r="E458" i="3"/>
  <c r="E472" i="3"/>
  <c r="E474" i="3"/>
  <c r="E527" i="3"/>
  <c r="E406" i="3"/>
  <c r="E438" i="3"/>
  <c r="E457" i="3"/>
  <c r="E465" i="3"/>
  <c r="E288" i="3"/>
  <c r="E562" i="3"/>
  <c r="E587" i="3"/>
  <c r="W6" i="3"/>
  <c r="E571" i="3"/>
  <c r="E577" i="3"/>
  <c r="E537" i="3"/>
  <c r="E450" i="3"/>
  <c r="E468" i="3"/>
  <c r="E471" i="3"/>
  <c r="E433" i="3"/>
  <c r="E454" i="3"/>
  <c r="E475" i="3"/>
  <c r="E72" i="3"/>
  <c r="E106" i="3"/>
  <c r="E54" i="3"/>
  <c r="E111" i="3"/>
  <c r="E146" i="3"/>
  <c r="E168" i="3"/>
  <c r="E150" i="3"/>
  <c r="E171" i="3"/>
  <c r="E208" i="3"/>
  <c r="E279" i="3"/>
  <c r="E214" i="3"/>
  <c r="E257" i="3"/>
  <c r="E351" i="3"/>
  <c r="E315" i="3"/>
  <c r="E357" i="3"/>
  <c r="E318" i="3"/>
  <c r="E362"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C36" i="40" l="1"/>
  <c r="U36" i="40"/>
  <c r="E154" i="3"/>
  <c r="E188" i="3"/>
  <c r="E427" i="3"/>
  <c r="J6" i="3"/>
  <c r="E108" i="3"/>
  <c r="E333" i="3"/>
  <c r="E455" i="3"/>
  <c r="E219" i="3"/>
  <c r="E112" i="3"/>
  <c r="E62" i="3"/>
  <c r="E354" i="3"/>
  <c r="E284" i="3"/>
  <c r="E323" i="3"/>
  <c r="E105" i="3"/>
  <c r="E422" i="3"/>
  <c r="E483" i="3"/>
  <c r="E202" i="3"/>
  <c r="E60" i="3"/>
  <c r="E100" i="3"/>
  <c r="E325" i="3"/>
  <c r="E289" i="3"/>
  <c r="E265" i="3"/>
  <c r="S23" i="40"/>
  <c r="W21" i="40"/>
  <c r="AC21" i="40"/>
  <c r="AA21" i="40"/>
  <c r="AC17" i="40"/>
  <c r="AA13" i="40"/>
  <c r="S13" i="40"/>
  <c r="AC13" i="40"/>
  <c r="W13" i="40"/>
  <c r="F48" i="9"/>
  <c r="O52" i="9" s="1"/>
  <c r="F31" i="12"/>
  <c r="C31" i="12" s="1"/>
  <c r="F30" i="69"/>
  <c r="D68" i="9"/>
  <c r="M18" i="67"/>
  <c r="M18" i="15"/>
  <c r="F28" i="67"/>
  <c r="C28" i="67" s="1"/>
  <c r="F32" i="67"/>
  <c r="F60" i="67" s="1"/>
  <c r="F28" i="15"/>
  <c r="C28" i="15" s="1"/>
  <c r="F30" i="68"/>
  <c r="F52" i="9"/>
  <c r="F32" i="15"/>
  <c r="F60" i="15" s="1"/>
  <c r="F54" i="9"/>
  <c r="F30" i="11"/>
  <c r="F53" i="9"/>
  <c r="E28" i="6"/>
  <c r="K14" i="1" s="1"/>
  <c r="K16" i="1" s="1"/>
  <c r="E580" i="3"/>
  <c r="E394" i="3"/>
  <c r="E274" i="3"/>
  <c r="E256" i="3"/>
  <c r="E203" i="3"/>
  <c r="E73" i="3"/>
  <c r="E55" i="3"/>
  <c r="E496" i="3"/>
  <c r="E429" i="3"/>
  <c r="AE6" i="3"/>
  <c r="E344" i="3"/>
  <c r="E424" i="3"/>
  <c r="E481" i="3"/>
  <c r="E437" i="3"/>
  <c r="Q6" i="3"/>
  <c r="E330" i="3"/>
  <c r="E177" i="3"/>
  <c r="E120" i="3"/>
  <c r="E262" i="3"/>
  <c r="E128" i="3"/>
  <c r="E434" i="3"/>
  <c r="E238" i="3"/>
  <c r="E156" i="3"/>
  <c r="E167" i="3"/>
  <c r="E542" i="3"/>
  <c r="E487" i="3"/>
  <c r="E374" i="3"/>
  <c r="E413" i="3"/>
  <c r="E39" i="3"/>
  <c r="E187" i="3"/>
  <c r="E259" i="3"/>
  <c r="E504" i="3"/>
  <c r="E462" i="3"/>
  <c r="E98" i="3"/>
  <c r="E163" i="3"/>
  <c r="E307" i="3"/>
  <c r="E66" i="3"/>
  <c r="E127" i="3"/>
  <c r="Y6" i="3"/>
  <c r="E179" i="3"/>
  <c r="E82" i="3"/>
  <c r="E223" i="3"/>
  <c r="E493" i="3"/>
  <c r="E486" i="3"/>
  <c r="E490" i="3"/>
  <c r="E498" i="3"/>
  <c r="E463" i="3"/>
  <c r="E178" i="3"/>
  <c r="E226" i="3"/>
  <c r="E372" i="3"/>
  <c r="E540" i="3"/>
  <c r="E79" i="3"/>
  <c r="E137" i="3"/>
  <c r="E299" i="3"/>
  <c r="AQ6" i="3"/>
  <c r="E123" i="3"/>
  <c r="E364" i="3"/>
  <c r="E176" i="3"/>
  <c r="E524" i="3"/>
  <c r="E136" i="3"/>
  <c r="E461" i="3"/>
  <c r="E122" i="3"/>
  <c r="E165" i="3"/>
  <c r="E141" i="3"/>
  <c r="E552" i="3"/>
  <c r="E398" i="3"/>
  <c r="E566" i="3"/>
  <c r="E460" i="3"/>
  <c r="E90" i="3"/>
  <c r="E155" i="3"/>
  <c r="E348" i="3"/>
  <c r="E58" i="3"/>
  <c r="E521" i="3"/>
  <c r="E65" i="3"/>
  <c r="E248" i="3"/>
  <c r="E386" i="3"/>
  <c r="E24" i="3"/>
  <c r="E250" i="3"/>
  <c r="E51" i="3"/>
  <c r="E222" i="3"/>
  <c r="E329" i="3"/>
  <c r="E116" i="3"/>
  <c r="E564" i="3"/>
  <c r="E507" i="3"/>
  <c r="E376" i="3"/>
  <c r="E419" i="3"/>
  <c r="E40" i="3"/>
  <c r="E119" i="3"/>
  <c r="E276" i="3"/>
  <c r="L6" i="3"/>
  <c r="E473" i="3"/>
  <c r="E38" i="3"/>
  <c r="E194" i="3"/>
  <c r="E339" i="3"/>
  <c r="E52" i="3"/>
  <c r="E147" i="3"/>
  <c r="E50" i="3"/>
  <c r="E218" i="3"/>
  <c r="P6" i="1"/>
  <c r="C13" i="12" s="1"/>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212" i="3"/>
  <c r="E479" i="3"/>
  <c r="E363" i="3"/>
  <c r="E76" i="3"/>
  <c r="E64" i="3"/>
  <c r="E267" i="3"/>
  <c r="E23" i="3"/>
  <c r="E233" i="3"/>
  <c r="E118"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255" i="3"/>
  <c r="E241" i="3"/>
  <c r="E409" i="3"/>
  <c r="E103" i="3"/>
  <c r="E300" i="3"/>
  <c r="E67" i="3"/>
  <c r="E63" i="3"/>
  <c r="E513" i="3"/>
  <c r="E536" i="3"/>
  <c r="E286" i="3"/>
  <c r="E499" i="3"/>
  <c r="E502" i="3"/>
  <c r="E466" i="3"/>
  <c r="E430" i="3"/>
  <c r="AP6" i="3"/>
  <c r="E517" i="3"/>
  <c r="E491" i="3"/>
  <c r="E37" i="3"/>
  <c r="E152" i="3"/>
  <c r="E192" i="3"/>
  <c r="E389" i="3"/>
  <c r="E425" i="3"/>
  <c r="E142" i="3"/>
  <c r="E310" i="3"/>
  <c r="E144" i="3"/>
  <c r="E381" i="3"/>
  <c r="E283" i="3"/>
  <c r="E59" i="40"/>
  <c r="E26" i="43"/>
  <c r="H26" i="43"/>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AC6" i="3" l="1"/>
  <c r="E6" i="3" s="1"/>
  <c r="D26" i="43"/>
  <c r="C25" i="43" s="1"/>
  <c r="C33" i="43" s="1"/>
  <c r="C32" i="15"/>
  <c r="F48" i="69"/>
  <c r="C30" i="69"/>
  <c r="C48" i="69"/>
  <c r="C48" i="11"/>
  <c r="C30" i="11"/>
  <c r="F48" i="68"/>
  <c r="C48" i="68"/>
  <c r="C30" i="68"/>
  <c r="C32"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34" i="40" l="1"/>
  <c r="D33" i="43"/>
  <c r="D1" i="43"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E33" i="43" l="1"/>
  <c r="C30" i="43" s="1"/>
  <c r="B2" i="43" s="1"/>
  <c r="B3" i="43" s="1"/>
  <c r="F34" i="40"/>
  <c r="J34" i="40"/>
  <c r="H34" i="40"/>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AB34" i="40" l="1"/>
  <c r="U34" i="40"/>
  <c r="AC34" i="40"/>
  <c r="W34" i="40"/>
  <c r="AA34" i="40"/>
  <c r="S34" i="4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H11" i="40" l="1"/>
  <c r="F11" i="40"/>
  <c r="J11" i="40"/>
  <c r="C21" i="12"/>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11" i="40" l="1"/>
  <c r="W11" i="40"/>
  <c r="S11" i="40"/>
  <c r="AA11" i="40"/>
  <c r="AB11" i="40"/>
  <c r="U11" i="40"/>
  <c r="C27" i="12"/>
  <c r="C25" i="12" s="1"/>
  <c r="C32" i="12" s="1"/>
  <c r="B2" i="12" s="1"/>
  <c r="B3" i="12"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U7" i="35"/>
  <c r="AB7" i="35"/>
  <c r="T38" i="35" s="1"/>
  <c r="G38" i="35" s="1"/>
  <c r="G52" i="21"/>
  <c r="H52" i="21" s="1"/>
  <c r="F7" i="35"/>
  <c r="F35" i="67"/>
  <c r="M21" i="67"/>
  <c r="M21" i="15"/>
  <c r="F35" i="15"/>
  <c r="E48" i="21" l="1"/>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B2" i="68" l="1"/>
  <c r="C57" i="68"/>
  <c r="C56" i="68" s="1"/>
  <c r="C19" i="9"/>
  <c r="C102" i="9" l="1"/>
  <c r="C21" i="9"/>
  <c r="G19" i="9"/>
  <c r="G21" i="9" s="1"/>
  <c r="D22" i="9"/>
  <c r="B3" i="68"/>
  <c r="D34" i="9"/>
  <c r="D35" i="9"/>
  <c r="C20" i="9"/>
  <c r="C103" i="9" l="1"/>
  <c r="G20" i="9"/>
  <c r="C32" i="9" s="1"/>
  <c r="C35" i="9" l="1"/>
  <c r="H118" i="9"/>
  <c r="D14" i="74" s="1"/>
  <c r="G14" i="74" s="1"/>
  <c r="B6" i="74" s="1"/>
  <c r="D6" i="74" s="1"/>
  <c r="E14" i="74" l="1"/>
  <c r="F14" i="74"/>
  <c r="B5" i="74"/>
  <c r="D5" i="74" s="1"/>
  <c r="H4" i="52"/>
  <c r="H119" i="9"/>
  <c r="H5" i="52" s="1"/>
  <c r="C104" i="9"/>
  <c r="H101" i="9"/>
  <c r="I118" i="9"/>
  <c r="C34" i="9"/>
  <c r="D118" i="9" s="1"/>
  <c r="F118" i="9"/>
  <c r="D119" i="9" l="1"/>
  <c r="D5" i="52" s="1"/>
  <c r="B49" i="72" s="1"/>
  <c r="D4" i="52"/>
  <c r="B47" i="72" s="1"/>
  <c r="D45" i="9"/>
  <c r="H107" i="9"/>
  <c r="D5" i="53"/>
  <c r="M48" i="9"/>
  <c r="G118" i="9"/>
  <c r="G4" i="52" s="1"/>
  <c r="B52" i="72" s="1"/>
  <c r="F4" i="52"/>
  <c r="B51" i="72" s="1"/>
  <c r="F119" i="9"/>
  <c r="F5" i="52" s="1"/>
  <c r="B53" i="72" s="1"/>
  <c r="I4" i="52"/>
  <c r="C105" i="9"/>
  <c r="H102" i="9"/>
  <c r="D6" i="53" l="1"/>
  <c r="B22" i="72" s="1"/>
  <c r="B20" i="72"/>
  <c r="D13" i="53"/>
  <c r="M49" i="9"/>
  <c r="D122" i="9"/>
  <c r="H108" i="9"/>
  <c r="D53" i="9"/>
  <c r="C72" i="9"/>
  <c r="C78" i="9"/>
  <c r="C73" i="9" s="1"/>
  <c r="C93" i="9"/>
  <c r="C86" i="9" s="1"/>
  <c r="D52" i="9"/>
  <c r="C85" i="9"/>
  <c r="D55" i="9"/>
  <c r="M53" i="9" s="1"/>
  <c r="C64" i="9"/>
  <c r="C63" i="9" s="1"/>
  <c r="C67" i="9" s="1"/>
  <c r="D7" i="53"/>
  <c r="B21" i="72" s="1"/>
  <c r="C5" i="74"/>
  <c r="E118" i="9"/>
  <c r="E4" i="52" s="1"/>
  <c r="B48" i="72" s="1"/>
  <c r="C95" i="9" l="1"/>
  <c r="C96" i="9" s="1"/>
  <c r="E96" i="9" s="1"/>
  <c r="E97" i="9" s="1"/>
  <c r="D8" i="52"/>
  <c r="D123" i="9"/>
  <c r="D9" i="52" s="1"/>
  <c r="C79" i="9"/>
  <c r="L67" i="9"/>
  <c r="M67" i="9" s="1"/>
  <c r="L63" i="9"/>
  <c r="M63" i="9" s="1"/>
  <c r="L64" i="9"/>
  <c r="M64" i="9" s="1"/>
  <c r="L66" i="9"/>
  <c r="M66" i="9" s="1"/>
  <c r="L65" i="9"/>
  <c r="M65" i="9" s="1"/>
  <c r="L68" i="9"/>
  <c r="M68" i="9" s="1"/>
  <c r="D14" i="53"/>
  <c r="B32" i="72" s="1"/>
  <c r="B30" i="72"/>
  <c r="C68" i="9"/>
  <c r="D54" i="9" s="1"/>
  <c r="D59" i="9"/>
  <c r="M55" i="9" s="1"/>
  <c r="D15" i="53"/>
  <c r="B31" i="72" s="1"/>
  <c r="C6" i="74"/>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<sst xmlns="http://schemas.openxmlformats.org/spreadsheetml/2006/main" count="8027" uniqueCount="3509">
  <si>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</si>
  <si>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</si>
  <si>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</si>
  <si>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</si>
  <si>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</si>
  <si>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</si>
  <si>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</si>
  <si>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</si>
  <si>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</si>
  <si>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</si>
  <si>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</si>
  <si>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</si>
  <si>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</si>
  <si>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</si>
  <si>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</si>
  <si>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</si>
  <si>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</si>
  <si>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</si>
  <si>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</si>
  <si>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</si>
  <si>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</si>
  <si>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</si>
  <si>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</si>
  <si>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</si>
  <si>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</si>
  <si>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</si>
  <si>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</si>
  <si>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</si>
  <si>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</si>
  <si>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</si>
  <si>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</si>
  <si>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</si>
  <si>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</si>
  <si>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</si>
  <si>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</si>
  <si>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</si>
  <si>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</si>
  <si>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</si>
  <si>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</si>
  <si>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</si>
  <si>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</si>
  <si>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</si>
  <si>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</si>
  <si>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</si>
  <si>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</si>
  <si>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</si>
  <si>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</si>
  <si>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</si>
  <si>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</si>
  <si>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</si>
  <si>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</si>
  <si>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</si>
  <si>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</si>
  <si>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</si>
  <si>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</si>
  <si>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</si>
  <si>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</si>
  <si>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</si>
  <si>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</si>
  <si>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</si>
  <si>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</si>
  <si>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</si>
  <si>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</si>
  <si>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</si>
  <si>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</si>
  <si>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</si>
  <si>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</si>
  <si>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</si>
  <si>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</si>
  <si>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</si>
  <si>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</si>
  <si>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</si>
  <si>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</si>
  <si>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</si>
  <si>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</si>
  <si>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</si>
  <si>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</si>
  <si>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</si>
  <si>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</si>
  <si>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</si>
  <si>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</si>
  <si>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</si>
  <si>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</si>
  <si>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</si>
  <si>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</si>
  <si>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</si>
  <si>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</si>
  <si>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</si>
  <si>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</si>
  <si>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</si>
  <si>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</si>
  <si>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</si>
  <si>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</si>
  <si>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</si>
  <si>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</si>
  <si>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</si>
  <si>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</si>
  <si>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</si>
  <si>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</si>
  <si>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</si>
  <si>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</si>
  <si>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</si>
  <si>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</si>
  <si>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</si>
  <si>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</si>
  <si>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</si>
  <si>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</si>
  <si>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</si>
  <si>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</si>
  <si>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</si>
  <si>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</si>
  <si>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</si>
  <si>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</si>
  <si>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</si>
  <si>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</si>
  <si>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</si>
  <si>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</si>
  <si>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</si>
  <si>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</si>
  <si>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</si>
  <si>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</si>
  <si>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</si>
  <si>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</si>
  <si>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</si>
  <si>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</si>
  <si>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</si>
  <si>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</si>
  <si>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</si>
  <si>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</si>
  <si>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</si>
  <si>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</si>
  <si>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</si>
  <si>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</si>
  <si>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</si>
  <si>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</si>
  <si>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</si>
  <si>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</si>
  <si>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</si>
  <si>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</si>
  <si>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</si>
  <si>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</si>
  <si>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</si>
  <si>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</si>
  <si>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</si>
  <si>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</si>
  <si>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</si>
  <si>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</si>
  <si>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</si>
  <si>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</si>
  <si>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</si>
  <si>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</si>
  <si>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</si>
  <si>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</si>
  <si>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</si>
  <si>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</si>
  <si>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</si>
  <si>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</si>
  <si>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</si>
  <si>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</si>
  <si>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</si>
  <si>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</si>
  <si>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</si>
  <si>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</si>
  <si>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</si>
  <si>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</si>
  <si>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</si>
  <si>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</si>
  <si>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</si>
  <si>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</si>
  <si>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</si>
  <si>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</si>
  <si>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</si>
  <si>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</si>
  <si>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</si>
  <si>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</si>
  <si>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</si>
  <si>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</si>
  <si>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</si>
  <si>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</si>
  <si>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</si>
  <si>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</si>
  <si>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</si>
  <si>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</si>
  <si>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</si>
  <si>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</si>
  <si>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</si>
  <si>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</si>
  <si>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</si>
  <si>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</si>
  <si>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</si>
  <si>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</si>
  <si>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</si>
  <si>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</si>
  <si>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</si>
  <si>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</si>
  <si>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</si>
  <si>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</si>
  <si>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</si>
  <si>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</si>
  <si>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</si>
  <si>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</si>
  <si>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</si>
  <si>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</si>
  <si>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</si>
  <si>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</si>
  <si>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</si>
  <si>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</si>
  <si>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</si>
  <si>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</si>
  <si>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</si>
  <si>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</si>
  <si>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</si>
  <si>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</si>
  <si>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</si>
  <si>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</si>
  <si>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</si>
  <si>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</si>
  <si>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</si>
  <si>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</si>
  <si>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</si>
  <si>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</si>
  <si>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</si>
  <si>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</si>
  <si>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</si>
  <si>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</si>
  <si>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</si>
  <si>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</si>
  <si>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</si>
  <si>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</si>
  <si>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</si>
  <si>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</si>
  <si>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</si>
  <si>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</si>
  <si>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</si>
  <si>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</si>
  <si>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</si>
  <si>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</si>
  <si>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</si>
  <si>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</si>
  <si>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</si>
  <si>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</si>
  <si>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</si>
  <si>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</si>
  <si>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</si>
  <si>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</si>
  <si>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</si>
  <si>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</si>
  <si>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</si>
  <si>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</si>
  <si>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</si>
  <si>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</si>
  <si>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</si>
  <si>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</si>
  <si>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</si>
  <si>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</si>
  <si>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</si>
  <si>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</si>
  <si>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</si>
  <si>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</si>
  <si>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</si>
  <si>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</si>
  <si>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</si>
  <si>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</si>
  <si>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</si>
  <si>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</si>
  <si>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</si>
  <si>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</si>
  <si>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</si>
  <si>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</si>
  <si>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</si>
  <si>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</si>
  <si>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</si>
  <si>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</si>
  <si>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</si>
  <si>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</si>
  <si>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</si>
  <si>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</si>
  <si>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</si>
  <si>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</si>
  <si>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</si>
  <si>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</si>
  <si>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</si>
  <si>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</si>
  <si>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</si>
  <si>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</si>
  <si>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</si>
  <si>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</si>
  <si>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</si>
  <si>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</si>
  <si>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</si>
  <si>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</si>
  <si>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</si>
  <si>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</si>
  <si>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</si>
  <si>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</si>
  <si>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</si>
  <si>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</si>
  <si>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</si>
  <si>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</si>
  <si>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</si>
  <si>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</si>
  <si>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</si>
  <si>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</si>
  <si>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</si>
  <si>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</si>
  <si>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</si>
  <si>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</si>
  <si>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</si>
  <si>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</si>
  <si>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</si>
  <si>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</si>
  <si>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</si>
  <si>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</si>
  <si>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</si>
  <si>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</si>
  <si>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</si>
  <si>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</si>
  <si>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</si>
  <si>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</si>
  <si>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</si>
  <si>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</si>
  <si>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</si>
  <si>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</si>
  <si>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</si>
  <si>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</si>
  <si>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</si>
  <si>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</si>
  <si>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</si>
  <si>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</si>
  <si>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</si>
  <si>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</si>
  <si>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</si>
  <si>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</si>
  <si>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</si>
  <si>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</si>
  <si>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</si>
  <si>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</si>
  <si>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</si>
  <si>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</si>
  <si>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</si>
  <si>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</si>
  <si>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</si>
  <si>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</si>
  <si>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</si>
  <si>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</si>
  <si>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</si>
  <si>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</si>
  <si>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</si>
  <si>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</si>
  <si>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</si>
  <si>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</si>
  <si>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</si>
  <si>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</si>
  <si>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</si>
  <si>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</si>
  <si>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</si>
  <si>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</si>
  <si>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</si>
  <si>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</si>
  <si>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</si>
  <si>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</si>
  <si>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</si>
  <si>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</si>
  <si>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</si>
  <si>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</si>
  <si>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</si>
  <si>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</si>
  <si>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</si>
  <si>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</si>
  <si>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</si>
  <si>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</si>
  <si>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</si>
  <si>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</si>
  <si>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</si>
  <si>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</si>
  <si>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</si>
  <si>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</si>
  <si>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</si>
  <si>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</si>
  <si>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</si>
  <si>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</si>
  <si>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</si>
  <si>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</si>
  <si>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</si>
  <si>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</si>
  <si>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</si>
  <si>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</si>
  <si>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</si>
  <si>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</si>
  <si>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</si>
  <si>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</si>
  <si>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</si>
  <si>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</si>
  <si>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</si>
  <si>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</si>
  <si>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</si>
  <si>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</si>
  <si>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</si>
  <si>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</si>
  <si>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</si>
  <si>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</si>
  <si>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</si>
  <si>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</si>
  <si>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</si>
  <si>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</si>
  <si>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</si>
  <si>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</si>
  <si>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</si>
  <si>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</si>
  <si>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</si>
  <si>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</si>
  <si>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</si>
  <si>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</si>
  <si>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</si>
  <si>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</si>
  <si>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</si>
  <si>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</si>
  <si>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</si>
  <si>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</si>
  <si>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</si>
  <si>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</si>
  <si>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</si>
  <si>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</si>
  <si>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</si>
  <si>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</si>
  <si>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</si>
  <si>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</si>
  <si>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</si>
  <si>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</si>
  <si>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</si>
  <si>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</si>
  <si>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</si>
  <si>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</si>
  <si>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</si>
  <si>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</si>
  <si>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</si>
  <si>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</si>
  <si>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</si>
  <si>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</si>
  <si>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</si>
  <si>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</si>
  <si>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</si>
  <si>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</si>
  <si>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</si>
  <si>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</si>
  <si>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</si>
  <si>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</si>
  <si>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</si>
  <si>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</si>
  <si>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</si>
  <si>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</si>
  <si>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</si>
  <si>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</si>
  <si>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</si>
  <si>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</si>
  <si>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</si>
  <si>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</si>
  <si>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</si>
  <si>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</si>
  <si>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</si>
  <si>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</si>
  <si>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</si>
  <si>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</si>
  <si>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</si>
  <si>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</si>
  <si>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</si>
  <si>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</si>
  <si>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</si>
  <si>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</si>
  <si>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</si>
  <si>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</si>
  <si>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</si>
  <si>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</si>
  <si>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</si>
  <si>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</si>
  <si>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</si>
  <si>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</si>
  <si>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</si>
  <si>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</si>
  <si>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</si>
  <si>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</si>
  <si>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</si>
  <si>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</si>
  <si>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</si>
  <si>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</si>
  <si>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</si>
  <si>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</si>
  <si>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</si>
  <si>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</si>
  <si>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</si>
  <si>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</si>
  <si>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</si>
  <si>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</si>
  <si>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</si>
  <si>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</si>
  <si>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</si>
  <si>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</si>
  <si>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</si>
  <si>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</si>
  <si>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</si>
  <si>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</si>
  <si>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</si>
  <si>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</si>
  <si>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</si>
  <si>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</si>
  <si>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</si>
  <si>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</si>
  <si>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</si>
  <si>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</si>
  <si>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</si>
  <si>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</si>
  <si>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</si>
  <si>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</si>
  <si>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</si>
  <si>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</si>
  <si>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</si>
  <si>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</si>
  <si>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</si>
  <si>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</si>
  <si>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</si>
  <si>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</si>
  <si>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</si>
  <si>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</si>
  <si>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</si>
  <si>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</si>
  <si>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</si>
  <si>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</si>
  <si>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</si>
  <si>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</si>
  <si>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</si>
  <si>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</si>
  <si>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</si>
  <si>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</si>
  <si>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</si>
  <si>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</si>
  <si>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</si>
  <si>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</si>
  <si>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</si>
  <si>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</si>
  <si>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</si>
  <si>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</si>
  <si>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</si>
  <si>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</si>
  <si>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</si>
  <si>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</si>
  <si>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</si>
  <si>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</si>
  <si>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</si>
  <si>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</si>
  <si>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</si>
  <si>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</si>
  <si>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</si>
  <si>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</si>
  <si>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</si>
  <si>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</si>
  <si>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</si>
  <si>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</si>
  <si>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</si>
  <si>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</si>
  <si>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</si>
  <si>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</si>
  <si>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</si>
  <si>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</si>
  <si>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</si>
  <si>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</si>
  <si>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</si>
  <si>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</si>
  <si>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</si>
  <si>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</si>
  <si>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</si>
  <si>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</si>
  <si>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</si>
  <si>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</si>
  <si>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</si>
  <si>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</si>
  <si>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</si>
  <si>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</si>
  <si>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</si>
  <si>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</si>
  <si>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</si>
  <si>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</si>
  <si>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</si>
  <si>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</si>
  <si>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</si>
  <si>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</si>
  <si>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</si>
  <si>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</si>
  <si>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</si>
  <si>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</si>
  <si>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</si>
  <si>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</si>
  <si>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</si>
  <si>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</si>
  <si>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</si>
  <si>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</si>
  <si>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</si>
  <si>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</si>
  <si>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</si>
  <si>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</si>
  <si>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</si>
  <si>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</si>
  <si>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</si>
  <si>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</si>
  <si>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</si>
  <si>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</si>
  <si>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</si>
  <si>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</si>
  <si>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</si>
  <si>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</si>
  <si>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</si>
  <si>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</si>
  <si>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</si>
  <si>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</si>
  <si>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</si>
  <si>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</si>
  <si>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</si>
  <si>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</si>
  <si>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</si>
  <si>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</si>
  <si>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</si>
  <si>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</si>
  <si>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</si>
  <si>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</si>
  <si>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</si>
  <si>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</si>
  <si>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</si>
  <si>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</si>
  <si>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</si>
  <si>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</si>
  <si>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</si>
  <si>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</si>
  <si>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</si>
  <si>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</si>
  <si>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</si>
  <si>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</si>
  <si>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</si>
  <si>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</si>
  <si>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</si>
  <si>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</si>
  <si>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</si>
  <si>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</si>
  <si>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</si>
  <si>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</si>
  <si>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</si>
  <si>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</si>
  <si>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</si>
  <si>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</si>
  <si>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</si>
  <si>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</si>
  <si>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</si>
  <si>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</si>
  <si>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</si>
  <si>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</si>
  <si>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</si>
  <si>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</si>
  <si>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</si>
  <si>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</si>
  <si>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</si>
  <si>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</si>
  <si>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</si>
  <si>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</si>
  <si>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</si>
  <si>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</si>
  <si>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</si>
  <si>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</si>
  <si>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</si>
  <si>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</si>
  <si>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</si>
  <si>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</si>
  <si>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</si>
  <si>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</si>
  <si>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</si>
  <si>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</si>
  <si>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</si>
  <si>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</si>
  <si>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</si>
  <si>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</si>
  <si>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</si>
  <si>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</si>
  <si>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</si>
  <si>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</si>
  <si>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</si>
  <si>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</si>
  <si>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</si>
  <si>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</si>
  <si>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</si>
  <si>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</si>
  <si>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</si>
  <si>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</si>
  <si>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</si>
  <si>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</si>
  <si>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</si>
  <si>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</si>
  <si>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</si>
  <si>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</si>
  <si>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</si>
  <si>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</si>
  <si>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</si>
  <si>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</si>
  <si>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</si>
  <si>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</si>
  <si>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</si>
  <si>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</si>
  <si>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</si>
  <si>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</si>
  <si>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</si>
  <si>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</si>
  <si>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</si>
  <si>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</si>
  <si>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</si>
  <si>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</si>
  <si>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</si>
  <si>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</si>
  <si>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</si>
  <si>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</si>
  <si>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</si>
  <si>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</si>
  <si>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</si>
  <si>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</si>
  <si>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</si>
  <si>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</si>
  <si>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</si>
  <si>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</si>
  <si>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</si>
  <si>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</si>
  <si>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</si>
  <si>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</si>
  <si>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</si>
  <si>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</si>
  <si>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</si>
  <si>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</si>
  <si>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</si>
  <si>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</si>
  <si>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</si>
  <si>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</si>
  <si>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</si>
  <si>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</si>
  <si>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</si>
  <si>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</si>
  <si>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</si>
  <si>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</si>
  <si>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</si>
  <si>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</si>
  <si>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</si>
  <si>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</si>
  <si>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</si>
  <si>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</si>
  <si>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</si>
  <si>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</si>
  <si>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</si>
  <si>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</si>
  <si>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</si>
  <si>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</si>
  <si>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</si>
  <si>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</si>
  <si>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</si>
  <si>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</si>
  <si>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</si>
  <si>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</si>
  <si>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</si>
  <si>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</si>
  <si>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</si>
  <si>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</si>
  <si>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</si>
  <si>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</si>
  <si>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</si>
  <si>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</si>
  <si>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</si>
  <si>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</si>
  <si>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</si>
  <si>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</si>
  <si>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</si>
  <si>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</si>
  <si>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</si>
  <si>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</si>
  <si>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</si>
  <si>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</si>
  <si>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</si>
  <si>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</si>
  <si>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</si>
  <si>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</si>
  <si>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</si>
  <si>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</si>
  <si>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</si>
  <si>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</si>
  <si>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</si>
  <si>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</si>
  <si>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</si>
  <si>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</si>
  <si>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</si>
  <si>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</si>
  <si>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</si>
  <si>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</si>
  <si>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</si>
  <si>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</si>
  <si>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</si>
  <si>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</si>
  <si>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</si>
  <si>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</si>
  <si>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</si>
  <si>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</si>
  <si>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</si>
  <si>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</si>
  <si>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</si>
  <si>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</si>
  <si>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</si>
  <si>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</si>
  <si>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</si>
  <si>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</si>
  <si>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</si>
  <si>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</si>
  <si>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</si>
  <si>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</si>
  <si>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</si>
  <si>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</si>
  <si>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</si>
  <si>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</si>
  <si>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</si>
  <si>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</si>
  <si>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</si>
  <si>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</si>
  <si>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</si>
  <si>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</si>
  <si>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</si>
  <si>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</si>
  <si>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</si>
  <si>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</si>
  <si>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</si>
  <si>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</si>
  <si>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</si>
  <si>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</si>
  <si>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</si>
  <si>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</si>
  <si>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</si>
  <si>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</si>
  <si>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</si>
  <si>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</si>
  <si>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</si>
  <si>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</si>
  <si>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</si>
  <si>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</si>
  <si>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</si>
  <si>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</si>
  <si>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</si>
  <si>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</si>
  <si>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</si>
  <si>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</si>
  <si>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</si>
  <si>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</si>
  <si>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</si>
  <si>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</si>
  <si>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</si>
  <si>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</si>
  <si>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</si>
  <si>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</si>
  <si>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</si>
  <si>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</si>
  <si>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</si>
  <si>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</si>
  <si>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</si>
  <si>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</si>
  <si>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</si>
  <si>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</si>
  <si>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</si>
  <si>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</si>
  <si>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</si>
  <si>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</si>
  <si>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</si>
  <si>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</si>
  <si>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</si>
  <si>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</si>
  <si>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</si>
  <si>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</si>
  <si>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</si>
  <si>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</si>
  <si>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</si>
  <si>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</si>
  <si>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</si>
  <si>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</si>
  <si>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</si>
  <si>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</si>
  <si>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</si>
  <si>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</si>
  <si>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</si>
  <si>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</si>
  <si>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</si>
  <si>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</si>
  <si>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</si>
  <si>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</si>
  <si>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</si>
  <si>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</si>
  <si>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</si>
  <si>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</si>
  <si>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</si>
  <si>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</si>
  <si>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</si>
  <si>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</si>
  <si>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</si>
  <si>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</si>
  <si>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</si>
  <si>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</si>
  <si>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</si>
  <si>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</si>
  <si>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</si>
  <si>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</si>
  <si>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</si>
  <si>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</si>
  <si>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</si>
  <si>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</si>
  <si>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</si>
  <si>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</si>
  <si>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</si>
  <si>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</si>
  <si>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</si>
  <si>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</si>
  <si>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</si>
  <si>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</si>
  <si>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</si>
  <si>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</si>
  <si>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</si>
  <si>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</si>
  <si>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</si>
  <si>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</si>
  <si>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</si>
  <si>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</si>
  <si>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</si>
  <si>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</si>
  <si>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</si>
  <si>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</si>
  <si>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</si>
  <si>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</si>
  <si>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</si>
  <si>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</si>
  <si>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</si>
  <si>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</si>
  <si>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</si>
  <si>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</si>
  <si>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</si>
  <si>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</si>
  <si>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</si>
  <si>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</si>
  <si>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</si>
  <si>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</si>
  <si>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</si>
  <si>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</si>
  <si>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</si>
  <si>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</si>
  <si>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</si>
  <si>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</si>
  <si>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</si>
  <si>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</si>
  <si>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</si>
  <si>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</si>
  <si>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</si>
  <si>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</si>
  <si>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</si>
  <si>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</si>
  <si>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</si>
  <si>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</si>
  <si>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</si>
  <si>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</si>
  <si>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</si>
  <si>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</si>
  <si>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</si>
  <si>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</si>
  <si>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</si>
  <si>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</si>
  <si>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</si>
  <si>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</si>
  <si>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</si>
  <si>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</si>
  <si>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</si>
  <si>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</si>
  <si>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</si>
  <si>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</si>
  <si>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</si>
  <si>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</si>
  <si>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</si>
  <si>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</si>
  <si>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</si>
  <si>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</si>
  <si>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</si>
  <si>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</si>
  <si>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</si>
  <si>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</si>
  <si>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</si>
  <si>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</si>
  <si>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</si>
  <si>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</si>
  <si>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</si>
  <si>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</si>
  <si>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</si>
  <si>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</si>
  <si>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</si>
  <si>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</si>
  <si>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</si>
  <si>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</si>
  <si>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</si>
  <si>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</si>
  <si>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</si>
  <si>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</si>
  <si>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</si>
  <si>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</si>
  <si>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</si>
  <si>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</si>
  <si>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</si>
  <si>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</si>
  <si>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</si>
  <si>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</si>
  <si>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</si>
  <si>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</si>
  <si>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</si>
  <si>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</si>
  <si>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</si>
  <si>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</si>
  <si>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</si>
  <si>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</si>
  <si>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</si>
  <si>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</si>
  <si>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</si>
  <si>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</si>
  <si>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</si>
  <si>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</si>
  <si>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</si>
  <si>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</si>
  <si>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</si>
  <si>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</si>
  <si>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</si>
  <si>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</si>
  <si>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</si>
  <si>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</si>
  <si>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</si>
  <si>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</si>
  <si>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</si>
  <si>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</si>
  <si>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</si>
  <si>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</si>
  <si>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</si>
  <si>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</si>
  <si>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</si>
  <si>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</si>
  <si>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</si>
  <si>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</si>
  <si>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</si>
  <si>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</si>
  <si>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</si>
  <si>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</si>
  <si>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</si>
  <si>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</si>
  <si>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</si>
  <si>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</si>
  <si>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</si>
  <si>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</si>
  <si>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</si>
  <si>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</si>
  <si>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</si>
  <si>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</si>
  <si>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</si>
  <si>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</si>
  <si>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</si>
  <si>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</si>
  <si>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</si>
  <si>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</si>
  <si>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</si>
  <si>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</si>
  <si>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</si>
  <si>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</si>
  <si>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</si>
  <si>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</si>
  <si>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</si>
  <si>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</si>
  <si>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</si>
  <si>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</si>
  <si>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</si>
  <si>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</si>
  <si>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</si>
  <si>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</si>
  <si>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</si>
  <si>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</si>
  <si>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</si>
  <si>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</si>
  <si>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</si>
  <si>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</si>
  <si>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</si>
  <si>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</si>
  <si>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</si>
  <si>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</si>
  <si>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</si>
  <si>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</si>
  <si>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</si>
  <si>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</si>
  <si>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</si>
  <si>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</si>
  <si>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</si>
  <si>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</si>
  <si>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</si>
  <si>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</si>
  <si>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</si>
  <si>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</si>
  <si>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</si>
  <si>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</si>
  <si>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</si>
  <si>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</si>
  <si>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</si>
  <si>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</si>
  <si>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</si>
  <si>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</si>
  <si>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</si>
  <si>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</si>
  <si>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</si>
  <si>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</si>
  <si>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</si>
  <si>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</si>
  <si>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</si>
  <si>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</si>
  <si>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</si>
  <si>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</si>
  <si>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</si>
  <si>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</si>
  <si>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</si>
  <si>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</si>
  <si>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</si>
  <si>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</si>
  <si>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</si>
  <si>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</si>
  <si>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</si>
  <si>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</si>
  <si>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</si>
  <si>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</si>
  <si>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</si>
  <si>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</si>
  <si>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</si>
  <si>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</si>
  <si>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</si>
  <si>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</si>
  <si>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</si>
  <si>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</si>
  <si>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</si>
  <si>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</si>
  <si>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</si>
  <si>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</si>
  <si>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</si>
  <si>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</si>
  <si>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</si>
  <si>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</si>
  <si>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</si>
  <si>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</si>
  <si>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</si>
  <si>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</si>
  <si>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</si>
  <si>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</si>
  <si>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</si>
  <si>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</si>
  <si>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</si>
  <si>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</si>
  <si>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</si>
  <si>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</si>
  <si>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</si>
  <si>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</si>
  <si>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</si>
  <si>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</si>
  <si>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</si>
  <si>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</si>
  <si>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</si>
  <si>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</si>
  <si>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</si>
  <si>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</si>
  <si>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</si>
  <si>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</si>
  <si>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</si>
  <si>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</si>
  <si>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</si>
  <si>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</si>
  <si>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</si>
  <si>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</si>
  <si>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</si>
  <si>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</si>
  <si>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</si>
  <si>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</si>
  <si>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</si>
  <si>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</si>
  <si>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</si>
  <si>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</si>
  <si>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</si>
  <si>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</si>
  <si>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</si>
  <si>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</si>
  <si>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</si>
  <si>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</si>
  <si>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</si>
  <si>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</si>
  <si>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</si>
  <si>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</si>
  <si>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</si>
  <si>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</si>
  <si>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</si>
  <si>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</si>
  <si>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</si>
  <si>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</si>
  <si>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</si>
  <si>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</si>
  <si>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</si>
  <si>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</si>
  <si>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</si>
  <si>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</si>
  <si>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</si>
  <si>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</si>
  <si>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</si>
  <si>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</si>
  <si>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</si>
  <si>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</si>
  <si>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</si>
  <si>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</si>
  <si>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</si>
  <si>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</si>
  <si>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</si>
  <si>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</si>
  <si>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</si>
  <si>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</si>
  <si>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</si>
  <si>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</si>
  <si>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</si>
  <si>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</si>
  <si>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</si>
  <si>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</si>
  <si>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</si>
  <si>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</si>
  <si>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</si>
  <si>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</si>
  <si>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</si>
  <si>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</si>
  <si>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</si>
  <si>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</si>
  <si>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</si>
  <si>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</si>
  <si>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</si>
  <si>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</si>
  <si>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</si>
  <si>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</si>
  <si>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</si>
  <si>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</si>
  <si>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</si>
  <si>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</si>
  <si>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</si>
  <si>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</si>
  <si>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</si>
  <si>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</si>
  <si>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</si>
  <si>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</si>
  <si>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</si>
  <si>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</si>
  <si>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</si>
  <si>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</si>
  <si>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</si>
  <si>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</si>
  <si>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</si>
  <si>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</si>
  <si>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</si>
  <si>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</si>
  <si>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</si>
  <si>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</si>
  <si>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</si>
  <si>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</si>
  <si>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</si>
  <si>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</si>
  <si>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</si>
  <si>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</si>
  <si>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</si>
  <si>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</si>
  <si>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</si>
  <si>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</si>
  <si>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</si>
  <si>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</si>
  <si>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</si>
  <si>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</si>
  <si>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</si>
  <si>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</si>
  <si>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</si>
  <si>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</si>
  <si>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</si>
  <si>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</si>
  <si>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</si>
  <si>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</si>
  <si>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</si>
  <si>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</si>
  <si>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</si>
  <si>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</si>
  <si>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</si>
  <si>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</si>
  <si>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</si>
  <si>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</si>
  <si>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</si>
  <si>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</si>
  <si>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</si>
  <si>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</si>
  <si>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</si>
  <si>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</si>
  <si>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</si>
  <si>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</si>
  <si>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</si>
  <si>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</si>
  <si>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</si>
  <si>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</si>
  <si>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</si>
  <si>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</si>
  <si>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</si>
  <si>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</si>
  <si>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</si>
  <si>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</si>
  <si>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</si>
  <si>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</si>
  <si>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</si>
  <si>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</si>
  <si>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</si>
  <si>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</si>
  <si>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</si>
  <si>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</si>
  <si>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</si>
  <si>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</si>
  <si>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</si>
  <si>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</si>
  <si>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</si>
  <si>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</si>
  <si>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</si>
  <si>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</si>
  <si>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</si>
  <si>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</si>
  <si>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</si>
  <si>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</si>
  <si>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</si>
  <si>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</si>
  <si>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</si>
  <si>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</si>
  <si>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</si>
  <si>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</si>
  <si>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</si>
  <si>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</si>
  <si>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</si>
  <si>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</si>
  <si>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</si>
  <si>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</si>
  <si>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</si>
  <si>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</si>
  <si>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</si>
  <si>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</si>
  <si>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</si>
  <si>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</si>
  <si>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</si>
  <si>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</si>
  <si>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</si>
  <si>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</si>
  <si>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</si>
  <si>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</si>
  <si>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</si>
  <si>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</si>
  <si>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</si>
  <si>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</si>
  <si>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</si>
  <si>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</si>
  <si>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</si>
  <si>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</si>
  <si>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</si>
  <si>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</si>
  <si>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</si>
  <si>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</si>
  <si>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</si>
  <si>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</si>
  <si>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</si>
  <si>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</si>
  <si>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</si>
  <si>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</si>
  <si>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</si>
  <si>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</si>
  <si>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</si>
  <si>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</si>
  <si>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</si>
  <si>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</si>
  <si>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</si>
  <si>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</si>
  <si>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</si>
  <si>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</si>
  <si>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</si>
  <si>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</si>
  <si>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</si>
  <si>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</si>
  <si>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</si>
  <si>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</si>
  <si>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</si>
  <si>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</si>
  <si>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</si>
  <si>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</si>
  <si>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</si>
  <si>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</si>
  <si>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</si>
  <si>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</si>
  <si>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</si>
  <si>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</si>
  <si>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</si>
  <si>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</si>
  <si>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</si>
  <si>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</si>
  <si>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</si>
  <si>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</si>
  <si>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</si>
  <si>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</si>
  <si>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</si>
  <si>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</si>
  <si>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</si>
  <si>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</si>
  <si>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</si>
  <si>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</si>
  <si>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</si>
  <si>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</si>
  <si>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</si>
  <si>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</si>
  <si>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</si>
  <si>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</si>
  <si>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</si>
  <si>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</si>
  <si>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</si>
  <si>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</si>
  <si>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</si>
  <si>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</si>
  <si>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</si>
  <si>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</si>
  <si>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</si>
  <si>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</si>
  <si>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</si>
  <si>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</si>
  <si>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</si>
  <si>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</si>
  <si>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</si>
  <si>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</si>
  <si>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</si>
  <si>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</si>
  <si>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</si>
  <si>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</si>
  <si>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</si>
  <si>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</si>
  <si>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</si>
  <si>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</si>
  <si>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</si>
  <si>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</si>
  <si>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</si>
  <si>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</si>
  <si>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</si>
  <si>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</si>
  <si>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</si>
  <si>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</si>
  <si>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</si>
  <si>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</si>
  <si>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</si>
  <si>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</si>
  <si>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</si>
  <si>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</si>
  <si>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</si>
  <si>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</si>
  <si>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</si>
  <si>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</si>
  <si>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</si>
  <si>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</si>
  <si>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</si>
  <si>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</si>
  <si>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</si>
  <si>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</si>
  <si>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</si>
  <si>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</si>
  <si>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</si>
  <si>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</si>
  <si>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</si>
  <si>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</si>
  <si>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</si>
  <si>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</si>
  <si>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</si>
  <si>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</si>
  <si>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</si>
  <si>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</si>
  <si>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</si>
  <si>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</si>
  <si>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</si>
  <si>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</si>
  <si>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</si>
  <si>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</si>
  <si>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</si>
  <si>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</si>
  <si>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</si>
  <si>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</si>
  <si>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</si>
  <si>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</si>
  <si>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</si>
  <si>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</si>
  <si>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</si>
  <si>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</si>
  <si>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</si>
  <si>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</si>
  <si>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</si>
  <si>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</si>
  <si>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</si>
  <si>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</si>
  <si>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</si>
  <si>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</si>
  <si>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</si>
  <si>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</si>
  <si>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</si>
  <si>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</si>
  <si>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</si>
  <si>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</si>
  <si>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</si>
  <si>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</si>
  <si>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</si>
  <si>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</si>
  <si>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</si>
  <si>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</si>
  <si>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</si>
  <si>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</si>
  <si>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</si>
  <si>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</si>
  <si>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</si>
  <si>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</si>
  <si>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</si>
  <si>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</si>
  <si>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</si>
  <si>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</si>
  <si>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</si>
  <si>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</si>
  <si>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</si>
  <si>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</si>
  <si>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</si>
  <si>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</si>
  <si>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</si>
  <si>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</si>
  <si>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</si>
  <si>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</si>
  <si>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</si>
  <si>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</si>
  <si>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</si>
  <si>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</si>
  <si>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</si>
  <si>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</si>
  <si>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</si>
  <si>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</si>
  <si>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</si>
  <si>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</si>
  <si>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</si>
  <si>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</si>
  <si>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</si>
  <si>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</si>
  <si>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</si>
  <si>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</si>
  <si>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</si>
  <si>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</si>
  <si>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</si>
  <si>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</si>
  <si>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</si>
  <si>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</si>
  <si>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</si>
  <si>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</si>
  <si>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</si>
  <si>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</si>
  <si>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</si>
  <si>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</si>
  <si>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</si>
  <si>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</si>
  <si>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</si>
  <si>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</si>
  <si>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</si>
  <si>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</si>
  <si>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</si>
  <si>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</si>
  <si>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</si>
  <si>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</si>
  <si>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</si>
  <si>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</si>
  <si>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</si>
  <si>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</si>
  <si>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</si>
  <si>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</si>
  <si>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</si>
  <si>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</si>
  <si>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</si>
  <si>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</si>
  <si>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</si>
  <si>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</si>
  <si>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</si>
  <si>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</si>
  <si>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</si>
  <si>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</si>
  <si>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</si>
  <si>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</si>
  <si>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</si>
  <si>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</si>
  <si>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</si>
  <si>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</si>
  <si>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</si>
  <si>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</si>
  <si>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</si>
  <si>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</si>
  <si>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</si>
  <si>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</si>
  <si>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</si>
  <si>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</si>
  <si>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</si>
  <si>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</si>
  <si>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</si>
  <si>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</si>
  <si>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</si>
  <si>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</si>
  <si>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</si>
  <si>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</si>
  <si>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</si>
  <si>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</si>
  <si>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</si>
  <si>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</si>
  <si>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</si>
  <si>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</si>
  <si>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</si>
  <si>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</si>
  <si>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</si>
  <si>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</si>
  <si>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</si>
  <si>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</si>
  <si>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</si>
  <si>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</si>
  <si>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</si>
  <si>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</si>
  <si>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</si>
  <si>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</si>
  <si>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</si>
  <si>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</si>
  <si>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</si>
  <si>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</si>
  <si>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</si>
  <si>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</si>
  <si>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</si>
  <si>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</si>
  <si>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</si>
  <si>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</si>
  <si>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</si>
  <si>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</si>
  <si>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</si>
  <si>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</si>
  <si>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</si>
  <si>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</si>
  <si>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</si>
  <si>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</si>
  <si>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</si>
  <si>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</si>
  <si>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</si>
  <si>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</si>
  <si>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</si>
  <si>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</si>
  <si>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</si>
  <si>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</si>
  <si>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</si>
  <si>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</si>
  <si>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</si>
  <si>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</si>
  <si>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</si>
  <si>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</si>
  <si>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</si>
  <si>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</si>
  <si>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</si>
  <si>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</si>
  <si>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</si>
  <si>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</si>
  <si>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</si>
  <si>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</si>
  <si>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</si>
  <si>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</si>
  <si>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</si>
  <si>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</si>
  <si>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</si>
  <si>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</si>
  <si>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</si>
  <si>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</si>
  <si>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</si>
  <si>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</si>
  <si>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</si>
  <si>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</si>
  <si>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</si>
  <si>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</si>
  <si>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</si>
  <si>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</si>
  <si>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</si>
  <si>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</si>
  <si>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</si>
  <si>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</si>
  <si>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</si>
  <si>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</si>
  <si>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</si>
  <si>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</si>
  <si>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</si>
  <si>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</si>
  <si>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</si>
  <si>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</si>
  <si>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</si>
  <si>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</si>
  <si>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</si>
  <si>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</si>
  <si>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</si>
  <si>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</si>
  <si>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</si>
  <si>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</si>
  <si>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</si>
  <si>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</si>
  <si>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</si>
  <si>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</si>
  <si>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</si>
  <si>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</si>
  <si>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</si>
  <si>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</si>
  <si>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</si>
  <si>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</si>
  <si>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</si>
  <si>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</si>
  <si>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</si>
  <si>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</si>
  <si>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</si>
  <si>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</si>
  <si>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</si>
  <si>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</si>
  <si>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</si>
  <si>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</si>
  <si>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</si>
  <si>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</si>
  <si>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</si>
  <si>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</si>
  <si>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</si>
  <si>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</si>
  <si>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</si>
  <si>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</si>
  <si>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</si>
  <si>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</si>
  <si>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</si>
  <si>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</si>
  <si>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</si>
  <si>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</si>
  <si>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</si>
  <si>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</si>
  <si>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</si>
  <si>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</si>
  <si>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</si>
  <si>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</si>
  <si>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</si>
  <si>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</si>
  <si>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</si>
  <si>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</si>
  <si>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</si>
  <si>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</si>
  <si>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</si>
  <si>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</si>
  <si>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</si>
  <si>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</si>
  <si>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</si>
  <si>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</si>
  <si>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</si>
  <si>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</si>
  <si>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</si>
  <si>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</si>
  <si>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</si>
  <si>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</si>
  <si>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</si>
  <si>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</si>
  <si>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</si>
  <si>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</si>
  <si>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</si>
  <si>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</si>
  <si>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</si>
  <si>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</si>
  <si>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</si>
  <si>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</si>
  <si>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</si>
  <si>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</si>
  <si>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</si>
  <si>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</si>
  <si>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</si>
  <si>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</si>
  <si>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</si>
  <si>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</si>
  <si>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</si>
  <si>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</si>
  <si>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</si>
  <si>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</si>
  <si>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</si>
  <si>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</si>
  <si>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</si>
  <si>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</si>
  <si>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</si>
  <si>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</si>
  <si>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</si>
  <si>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</si>
  <si>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</si>
  <si>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</si>
  <si>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</si>
  <si>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</si>
  <si>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</si>
  <si>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</si>
  <si>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</si>
  <si>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</si>
  <si>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</si>
  <si>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</si>
  <si>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</si>
  <si>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</si>
  <si>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</si>
  <si>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</si>
  <si>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</si>
  <si>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</si>
  <si>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</si>
  <si>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</si>
  <si>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</si>
  <si>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</si>
  <si>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</si>
  <si>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</si>
  <si>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</si>
  <si>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</si>
  <si>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</si>
  <si>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</si>
  <si>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</si>
  <si>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</si>
  <si>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</si>
  <si>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</si>
  <si>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</si>
  <si>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</si>
  <si>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</si>
  <si>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</si>
  <si>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</si>
  <si>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</si>
  <si>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</si>
  <si>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</si>
  <si>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</si>
  <si>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</si>
  <si>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</si>
  <si>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</si>
  <si>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</si>
  <si>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</si>
  <si>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</si>
  <si>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</si>
  <si>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</si>
  <si>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</si>
  <si>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</si>
  <si>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</si>
  <si>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</si>
  <si>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</si>
  <si>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</si>
  <si>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</si>
  <si>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</si>
  <si>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</si>
  <si>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</si>
  <si>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</si>
  <si>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</si>
  <si>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</si>
  <si>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</si>
  <si>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</si>
  <si>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</si>
  <si>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</si>
  <si>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</si>
  <si>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</si>
  <si>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</si>
  <si>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</si>
  <si>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</si>
  <si>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</si>
  <si>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</si>
  <si>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</si>
  <si>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</si>
  <si>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</si>
  <si>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</si>
  <si>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</si>
  <si>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</si>
  <si>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</si>
  <si>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</si>
  <si>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</si>
  <si>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</si>
  <si>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</si>
  <si>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</si>
  <si>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</si>
  <si>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</si>
  <si>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</si>
  <si>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</si>
  <si>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</si>
  <si>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</si>
  <si>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</si>
  <si>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</si>
  <si>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</si>
  <si>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</si>
  <si>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</si>
  <si>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</si>
  <si>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</si>
  <si>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</si>
  <si>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</si>
  <si>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</si>
  <si>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</si>
  <si>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</si>
  <si>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</si>
  <si>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</si>
  <si>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</si>
  <si>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</si>
  <si>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</si>
  <si>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</si>
  <si>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</si>
  <si>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</si>
  <si>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</si>
  <si>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</si>
  <si>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</si>
  <si>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</si>
  <si>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</si>
  <si>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</si>
  <si>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</si>
  <si>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</si>
  <si>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</si>
  <si>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</si>
  <si>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</si>
  <si>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</si>
  <si>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</si>
  <si>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</si>
  <si>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</si>
  <si>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</si>
  <si>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</si>
  <si>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</si>
  <si>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</si>
  <si>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</si>
  <si>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</si>
  <si>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</si>
  <si>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</si>
  <si>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</si>
  <si>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</si>
  <si>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</si>
  <si>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</si>
  <si>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</si>
  <si>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</si>
  <si>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</si>
  <si>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</si>
  <si>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</si>
  <si>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</si>
  <si>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</si>
  <si>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</si>
  <si>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</si>
  <si>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</si>
  <si>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</si>
  <si>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</si>
  <si>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</si>
  <si>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</si>
  <si>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</si>
  <si>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</si>
  <si>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</si>
  <si>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</si>
  <si>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</si>
  <si>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</si>
  <si>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</si>
  <si>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</si>
  <si>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</si>
  <si>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</si>
  <si>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</si>
  <si>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</si>
  <si>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</si>
  <si>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</si>
  <si>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</si>
  <si>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</si>
  <si>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</si>
  <si>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</si>
  <si>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</si>
  <si>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</si>
  <si>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</si>
  <si>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</si>
  <si>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</si>
  <si>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</si>
  <si>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</si>
  <si>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</si>
  <si>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</si>
  <si>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</si>
  <si>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</si>
  <si>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</si>
  <si>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</si>
  <si>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</si>
  <si>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</si>
  <si>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</si>
  <si>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</si>
  <si>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</si>
  <si>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</si>
  <si>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</si>
  <si>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</si>
  <si>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</si>
  <si>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</si>
  <si>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</si>
  <si>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</si>
  <si>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</si>
  <si>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</si>
  <si>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</si>
  <si>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</si>
  <si>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</si>
  <si>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</si>
  <si>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</si>
  <si>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</si>
  <si>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</si>
  <si>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</si>
  <si>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</si>
  <si>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</si>
  <si>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</si>
  <si>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</si>
  <si>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</si>
  <si>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</si>
  <si>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</si>
  <si>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</si>
  <si>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</si>
  <si>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</si>
  <si>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</si>
  <si>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</si>
  <si>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</si>
  <si>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</si>
  <si>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</si>
  <si>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</si>
  <si>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</si>
  <si>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</si>
  <si>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</si>
  <si>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</si>
  <si>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</si>
  <si>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</si>
  <si>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</si>
  <si>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</si>
  <si>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</si>
  <si>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</si>
  <si>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</si>
  <si>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</si>
  <si>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</si>
  <si>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</si>
  <si>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</si>
  <si>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</si>
  <si>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</si>
  <si>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</si>
  <si>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</si>
  <si>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</si>
  <si>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</si>
  <si>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</si>
  <si>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</si>
  <si>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</si>
  <si>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</si>
  <si>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</si>
  <si>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</si>
  <si>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</si>
  <si>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</si>
  <si>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</si>
  <si>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</si>
  <si>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</si>
  <si>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</si>
  <si>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</si>
  <si>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</si>
  <si>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</si>
  <si>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</si>
  <si>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</si>
  <si>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</si>
  <si>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</si>
  <si>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</si>
  <si>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</si>
  <si>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</si>
  <si>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</si>
  <si>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</si>
  <si>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</si>
  <si>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</si>
  <si>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</si>
  <si>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</si>
  <si>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</si>
  <si>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</si>
  <si>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</si>
  <si>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</si>
  <si>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</si>
  <si>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</si>
  <si>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</si>
  <si>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</si>
  <si>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</si>
  <si>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</si>
  <si>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</si>
  <si>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</si>
  <si>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</si>
  <si>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</si>
  <si>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</si>
  <si>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</si>
  <si>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</si>
  <si>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</si>
  <si>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</si>
  <si>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</si>
  <si>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</si>
  <si>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</si>
  <si>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</si>
  <si>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</si>
  <si>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</si>
  <si>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</si>
  <si>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</si>
  <si>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</si>
  <si>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</si>
  <si>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</si>
  <si>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</si>
  <si>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</si>
  <si>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</si>
  <si>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</si>
  <si>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</si>
  <si>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</si>
  <si>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</si>
  <si>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</si>
  <si>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</si>
  <si>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</si>
  <si>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</si>
  <si>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</si>
  <si>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</si>
  <si>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</si>
  <si>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</si>
  <si>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</si>
  <si>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</si>
  <si>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</si>
  <si>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</si>
  <si>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</si>
  <si>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</si>
  <si>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</si>
  <si>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</si>
  <si>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</si>
  <si>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</si>
  <si>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</si>
  <si>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</si>
  <si>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</si>
  <si>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</si>
  <si>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</si>
  <si>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</si>
  <si>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</si>
  <si>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</si>
  <si>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</si>
  <si>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</si>
  <si>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</si>
  <si>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</si>
  <si>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</si>
  <si>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</si>
  <si>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</si>
  <si>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</si>
  <si>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</si>
  <si>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</si>
  <si>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</si>
  <si>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</si>
  <si>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</si>
  <si>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</si>
  <si>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</si>
  <si>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</si>
  <si>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</si>
  <si>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</si>
  <si>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</si>
  <si>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</si>
  <si>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</si>
  <si>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</si>
  <si>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</si>
  <si>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</si>
  <si>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</si>
  <si>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</si>
  <si>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</si>
  <si>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</si>
  <si>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</si>
  <si>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</si>
  <si>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</si>
  <si>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</si>
  <si>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</si>
  <si>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</si>
  <si>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</si>
  <si>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</si>
  <si>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</si>
  <si>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</si>
  <si>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</si>
  <si>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</si>
  <si>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</si>
  <si>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</si>
  <si>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</si>
  <si>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</si>
  <si>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</si>
  <si>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</si>
  <si>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</si>
  <si>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</si>
  <si>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</si>
  <si>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</si>
  <si>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</si>
  <si>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</si>
  <si>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</si>
  <si>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</si>
  <si>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</si>
  <si>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</si>
  <si>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</si>
  <si>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</si>
  <si>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</si>
  <si>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</si>
  <si>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</si>
  <si>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</si>
  <si>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</si>
  <si>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</si>
  <si>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</si>
  <si>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</si>
  <si>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</si>
  <si>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</si>
  <si>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</si>
  <si>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</si>
  <si>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</si>
  <si>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</si>
  <si>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</si>
  <si>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</si>
  <si>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</si>
  <si>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</si>
  <si>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</si>
  <si>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</si>
  <si>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</si>
  <si>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</si>
  <si>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</si>
  <si>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</si>
  <si>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</si>
  <si>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</si>
  <si>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</si>
  <si>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</si>
  <si>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</si>
  <si>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</si>
  <si>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</si>
  <si>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</si>
  <si>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</si>
  <si>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</si>
  <si>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</si>
  <si>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</si>
  <si>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</si>
  <si>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</si>
  <si>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</si>
  <si>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</si>
  <si>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</si>
  <si>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</si>
  <si>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</si>
  <si>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</si>
  <si>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</si>
  <si>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</si>
  <si>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</si>
  <si>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</si>
  <si>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</si>
  <si>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</si>
  <si>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</si>
  <si>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</si>
  <si>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</si>
  <si>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</si>
  <si>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</si>
  <si>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</si>
  <si>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</si>
  <si>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</si>
  <si>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</si>
  <si>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</si>
  <si>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</si>
  <si>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</si>
  <si>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</si>
  <si>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</si>
  <si>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</si>
  <si>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</si>
  <si>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</si>
  <si>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</si>
  <si>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</si>
  <si>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</si>
  <si>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</si>
  <si>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</si>
  <si>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</si>
  <si>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</si>
  <si>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</si>
  <si>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</si>
  <si>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</si>
  <si>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</si>
  <si>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</si>
  <si>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</si>
  <si>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</si>
  <si>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</si>
  <si>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</si>
  <si>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</si>
  <si>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</si>
  <si>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</si>
  <si>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</si>
  <si>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</si>
  <si>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</si>
  <si>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</si>
  <si>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</si>
  <si>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</si>
  <si>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</si>
  <si>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</si>
  <si>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</si>
  <si>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</si>
  <si>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</si>
  <si>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</si>
  <si>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</si>
  <si>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</si>
  <si>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</si>
  <si>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</si>
  <si>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</si>
  <si>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</si>
  <si>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</si>
  <si>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</si>
  <si>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</si>
  <si>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</si>
  <si>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</si>
  <si>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</si>
  <si>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</si>
  <si>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</si>
  <si>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</si>
  <si>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</si>
  <si>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</si>
  <si>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</si>
  <si>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</si>
  <si>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</si>
  <si>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</si>
  <si>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</si>
  <si>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</si>
  <si>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</si>
  <si>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</si>
  <si>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</si>
  <si>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</si>
  <si>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</si>
  <si>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</si>
  <si>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</si>
  <si>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</si>
  <si>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</si>
  <si>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</si>
  <si>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</si>
  <si>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</si>
  <si>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</si>
  <si>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</si>
  <si>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</si>
  <si>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</si>
  <si>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</si>
  <si>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</si>
  <si>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</si>
  <si>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</si>
  <si>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</si>
  <si>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</si>
  <si>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</si>
  <si>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</si>
  <si>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</si>
  <si>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</si>
  <si>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</si>
  <si>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</si>
  <si>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</si>
  <si>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</si>
  <si>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</si>
  <si>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</si>
  <si>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</si>
  <si>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</si>
  <si>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</si>
  <si>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</si>
  <si>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</si>
  <si>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</si>
  <si>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</si>
  <si>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</si>
  <si>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</si>
  <si>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</si>
  <si>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</si>
  <si>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</si>
  <si>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</si>
  <si>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</si>
  <si>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</si>
  <si>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</si>
  <si>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</si>
  <si>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</si>
  <si>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</si>
  <si>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</si>
  <si>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</si>
  <si>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</si>
  <si>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</si>
  <si>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</si>
  <si>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</si>
  <si>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</si>
  <si>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</si>
  <si>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</si>
  <si>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</si>
  <si>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</si>
  <si>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</si>
  <si>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</si>
  <si>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</si>
  <si>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</si>
  <si>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</si>
  <si>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</si>
  <si>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</si>
  <si>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</si>
  <si>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</si>
  <si>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</si>
  <si>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</si>
  <si>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</si>
  <si>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</si>
  <si>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</si>
  <si>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</si>
  <si>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</si>
  <si>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</si>
  <si>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</si>
  <si>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</si>
  <si>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</si>
  <si>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</si>
  <si>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</si>
  <si>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</si>
  <si>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</si>
  <si>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</si>
  <si>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</si>
  <si>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</si>
  <si>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</si>
  <si>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</si>
  <si>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</si>
  <si>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</si>
  <si>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</si>
  <si>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</si>
  <si>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</si>
  <si>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</si>
  <si>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</si>
  <si>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</si>
  <si>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</si>
  <si>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</si>
  <si>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</si>
  <si>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</si>
  <si>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</si>
  <si>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</si>
  <si>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</si>
  <si>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</si>
  <si>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</si>
  <si>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</si>
  <si>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</si>
  <si>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</si>
  <si>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</si>
  <si>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</si>
  <si>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</si>
  <si>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</si>
  <si>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</si>
  <si>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</si>
  <si>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</si>
  <si>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</si>
  <si>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</si>
  <si>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</si>
  <si>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</si>
  <si>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</si>
  <si>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</si>
  <si>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</si>
  <si>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</si>
  <si>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</si>
  <si>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</si>
  <si>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</si>
  <si>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</si>
  <si>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</si>
  <si>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</si>
  <si>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</si>
  <si>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</si>
  <si>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</si>
  <si>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</si>
  <si>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</si>
  <si>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</si>
  <si>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</si>
  <si>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</si>
  <si>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</si>
  <si>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</si>
  <si>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</si>
  <si>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</si>
  <si>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</si>
  <si>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</si>
  <si>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</si>
  <si>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</si>
  <si>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</si>
  <si>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</si>
  <si>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</si>
  <si>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</si>
  <si>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</si>
  <si>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</si>
  <si>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</si>
  <si>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</si>
  <si>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</si>
  <si>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</si>
  <si>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</si>
  <si>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</si>
  <si>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</si>
  <si>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</si>
  <si>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</si>
  <si>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</si>
  <si>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</si>
  <si>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</si>
  <si>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</si>
  <si>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</si>
  <si>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</si>
  <si>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</si>
  <si>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</si>
  <si>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</si>
  <si>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</si>
  <si>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</si>
  <si>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</si>
  <si>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</si>
  <si>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</si>
  <si>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</si>
  <si>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</si>
  <si>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</si>
  <si>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</si>
  <si>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</si>
  <si>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</si>
  <si>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</si>
  <si>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</si>
  <si>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</si>
  <si>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</si>
  <si>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</si>
  <si>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</si>
  <si>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</si>
  <si>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</si>
  <si>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</si>
  <si>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</si>
  <si>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</si>
  <si>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</si>
  <si>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</si>
  <si>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</si>
  <si>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</si>
  <si>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</si>
  <si>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</si>
  <si>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</si>
  <si>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</si>
  <si>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</si>
  <si>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</si>
  <si>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</si>
  <si>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</si>
  <si>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</si>
  <si>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</si>
  <si>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</si>
  <si>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</si>
  <si>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</si>
  <si>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</si>
  <si>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</si>
  <si>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</si>
  <si>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</si>
  <si>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</si>
  <si>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</si>
  <si>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</si>
  <si>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</si>
  <si>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</si>
  <si>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</si>
  <si>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</si>
  <si>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</si>
  <si>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</si>
  <si>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</si>
  <si>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</si>
  <si>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</si>
  <si>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</si>
  <si>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</si>
  <si>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</si>
  <si>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</si>
  <si>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</si>
  <si>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</si>
  <si>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</si>
  <si>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</si>
  <si>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</si>
  <si>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</si>
  <si>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</si>
  <si>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</si>
  <si>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</si>
  <si>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</si>
  <si>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</si>
  <si>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</si>
  <si>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</si>
  <si>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</si>
  <si>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</si>
  <si>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</si>
  <si>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</si>
  <si>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</si>
  <si>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</si>
  <si>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</si>
  <si>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</si>
  <si>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</si>
  <si>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</si>
  <si>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</si>
  <si>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</si>
  <si>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</si>
  <si>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</si>
  <si>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</si>
  <si>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</si>
  <si>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</si>
  <si>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</si>
  <si>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</si>
  <si>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</si>
  <si>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</si>
  <si>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</si>
  <si>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</si>
  <si>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</si>
  <si>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</si>
  <si>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</si>
  <si>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</si>
  <si>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</si>
  <si>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</si>
  <si>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</si>
  <si>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</si>
  <si>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</si>
  <si>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</si>
  <si>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</si>
  <si>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</si>
  <si>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</si>
  <si>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</si>
  <si>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</si>
  <si>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</si>
  <si>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</si>
  <si>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</si>
  <si>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</si>
  <si>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</si>
  <si>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</si>
  <si>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</si>
  <si>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</si>
  <si>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</si>
  <si>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</si>
  <si>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</si>
  <si>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</si>
  <si>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</si>
  <si>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</si>
  <si>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</si>
  <si>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</si>
  <si>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</si>
  <si>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</si>
  <si>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</si>
  <si>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</si>
  <si>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</si>
  <si>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</si>
  <si>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</si>
  <si>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</si>
  <si>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</si>
  <si>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</si>
  <si>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</si>
  <si>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</si>
  <si>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</si>
  <si>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</si>
  <si>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</si>
  <si>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</si>
  <si>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</si>
  <si>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</si>
  <si>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</si>
  <si>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</si>
  <si>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</si>
  <si>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</si>
  <si>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</si>
  <si>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</si>
  <si>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</si>
  <si>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</si>
  <si>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</si>
  <si>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</si>
  <si>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</si>
  <si>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</si>
  <si>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</si>
  <si>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</si>
  <si>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</si>
  <si>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</si>
  <si>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</si>
  <si>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</si>
  <si>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</si>
  <si>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</si>
  <si>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</si>
  <si>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</si>
  <si>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</si>
  <si>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</si>
  <si>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</si>
  <si>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</si>
  <si>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</si>
  <si>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</si>
  <si>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</si>
  <si>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</si>
  <si>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</si>
  <si>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</si>
  <si>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</si>
  <si>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</si>
  <si>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</si>
  <si>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</si>
  <si>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</si>
  <si>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</si>
  <si>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</si>
  <si>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</si>
  <si>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</si>
  <si>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</si>
  <si>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</si>
  <si>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</si>
  <si>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</si>
  <si>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</si>
  <si>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</si>
  <si>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</si>
  <si>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</si>
  <si>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</si>
  <si>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</si>
  <si>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</si>
  <si>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</si>
  <si>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</si>
  <si>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</si>
  <si>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</si>
  <si>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</si>
  <si>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</si>
  <si>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</si>
  <si>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</si>
  <si>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</si>
  <si>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</si>
  <si>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</si>
  <si>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</si>
  <si>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</si>
  <si>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</si>
  <si>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</si>
  <si>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</si>
  <si>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</si>
  <si>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</si>
  <si>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</si>
  <si>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</si>
  <si>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</si>
  <si>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</si>
  <si>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</si>
  <si>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</si>
  <si>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</si>
  <si>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</si>
  <si>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</si>
  <si>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</si>
  <si>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</si>
  <si>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</si>
  <si>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</si>
  <si>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</si>
  <si>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</si>
  <si>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</si>
  <si>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</si>
  <si>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</si>
  <si>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</si>
  <si>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</si>
  <si>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</si>
  <si>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</si>
  <si>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</si>
  <si>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</si>
  <si>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</si>
  <si>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</si>
  <si>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</si>
  <si>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</si>
  <si>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</si>
  <si>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</si>
  <si>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</si>
  <si>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</si>
  <si>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</si>
  <si>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</si>
  <si>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</si>
  <si>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</si>
  <si>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</si>
  <si>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</si>
  <si>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</si>
  <si>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</si>
  <si>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</si>
  <si>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</si>
  <si>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</si>
  <si>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</si>
  <si>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</si>
  <si>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</si>
  <si>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</si>
  <si>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</si>
  <si>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</si>
  <si>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</si>
  <si>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</si>
  <si>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</si>
  <si>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</si>
  <si>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</si>
  <si>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</si>
  <si>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</si>
  <si>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</si>
  <si>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</si>
  <si>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</si>
  <si>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</si>
  <si>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</si>
  <si>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</si>
  <si>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</si>
  <si>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</si>
  <si>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</si>
  <si>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</si>
  <si>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</si>
  <si>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</si>
  <si>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</si>
  <si>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</si>
  <si>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</si>
  <si>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</si>
  <si>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</si>
  <si>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</si>
  <si>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</si>
  <si>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</si>
  <si>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</si>
  <si>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</si>
  <si>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</si>
  <si>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</si>
  <si>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</si>
  <si>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</si>
  <si>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</si>
  <si>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</si>
  <si>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</si>
  <si>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</si>
  <si>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</si>
  <si>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</si>
  <si>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</si>
  <si>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</si>
  <si>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</si>
  <si>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</si>
  <si>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</si>
  <si>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</si>
  <si>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</si>
  <si>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</si>
  <si>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</si>
  <si>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</si>
  <si>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</si>
  <si>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</si>
  <si>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</si>
  <si>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</si>
  <si>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</si>
  <si>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</si>
  <si>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</si>
  <si>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</si>
  <si>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</si>
  <si>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</si>
  <si>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</si>
  <si>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</si>
  <si>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</si>
  <si>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</si>
  <si>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</si>
  <si>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</si>
  <si>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</si>
  <si>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</si>
  <si>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</si>
  <si>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</si>
  <si>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</si>
  <si>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</si>
  <si>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</si>
  <si>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</si>
  <si>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</si>
  <si>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</si>
  <si>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</si>
  <si>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</si>
  <si>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</si>
  <si>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</si>
  <si>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</si>
  <si>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</si>
  <si>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</si>
  <si>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</si>
  <si>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</si>
  <si>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</si>
  <si>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</si>
  <si>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</si>
  <si>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</si>
  <si>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</si>
  <si>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</si>
  <si>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</si>
  <si>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</si>
  <si>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</si>
  <si>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</si>
  <si>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</si>
  <si>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</si>
  <si>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</si>
  <si>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</si>
  <si>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</si>
  <si>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</si>
  <si>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</si>
  <si>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</si>
  <si>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</si>
  <si>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</si>
  <si>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</si>
  <si>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</si>
  <si>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</si>
  <si>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</si>
  <si>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</si>
  <si>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</si>
  <si>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</si>
  <si>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</si>
  <si>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</si>
  <si>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</si>
  <si>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</si>
  <si>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</si>
  <si>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</si>
  <si>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</si>
  <si>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</si>
  <si>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</si>
  <si>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</si>
  <si>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</si>
  <si>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</si>
  <si>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</si>
  <si>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</si>
  <si>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</si>
  <si>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</si>
  <si>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</si>
  <si>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</si>
  <si>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</si>
  <si>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</si>
  <si>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</si>
  <si>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</si>
  <si>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</si>
  <si>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</si>
  <si>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</si>
  <si>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</si>
  <si>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</si>
  <si>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</si>
  <si>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</si>
  <si>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</si>
  <si>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</si>
  <si>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</si>
  <si>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</si>
  <si>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</si>
  <si>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</si>
  <si>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</si>
  <si>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</si>
  <si>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</si>
  <si>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</si>
  <si>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</si>
  <si>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</si>
  <si>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</si>
  <si>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</si>
  <si>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</si>
  <si>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</si>
  <si>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</si>
  <si>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</si>
  <si>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</si>
  <si>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</si>
  <si>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</si>
  <si>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</si>
  <si>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</si>
  <si>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</si>
  <si>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</si>
  <si>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</si>
  <si>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</si>
  <si>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</si>
  <si>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</si>
  <si>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</si>
  <si>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</si>
  <si>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</si>
  <si>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</si>
  <si>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</si>
  <si>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</si>
  <si>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</si>
  <si>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</si>
  <si>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</si>
  <si>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</si>
  <si>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</si>
  <si>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</si>
  <si>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</si>
  <si>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</si>
  <si>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</si>
  <si>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</si>
  <si>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</si>
  <si>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</si>
  <si>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</si>
  <si>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</si>
  <si>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</si>
  <si>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</si>
  <si>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</si>
  <si>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</si>
  <si>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</si>
  <si>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</si>
  <si>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</si>
  <si>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</si>
  <si>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</si>
  <si>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</si>
  <si>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</si>
  <si>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</si>
  <si>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</si>
  <si>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</si>
  <si>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</si>
  <si>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</si>
  <si>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</si>
  <si>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</si>
  <si>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</si>
  <si>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</si>
  <si>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</si>
  <si>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</si>
  <si>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</si>
  <si>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</si>
  <si>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</si>
  <si>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</si>
  <si>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</si>
  <si>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</si>
  <si>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</si>
  <si>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</si>
  <si>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</si>
  <si>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</si>
  <si>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</si>
  <si>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</si>
  <si>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</si>
  <si>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</si>
  <si>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</si>
  <si>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</si>
  <si>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</si>
  <si>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</si>
  <si>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</si>
  <si>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</si>
  <si>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</si>
  <si>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</si>
  <si>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</si>
  <si>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</si>
  <si>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</si>
  <si>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</si>
  <si>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</si>
  <si>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</si>
  <si>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</si>
  <si>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</si>
  <si>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</si>
  <si>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</si>
  <si>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</si>
  <si>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</si>
  <si>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</si>
  <si>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</si>
  <si>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</si>
  <si>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</si>
  <si>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</si>
  <si>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</si>
  <si>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</si>
  <si>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</si>
  <si>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</si>
  <si>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</si>
  <si>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</si>
  <si>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</si>
  <si>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</si>
  <si>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</si>
  <si>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</si>
  <si>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</si>
  <si>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</si>
  <si>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</si>
  <si>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</si>
  <si>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</si>
  <si>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</si>
  <si>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</si>
  <si>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</si>
  <si>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</si>
  <si>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</si>
  <si>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</si>
  <si>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</si>
  <si>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</si>
  <si>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</si>
  <si>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</si>
  <si>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</si>
  <si>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</si>
  <si>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</si>
  <si>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</si>
  <si>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</si>
  <si>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</si>
  <si>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</si>
  <si>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</si>
  <si>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</si>
  <si>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</si>
  <si>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</si>
  <si>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</si>
  <si>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</si>
  <si>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</si>
  <si>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</si>
  <si>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</si>
  <si>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</si>
  <si>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</si>
  <si>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</si>
  <si>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</si>
  <si>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</si>
  <si>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</si>
  <si>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</si>
  <si>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</si>
  <si>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</si>
  <si>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</si>
  <si>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</si>
  <si>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</si>
  <si>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</si>
  <si>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</si>
  <si>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</si>
  <si>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</si>
  <si>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</si>
  <si>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</si>
  <si>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</si>
  <si>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</si>
  <si>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</si>
  <si>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</si>
  <si>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</si>
  <si>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</si>
  <si>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</si>
  <si>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</si>
  <si>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</si>
  <si>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</si>
  <si>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</si>
  <si>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</si>
  <si>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</si>
  <si>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</si>
  <si>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</si>
  <si>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</si>
  <si>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</si>
  <si>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</si>
  <si>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</si>
  <si>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</si>
  <si>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</si>
  <si>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</si>
  <si>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</si>
  <si>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</si>
  <si>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</si>
  <si>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</si>
  <si>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</si>
  <si>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</si>
  <si>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</si>
  <si>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</si>
  <si>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</si>
  <si>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</si>
  <si>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</si>
  <si>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</si>
  <si>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</si>
  <si>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</si>
  <si>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</si>
  <si>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</si>
  <si>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</si>
  <si>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</si>
  <si>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</si>
  <si>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</si>
  <si>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</si>
  <si>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</si>
  <si>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</si>
  <si>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</si>
  <si>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</si>
  <si>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</si>
  <si>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</si>
  <si>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</si>
  <si>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</si>
  <si>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</si>
  <si>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</si>
  <si>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</si>
  <si>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</si>
  <si>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</si>
  <si>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</si>
  <si>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</si>
  <si>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</si>
  <si>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</si>
  <si>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</si>
  <si>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</si>
  <si>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</si>
  <si>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</si>
  <si>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</si>
  <si>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</si>
  <si>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</si>
  <si>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</si>
  <si>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</si>
  <si>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</si>
  <si>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</si>
  <si>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</si>
  <si>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</si>
  <si>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</si>
  <si>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</si>
  <si>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</si>
  <si>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</si>
  <si>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</si>
  <si>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</si>
  <si>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</si>
  <si>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</si>
  <si>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</si>
  <si>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</si>
  <si>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</si>
  <si>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</si>
  <si>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</si>
  <si>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</si>
  <si>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</si>
  <si>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</si>
  <si>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</si>
  <si>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</si>
  <si>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</si>
  <si>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</si>
  <si>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</si>
  <si>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</si>
  <si>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</si>
  <si>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</si>
  <si>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</si>
  <si>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</si>
  <si>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</si>
  <si>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</si>
  <si>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</si>
  <si>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</si>
  <si>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</si>
  <si>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</si>
  <si>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</si>
  <si>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</si>
  <si>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</si>
  <si>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</si>
  <si>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</si>
  <si>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</si>
  <si>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</si>
  <si>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</si>
  <si>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</si>
  <si>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</si>
  <si>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</si>
  <si>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</si>
  <si>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</si>
  <si>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</si>
  <si>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</si>
  <si>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</si>
  <si>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</si>
  <si>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</si>
  <si>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</si>
  <si>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</si>
  <si>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</si>
  <si>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</si>
  <si>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</si>
  <si>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</si>
  <si>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</si>
  <si>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</si>
  <si>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</si>
  <si>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</si>
  <si>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</si>
  <si>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</si>
  <si>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</si>
  <si>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</si>
  <si>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</si>
  <si>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</si>
  <si>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</si>
  <si>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</si>
  <si>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</si>
  <si>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</si>
  <si>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</si>
  <si>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</si>
  <si>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</si>
  <si>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</si>
  <si>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</si>
  <si>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</si>
  <si>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</si>
  <si>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</si>
  <si>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</si>
  <si>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</si>
  <si>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</si>
  <si>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</si>
  <si>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</si>
  <si>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</si>
  <si>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</si>
  <si>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</si>
  <si>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</si>
  <si>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</si>
  <si>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</si>
  <si>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</si>
  <si>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</si>
  <si>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</si>
  <si>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</si>
  <si>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</si>
  <si>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</si>
  <si>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</si>
  <si>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</si>
  <si>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</si>
  <si>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</si>
  <si>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</si>
  <si>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</si>
  <si>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</si>
  <si>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</si>
  <si>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</si>
  <si>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</si>
  <si>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</si>
  <si>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</si>
  <si>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</si>
  <si>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</si>
  <si>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</si>
  <si>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</si>
  <si>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</si>
  <si>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</si>
  <si>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</si>
  <si>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</si>
  <si>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</si>
  <si>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</si>
  <si>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</si>
  <si>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</si>
  <si>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</si>
  <si>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</si>
  <si>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</si>
  <si>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</si>
  <si>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</si>
  <si>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</si>
  <si>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</si>
  <si>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</si>
  <si>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</si>
  <si>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</si>
  <si>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</si>
  <si>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</si>
  <si>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</si>
  <si>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</si>
  <si>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</si>
  <si>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</si>
  <si>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</si>
  <si>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</si>
  <si>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</si>
  <si>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</si>
  <si>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</si>
  <si>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</si>
  <si>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</si>
  <si>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</si>
  <si>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</si>
  <si>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</si>
  <si>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</si>
  <si>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</si>
  <si>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</si>
  <si>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</si>
  <si>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</si>
  <si>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</si>
  <si>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</si>
  <si>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</si>
  <si>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</si>
  <si>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</si>
  <si>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</si>
  <si>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</si>
  <si>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</si>
  <si>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</si>
  <si>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</si>
  <si>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</si>
  <si>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</si>
  <si>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</si>
  <si>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</si>
  <si>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</si>
  <si>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</si>
  <si>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</si>
  <si>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</si>
  <si>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</si>
  <si>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</si>
  <si>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</si>
  <si>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</si>
  <si>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</si>
  <si>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</si>
  <si>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</si>
  <si>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</si>
  <si>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</si>
  <si>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</si>
  <si>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</si>
  <si>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</si>
  <si>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</si>
  <si>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</si>
  <si>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</si>
  <si>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</si>
  <si>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</si>
  <si>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</si>
  <si>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</si>
  <si>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</si>
  <si>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</si>
  <si>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</si>
  <si>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</si>
  <si>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</si>
  <si>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</si>
  <si>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</si>
  <si>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</si>
  <si>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</si>
  <si>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</si>
  <si>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</si>
  <si>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</si>
  <si>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</si>
  <si>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</si>
  <si>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</si>
  <si>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</si>
  <si>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</si>
  <si>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</si>
  <si>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</si>
  <si>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</si>
  <si>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</si>
  <si>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</si>
  <si>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</si>
  <si>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</si>
  <si>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</si>
  <si>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</si>
  <si>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</si>
  <si>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</si>
  <si>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</si>
  <si>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</si>
  <si>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</si>
  <si>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</si>
  <si>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</si>
  <si>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</si>
  <si>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</si>
  <si>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</si>
  <si>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</si>
  <si>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</si>
  <si>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</si>
  <si>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</si>
  <si>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</si>
  <si>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</si>
  <si>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</si>
  <si>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</si>
  <si>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</si>
  <si>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</si>
  <si>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</si>
  <si>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</si>
  <si>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</si>
  <si>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</si>
  <si>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</si>
  <si>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</si>
  <si>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</si>
  <si>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</si>
  <si>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</si>
  <si>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</si>
  <si>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</si>
  <si>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</si>
  <si>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</si>
  <si>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</si>
  <si>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</si>
  <si>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</si>
  <si>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</si>
  <si>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</si>
  <si>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</si>
  <si>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</si>
  <si>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</si>
  <si>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</si>
  <si>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</si>
  <si>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</si>
  <si>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</si>
  <si>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</si>
  <si>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</si>
  <si>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</si>
  <si>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</si>
  <si>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</si>
  <si>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</si>
  <si>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</si>
  <si>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房地产抵押价值</t>
  </si>
  <si>
    <t>北京市</t>
  </si>
  <si>
    <t>企业</t>
  </si>
  <si>
    <t>是</t>
  </si>
  <si>
    <t>地上</t>
  </si>
  <si>
    <t>工业</t>
    <phoneticPr fontId="7" type="noConversion"/>
  </si>
  <si>
    <t>成新度</t>
  </si>
  <si>
    <t>收益法</t>
  </si>
  <si>
    <t>押一</t>
  </si>
  <si>
    <t>非生产用房</t>
  </si>
  <si>
    <t>否</t>
  </si>
  <si>
    <t>与级别开发程度一致</t>
  </si>
  <si>
    <t>自定义容积率</t>
  </si>
  <si>
    <t>较好</t>
  </si>
  <si>
    <t>一般</t>
  </si>
  <si>
    <t>未包含在土地购买价格中</t>
  </si>
  <si>
    <t>全部缴纳</t>
  </si>
  <si>
    <t>已包含在土地取得成本中</t>
  </si>
  <si>
    <t>成本法</t>
  </si>
  <si>
    <t>总价</t>
  </si>
  <si>
    <t>成本比率</t>
  </si>
  <si>
    <t>地块名称</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</si>
  <si>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</si>
  <si>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</si>
  <si>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</si>
  <si>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</si>
  <si>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</si>
  <si>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</si>
  <si>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</si>
  <si>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</si>
  <si>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</si>
  <si>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</si>
  <si>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</si>
  <si>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</si>
  <si>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</si>
  <si>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</si>
  <si>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</si>
  <si>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顺义新城07街区SY00-0702-05-019地块M1工业用地</t>
  </si>
  <si>
    <t>顺义区仁和镇</t>
  </si>
  <si>
    <t>挂牌</t>
  </si>
  <si>
    <t>M1工业用地</t>
  </si>
  <si>
    <t>已成交</t>
  </si>
  <si>
    <t>北京高顺投资有限公司</t>
  </si>
  <si>
    <t>20年</t>
  </si>
  <si>
    <t>顺义区大孙各庄镇总体规划范围内工业用地B01、B02、B03、B04、B05、B06地块土地一级开发项目二期SY09-0102-6015、SY09-0102-6023地块110101物流用地</t>
  </si>
  <si>
    <t>顺义区大孙各庄镇内</t>
  </si>
  <si>
    <t>物流用地</t>
  </si>
  <si>
    <t>北京之泰仓储服务有限公司</t>
  </si>
  <si>
    <t>顺义区SY00-2402街区C-30地块(网内6号地)工业用地国有建设用地使用权出让</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</si>
  <si>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</si>
  <si>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</si>
  <si>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</si>
  <si>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</si>
  <si>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</si>
  <si>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</si>
  <si>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顺义新城3401街区(高丽营镇中关村科技园区顺义园三代半产业基地)内</t>
  </si>
  <si>
    <t>≤1.5</t>
  </si>
  <si>
    <t>北京顺创芯联科技有限公司</t>
  </si>
  <si>
    <t>顺义新城3401街区(高丽营镇中关村科技园区顺义园三代半产业基地)2号地 2-1(东区)地块M1工业用地国有建设用地使用权出让</t>
  </si>
  <si>
    <t>赢合控股集团有限公司</t>
  </si>
  <si>
    <t>顺义新城3401街区(高丽营镇中关村顺义园三代半产业基地)3-2-3(3号地B)地块M1工业用地国有建设用地使用权出让</t>
  </si>
  <si>
    <t>泰科天润半导体科技(北京)有限公司</t>
  </si>
  <si>
    <t>顺义新城第30街区30-27-02地块M1工业用地国有建设用地使用权出让</t>
  </si>
  <si>
    <t>顺义新城第30街区北小营镇宏大工业区内</t>
  </si>
  <si>
    <t>≤1.3</t>
  </si>
  <si>
    <t>亿讯时代(北京)数据科技有限公司</t>
  </si>
  <si>
    <t>京平公转铁综合物流枢纽产业园土地整理(一期)一级开发项目南场区PG05-0003-B004地块</t>
  </si>
  <si>
    <t>京平公转铁综合物流枢纽产业园</t>
  </si>
  <si>
    <t>W1物流用地</t>
  </si>
  <si>
    <t>北京金谷智通绿链科技有限公司</t>
  </si>
  <si>
    <t>50年</t>
  </si>
  <si>
    <t>顺义区马坡聚源工业区A02-2-2地块</t>
  </si>
  <si>
    <t>顺义区马坡聚源工业区</t>
  </si>
  <si>
    <t>≤1.6</t>
  </si>
  <si>
    <t>北京奕承科技有限公司</t>
  </si>
  <si>
    <t>顺义区赵全营镇SY04-0100-6006-1-2地块</t>
  </si>
  <si>
    <t>顺义区赵全营镇兆丰产业基地</t>
  </si>
  <si>
    <t>≤1.80</t>
  </si>
  <si>
    <t>北京理工华创电动车技术有限公司</t>
  </si>
  <si>
    <t>北京市顺义临空国际(科创功能区)6-1-1地块M1一类工业用地国有建设用地</t>
  </si>
  <si>
    <t>顺义区科创功能区临空国际板块</t>
  </si>
  <si>
    <t>≥0.8;≤2</t>
  </si>
  <si>
    <t>一类工业用地</t>
  </si>
  <si>
    <t>中电科光电科技有限公司、中国电子科技集团公司第十一研究所</t>
  </si>
  <si>
    <t>顺义区赵全营板桥SY04-0100-6006-2地块M4工业研发用地</t>
  </si>
  <si>
    <t>顺义区赵全营镇板桥村</t>
  </si>
  <si>
    <t>≤1.8</t>
  </si>
  <si>
    <t>工业研发M4</t>
  </si>
  <si>
    <t>北京怡和中源科技有限公司</t>
  </si>
  <si>
    <t>顺义区赵全营镇SY04-0100-6006-3地块M4工业研发项目</t>
  </si>
  <si>
    <t>M4工业研发</t>
  </si>
  <si>
    <t>北京吉源医药科技有限公司</t>
  </si>
  <si>
    <t>顺义区SY02-0200-6001、6002地块M4工业研发项目</t>
  </si>
  <si>
    <t>顺义区高丽营镇临空国际产业园</t>
  </si>
  <si>
    <t>北京控制工程研究所</t>
  </si>
  <si>
    <t>顺义区赵全营镇SY04-0100-6006-4地块M4工业研发项目</t>
  </si>
  <si>
    <t>北京连山科技股份有限公司</t>
  </si>
  <si>
    <t>单位面积地价</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</si>
  <si>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</si>
  <si>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</si>
  <si>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</si>
  <si>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</si>
  <si>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工业</t>
    <phoneticPr fontId="32" type="noConversion"/>
  </si>
  <si>
    <t>七通</t>
  </si>
  <si>
    <t>较规则</t>
    <phoneticPr fontId="32" type="noConversion"/>
  </si>
  <si>
    <t>宗地形状</t>
  </si>
  <si>
    <t>崔锴</t>
  </si>
  <si>
    <t>建筑面积</t>
    <phoneticPr fontId="8" type="noConversion"/>
  </si>
  <si>
    <t>土地面积</t>
    <phoneticPr fontId="8" type="noConversion"/>
  </si>
  <si>
    <t>地面单价</t>
    <phoneticPr fontId="134" type="noConversion"/>
  </si>
  <si>
    <t>依据规证</t>
    <phoneticPr fontId="7" type="noConversion"/>
  </si>
  <si>
    <t>直线</t>
    <phoneticPr fontId="3" type="noConversion"/>
  </si>
  <si>
    <t>观察</t>
    <phoneticPr fontId="3" type="noConversion"/>
  </si>
  <si>
    <t>六通</t>
  </si>
  <si>
    <t>六通</t>
    <phoneticPr fontId="32" type="noConversion"/>
  </si>
  <si>
    <t>五通</t>
  </si>
  <si>
    <t>五通</t>
    <phoneticPr fontId="32" type="noConversion"/>
  </si>
  <si>
    <t>四通</t>
    <phoneticPr fontId="32" type="noConversion"/>
  </si>
  <si>
    <t>三通</t>
  </si>
  <si>
    <t>三通</t>
    <phoneticPr fontId="32" type="noConversion"/>
  </si>
  <si>
    <t>较好</t>
    <phoneticPr fontId="32" type="noConversion"/>
  </si>
  <si>
    <t>三通</t>
    <phoneticPr fontId="134" type="noConversion"/>
  </si>
  <si>
    <t>临时三通</t>
    <phoneticPr fontId="134" type="noConversion"/>
  </si>
  <si>
    <t>五通</t>
    <phoneticPr fontId="134" type="noConversion"/>
  </si>
  <si>
    <t>较差</t>
  </si>
  <si>
    <t>钢</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</si>
</sst>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0" borderId="1" xfId="0" applyFont="1" applyFill="1" applyBorder="1" applyAlignment="1" applyProtection="1">
      <alignment horizontal="left" vertical="center" wrapText="1"/>
    </xf>
    <xf numFmtId="0" fontId="128" fillId="0"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xf numFmtId="0" fontId="128" fillId="0" borderId="13" xfId="0"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wrapText="1"/>
      <protection locked="0"/>
    </xf>
    <xf numFmtId="0" fontId="44" fillId="0" borderId="5" xfId="0"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0" fontId="44" fillId="0" borderId="5" xfId="0" applyFont="1" applyFill="1" applyBorder="1" applyAlignment="1" applyProtection="1">
      <alignment horizontal="left" vertical="center" wrapText="1"/>
    </xf>
    <xf numFmtId="0" fontId="44" fillId="0" borderId="3" xfId="0" applyFont="1" applyFill="1" applyBorder="1" applyAlignment="1" applyProtection="1">
      <alignment horizontal="left" vertical="center" wrapText="1"/>
    </xf>
    <xf numFmtId="0" fontId="44" fillId="0" borderId="54" xfId="0" applyFont="1" applyFill="1" applyBorder="1" applyAlignment="1" applyProtection="1">
      <alignment horizontal="left" vertical="center" wrapText="1"/>
      <protection locked="0"/>
    </xf>
    <xf numFmtId="0" fontId="0" fillId="0" borderId="3" xfId="0" applyBorder="1" applyAlignment="1">
      <alignment horizontal="left" vertical="center" wrapText="1"/>
    </xf>
    <xf numFmtId="0" fontId="128" fillId="12" borderId="0" xfId="0" applyFont="1" applyFill="1" applyProtection="1">
      <alignment vertical="center"/>
      <protection locked="0"/>
    </xf>
    <xf numFmtId="0" fontId="77" fillId="12" borderId="0" xfId="0"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104376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90476"/>
        </a:xfrm>
        <a:prstGeom prst="rect">
          <a:avLst/>
        </a:prstGeom>
      </xdr:spPr>
    </xdr:pic>
    <xdr:clientData/>
  </xdr:twoCellAnchor>
  <xdr:twoCellAnchor editAs="oneCell">
    <xdr:from>
      <xdr:col>1</xdr:col>
      <xdr:colOff>0</xdr:colOff>
      <xdr:row>20</xdr:row>
      <xdr:rowOff>0</xdr:rowOff>
    </xdr:from>
    <xdr:to>
      <xdr:col>15</xdr:col>
      <xdr:colOff>617848</xdr:colOff>
      <xdr:row>28</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10219048" cy="1504762"/>
        </a:xfrm>
        <a:prstGeom prst="rect">
          <a:avLst/>
        </a:prstGeom>
      </xdr:spPr>
    </xdr:pic>
    <xdr:clientData/>
  </xdr:twoCellAnchor>
  <xdr:twoCellAnchor editAs="oneCell">
    <xdr:from>
      <xdr:col>1</xdr:col>
      <xdr:colOff>57150</xdr:colOff>
      <xdr:row>29</xdr:row>
      <xdr:rowOff>9525</xdr:rowOff>
    </xdr:from>
    <xdr:to>
      <xdr:col>15</xdr:col>
      <xdr:colOff>160712</xdr:colOff>
      <xdr:row>47</xdr:row>
      <xdr:rowOff>113901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 y="4981575"/>
          <a:ext cx="970476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2024年7月10日（评估专业人员实地查勘之日）</v>
      </c>
    </row>
    <row r="13" spans="1:2" s="1202" customFormat="1">
      <c r="A13" s="1200" t="s">
        <v>529</v>
      </c>
      <c r="B13" s="1201"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8571</v>
      </c>
    </row>
    <row r="21" spans="1:2" s="1202" customFormat="1">
      <c r="A21" s="1200" t="s">
        <v>537</v>
      </c>
      <c r="B21" s="1201">
        <f ca="1">'预评函-2'!D7</f>
        <v>6442</v>
      </c>
    </row>
    <row r="22" spans="1:2" s="1202" customFormat="1">
      <c r="A22" s="1200" t="s">
        <v>538</v>
      </c>
      <c r="B22" s="1201" t="str">
        <f ca="1">'预评函-2'!D6</f>
        <v>捌仟伍佰柒拾壹万元整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8571</v>
      </c>
    </row>
    <row r="31" spans="1:2" s="1202" customFormat="1">
      <c r="A31" s="1200" t="s">
        <v>576</v>
      </c>
      <c r="B31" s="1201">
        <f ca="1">'预评函-2'!D15</f>
        <v>6442</v>
      </c>
    </row>
    <row r="32" spans="1:2" s="1202" customFormat="1">
      <c r="A32" s="1200" t="s">
        <v>543</v>
      </c>
      <c r="B32" s="1201" t="str">
        <f ca="1">'预评函-2'!D14</f>
        <v>捌仟伍佰柒拾壹万元整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4483</v>
      </c>
    </row>
    <row r="48" spans="1:2" s="1202" customFormat="1">
      <c r="A48" s="1200" t="s">
        <v>549</v>
      </c>
      <c r="B48" s="1201">
        <f ca="1">'预评函-3'!E4</f>
        <v>3370</v>
      </c>
    </row>
    <row r="49" spans="1:2" s="1202" customFormat="1">
      <c r="A49" s="1200" t="s">
        <v>550</v>
      </c>
      <c r="B49" s="1201" t="str">
        <f ca="1">'预评函-3'!D5</f>
        <v>肆仟肆佰捌拾叁万元整</v>
      </c>
    </row>
    <row r="50" spans="1:2" s="1202" customFormat="1">
      <c r="A50" s="1200" t="s">
        <v>574</v>
      </c>
      <c r="B50" s="1201" t="str">
        <f>'预评函-3'!F2</f>
        <v>在建建筑物价值</v>
      </c>
    </row>
    <row r="51" spans="1:2" s="1202" customFormat="1">
      <c r="A51" s="1200" t="s">
        <v>551</v>
      </c>
      <c r="B51" s="1201">
        <f ca="1">'预评函-3'!F4</f>
        <v>4088</v>
      </c>
    </row>
    <row r="52" spans="1:2" s="1202" customFormat="1">
      <c r="A52" s="1200" t="s">
        <v>552</v>
      </c>
      <c r="B52" s="1201">
        <f ca="1">'预评函-3'!G4</f>
        <v>3072</v>
      </c>
    </row>
    <row r="53" spans="1:2" s="1202" customFormat="1">
      <c r="A53" s="1200" t="s">
        <v>580</v>
      </c>
      <c r="B53" s="1201" t="str">
        <f ca="1">'预评函-3'!F5</f>
        <v>肆仟零捌拾捌万元整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J33" sqref="J3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7" t="s">
        <v>2583</v>
      </c>
      <c r="J2" s="3517"/>
      <c r="K2" s="3517"/>
      <c r="L2" s="3517"/>
      <c r="M2" s="3517"/>
      <c r="N2" s="3517"/>
      <c r="O2" s="3517"/>
      <c r="P2" s="3517"/>
      <c r="Q2" s="3517"/>
      <c r="R2" s="3517"/>
    </row>
    <row r="3" spans="1:18">
      <c r="A3" s="3019" t="s">
        <v>2504</v>
      </c>
      <c r="B3" s="3020">
        <f>项目基本情况!D3</f>
        <v>45483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2.44</v>
      </c>
      <c r="D5" s="3024">
        <f>IF(ISERROR(ROUND(POWER(1+E5,A5-C5)*(POWER(1+E5,C5)-1)/(POWER(1+E5,A5)-1),3)),0,ROUND(POWER(1+E5,A5-C5)*(POWER(1+E5,C5)-1)/(POWER(1+E5,A5)-1),4))</f>
        <v>0.1153</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12.45</v>
      </c>
      <c r="D6" s="3024">
        <f>IF(ISERROR(ROUND(POWER(1+E6,A6-C6)*(POWER(1+E6,C6)-1)/(POWER(1+E6,A6)-1),3)),0,ROUND(POWER(1+E6,A6-C6)*(POWER(1+E6,C6)-1)/(POWER(1+E6,A6)-1),4))</f>
        <v>0.4496</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32.46</v>
      </c>
      <c r="D7" s="3024">
        <f>IF(ISERROR(ROUND(POWER(1+E7,A7-C7)*(POWER(1+E7,C7)-1)/(POWER(1+E7,A7)-1),3)),0,ROUND(POWER(1+E7,A7-C7)*(POWER(1+E7,C7)-1)/(POWER(1+E7,A7)-1),4))</f>
        <v>0.76949999999999996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50</v>
      </c>
      <c r="C11" s="3022" t="s">
        <v>2513</v>
      </c>
      <c r="D11" s="3028">
        <v>4.4999999999999998E-2</v>
      </c>
      <c r="E11" s="3022" t="s">
        <v>2514</v>
      </c>
      <c r="F11" s="3029">
        <f>ROUND(1-(1/(POWER(1+D11,B11))),4)</f>
        <v>0.88929999999999998</v>
      </c>
    </row>
    <row r="12" spans="1:18">
      <c r="A12" s="3019" t="s">
        <v>2515</v>
      </c>
      <c r="B12" s="3027">
        <v>20</v>
      </c>
      <c r="C12" s="3022" t="s">
        <v>2516</v>
      </c>
      <c r="D12" s="3028">
        <v>4.4999999999999998E-2</v>
      </c>
      <c r="E12" s="3022" t="s">
        <v>2517</v>
      </c>
      <c r="F12" s="3029">
        <f>ROUND(1-(1/(POWER(1+D12,B12))),4)</f>
        <v>0.58540000000000003</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3291.35</v>
      </c>
      <c r="C15" s="3022">
        <f>ROUND(F12/F11,4)</f>
        <v>0.6583</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7307.03</v>
      </c>
      <c r="C18" s="3031">
        <f>ROUND(F11/F12,4)</f>
        <v>1.5190999999999999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45483</v>
      </c>
      <c r="C3" s="2373" t="s">
        <v>2170</v>
      </c>
      <c r="D3" s="2372">
        <f>B3</f>
        <v>45483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t="s">
        <v>3489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21"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2"/>
      <c r="E9" s="2393" t="s">
        <v>43</v>
      </c>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57409</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32.67</v>
      </c>
      <c r="I15" s="2409" t="str">
        <f>IF(A13="出让",IF(I13="","",ROUNDDOWN(MIN((I13-$D$3)/365,I14),2)),I14)</f>
        <v/>
      </c>
      <c r="J15" s="3063"/>
      <c r="K15" s="2450"/>
      <c r="L15" s="2450"/>
      <c r="M15" s="2508"/>
      <c r="N15" s="2450"/>
      <c r="O15" s="2508"/>
      <c r="P15" s="2438"/>
      <c r="Q15" s="2438"/>
      <c r="AD15" s="1744"/>
    </row>
    <row r="16" spans="1:30">
      <c r="A16" s="2399" t="s">
        <v>2192</v>
      </c>
      <c r="B16" s="3528"/>
      <c r="C16" s="3529"/>
      <c r="D16" s="3530"/>
      <c r="E16" s="2412" t="s">
        <v>2193</v>
      </c>
      <c r="F16" s="3531"/>
      <c r="G16" s="3532"/>
      <c r="H16" s="3532"/>
      <c r="I16" s="3533"/>
      <c r="J16" s="2438"/>
      <c r="K16" s="2616"/>
      <c r="L16" s="2450"/>
      <c r="M16" s="2450"/>
      <c r="N16" s="2508"/>
      <c r="O16" s="2450"/>
      <c r="P16" s="2508"/>
      <c r="Q16" s="2438"/>
      <c r="R16" s="2438"/>
    </row>
    <row r="17" spans="1:28">
      <c r="A17" s="313" t="s">
        <v>2194</v>
      </c>
      <c r="B17" s="302" t="s">
        <v>2195</v>
      </c>
      <c r="C17" s="8">
        <f>'数据-汇总表'!E3</f>
        <v>13305.62</v>
      </c>
      <c r="D17" s="2321" t="s">
        <v>2196</v>
      </c>
      <c r="E17" s="3534" t="s">
        <v>2197</v>
      </c>
      <c r="F17" s="3535"/>
      <c r="G17" s="3535"/>
      <c r="H17" s="3535"/>
      <c r="I17" s="353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21428.52</v>
      </c>
      <c r="D18" s="1092" t="s">
        <v>2200</v>
      </c>
      <c r="E18" s="3537" t="s">
        <v>2201</v>
      </c>
      <c r="F18" s="3538"/>
      <c r="G18" s="3538"/>
      <c r="H18" s="3538"/>
      <c r="I18" s="353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4" t="s">
        <v>2205</v>
      </c>
      <c r="C20" s="3525"/>
      <c r="D20" s="3526" t="s">
        <v>2206</v>
      </c>
      <c r="E20" s="3527"/>
      <c r="F20" s="2646" t="s">
        <v>1056</v>
      </c>
      <c r="G20" s="2663"/>
      <c r="H20" s="2663"/>
      <c r="I20" s="2663"/>
      <c r="J20" s="2438"/>
      <c r="K20" s="352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2"/>
      <c r="B30" s="302" t="s">
        <v>2217</v>
      </c>
      <c r="C30" s="3543"/>
      <c r="D30" s="3544"/>
      <c r="E30" s="2663"/>
      <c r="F30" s="2663"/>
      <c r="G30" s="2663"/>
      <c r="H30" s="2663"/>
      <c r="I30" s="2663"/>
      <c r="J30" s="2438"/>
      <c r="K30" s="2615"/>
      <c r="L30" s="2612"/>
      <c r="M30" s="2612"/>
      <c r="N30" s="2438"/>
      <c r="O30" s="2449"/>
      <c r="P30" s="2438"/>
      <c r="Q30" s="2438"/>
      <c r="R30" s="2438"/>
      <c r="S30" s="2438"/>
      <c r="T30" s="2438"/>
      <c r="U30" s="2438"/>
      <c r="V30" s="2438"/>
    </row>
    <row r="31" spans="1:28">
      <c r="A31" s="3545"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0" t="s">
        <v>2227</v>
      </c>
      <c r="T34" s="2427" t="str">
        <f>NUMBERSTRING(7-K34,1)&amp;"通"</f>
        <v>七通</v>
      </c>
      <c r="U34" s="2438"/>
      <c r="V34" s="2438"/>
    </row>
    <row r="35" spans="1:30">
      <c r="A35" s="2428"/>
      <c r="B35" s="3547" t="s">
        <v>2228</v>
      </c>
      <c r="C35" s="3547"/>
      <c r="D35" s="3547"/>
      <c r="E35" s="354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8" t="s">
        <v>1108</v>
      </c>
      <c r="F2" s="2658"/>
      <c r="G2" s="2649"/>
      <c r="H2" s="2650"/>
      <c r="I2" s="2324" t="s">
        <v>1132</v>
      </c>
      <c r="J2" s="2658"/>
      <c r="K2" s="2658"/>
      <c r="L2" s="2658"/>
      <c r="M2" s="2658"/>
      <c r="N2" s="2660"/>
      <c r="O2" s="2658"/>
      <c r="P2" s="2658"/>
    </row>
    <row r="3" spans="1:16" ht="15.75" thickBot="1">
      <c r="A3" s="3558" t="s">
        <v>1105</v>
      </c>
      <c r="B3" s="3558"/>
      <c r="C3" s="3558"/>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59"/>
      <c r="B4" s="3560"/>
      <c r="C4" s="3561"/>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62" t="s">
        <v>1110</v>
      </c>
      <c r="C5" s="3562"/>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62" t="s">
        <v>1111</v>
      </c>
      <c r="C6" s="3562"/>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54"/>
      <c r="B7" s="3555"/>
      <c r="C7" s="3556"/>
      <c r="D7" s="1640" t="s">
        <v>1107</v>
      </c>
      <c r="E7" s="1644" t="s">
        <v>1114</v>
      </c>
      <c r="F7" s="2658"/>
      <c r="G7" s="2654" t="s">
        <v>1115</v>
      </c>
      <c r="H7" s="2655"/>
      <c r="I7" s="2656">
        <v>0.91</v>
      </c>
      <c r="J7" s="2658"/>
      <c r="K7" s="3825" t="s">
        <v>3493</v>
      </c>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51" t="s">
        <v>1135</v>
      </c>
      <c r="L16" s="3552"/>
      <c r="M16" s="3552"/>
      <c r="N16" s="3552"/>
      <c r="O16" s="3552"/>
      <c r="P16" s="3553"/>
    </row>
    <row r="17" spans="1:19" ht="15">
      <c r="A17" s="1649" t="s">
        <v>1136</v>
      </c>
      <c r="B17" s="1650" t="s">
        <v>1137</v>
      </c>
      <c r="C17" s="1651" t="s">
        <v>1138</v>
      </c>
      <c r="D17" s="1652" t="s">
        <v>1126</v>
      </c>
      <c r="E17" s="1653" t="s">
        <v>1127</v>
      </c>
      <c r="F17" s="1654"/>
      <c r="G17" s="1655"/>
      <c r="H17" s="1656" t="s">
        <v>1139</v>
      </c>
      <c r="I17" s="1657" t="s">
        <v>1124</v>
      </c>
      <c r="J17" s="1139"/>
      <c r="K17" s="3548" t="s">
        <v>1140</v>
      </c>
      <c r="L17" s="3549"/>
      <c r="M17" s="3550"/>
      <c r="N17" s="3548" t="s">
        <v>1141</v>
      </c>
      <c r="O17" s="3549"/>
      <c r="P17" s="355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45483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32.67</v>
      </c>
      <c r="G6" s="65">
        <f>IF(ISERROR(ROUND(POWER(1+H6,D6-F6)*(POWER(1+H6,F6)-1)/(POWER(1+H6,D6)-1),3)),0,ROUND(POWER(1+H6,D6-F6)*(POWER(1+H6,F6)-1)/(POWER(1+H6,D6)-1),3))</f>
        <v>0.85799999999999998</v>
      </c>
      <c r="H6" s="732">
        <v>4.4999999999999998E-2</v>
      </c>
      <c r="I6" s="732">
        <v>0.05</v>
      </c>
      <c r="J6" s="66">
        <v>7.0000000000000007E-2</v>
      </c>
      <c r="K6" s="1030">
        <f>SUMIF('数据-汇总表'!C$19:C$33,A6,'数据-汇总表'!E$19:E$33)</f>
        <v>13305.62</v>
      </c>
      <c r="L6" s="733">
        <v>3000</v>
      </c>
      <c r="M6" s="67">
        <f t="shared" ref="M6:M14" si="0">ROUND(K6*L6/10000,0)</f>
        <v>3992</v>
      </c>
      <c r="N6" s="731">
        <f>N20</f>
        <v>0.76</v>
      </c>
      <c r="O6" s="67" t="str">
        <f>IF($N$5="成新度","——",ROUND(M6*N6,0))</f>
        <v>——</v>
      </c>
      <c r="P6" s="68" t="str">
        <f>IF($N$5="成新度","——",M6-O6)</f>
        <v>——</v>
      </c>
      <c r="Q6" s="734">
        <v>0.1</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0.76</v>
      </c>
      <c r="Z6" s="72"/>
      <c r="AA6" s="66"/>
      <c r="AB6" s="66"/>
      <c r="AC6" s="1040"/>
      <c r="AD6" s="73"/>
      <c r="AE6" s="1041">
        <f ca="1">IF(AN6="",0,SUMIF(INDIRECT("'"&amp;AN6&amp;"'"&amp;"!E:E"),$AE$5,INDIRECT("'"&amp;AN6&amp;"'"&amp;"!F:F")))</f>
        <v>32.67</v>
      </c>
      <c r="AF6" s="1347"/>
      <c r="AG6" s="138">
        <f>IF(AF6="",0,AE6-AF6)</f>
        <v>0</v>
      </c>
      <c r="AH6" s="74"/>
      <c r="AI6" s="76">
        <v>365</v>
      </c>
      <c r="AJ6" s="77"/>
      <c r="AK6" s="78">
        <v>5.0000000000000001E-3</v>
      </c>
      <c r="AL6" s="79">
        <v>1E-3</v>
      </c>
      <c r="AM6" s="80">
        <v>5.0000000000000001E-3</v>
      </c>
      <c r="AN6" s="1714" t="s">
        <v>3390</v>
      </c>
      <c r="AO6" s="52">
        <f ca="1">SUMIF(INDIRECT("'"&amp;AN6&amp;"'"&amp;"!A:A"),"总价",INDIRECT("'"&amp;AN6&amp;"'"&amp;"!B:B"))</f>
        <v>8389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0.85799999999999998</v>
      </c>
      <c r="H16" s="90">
        <f>ROUND(SUMPRODUCT(H6:H13,K6:K13)/SUMPRODUCT((H6:H13&gt;0)*(K6:K13)),3)</f>
        <v>4.4999999999999998E-2</v>
      </c>
      <c r="I16" s="91"/>
      <c r="J16" s="91"/>
      <c r="K16" s="92">
        <f>SUM(K6:K15)</f>
        <v>13305.62</v>
      </c>
      <c r="L16" s="93">
        <f>ROUND(M16*10000/SUM(K6:K14),0)</f>
        <v>3000</v>
      </c>
      <c r="M16" s="93">
        <f>SUM(M6:M14)</f>
        <v>3992</v>
      </c>
      <c r="N16" s="94">
        <f>ROUND(SUMPRODUCT(M6:M14,N6:N14)/M16,3)</f>
        <v>0.76</v>
      </c>
      <c r="O16" s="93">
        <f>SUM(O6:O14)</f>
        <v>0</v>
      </c>
      <c r="P16" s="93">
        <f>SUM(P6:P14)</f>
        <v>0</v>
      </c>
      <c r="Q16" s="95">
        <f>ROUND(SUMPRODUCT(Q6:Q13,K6:K13)/SUMPRODUCT((Q6:Q13&gt;0)*(K6:K13)),2)</f>
        <v>0.1</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826" t="s">
        <v>3494</v>
      </c>
      <c r="N18" s="2670">
        <f>ROUND(1-(1-2%)*(2024-2003)/70,2)</f>
        <v>0.71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3826" t="s">
        <v>3495</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ROUND((N18+N19)/2,2)</f>
        <v>0.76</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3" t="s">
        <v>2285</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45483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8571</v>
      </c>
      <c r="C5" s="2511">
        <f ca="1">IF(B5=D14,结果表!H102,ROUND(B5*10000/$B$1,0))</f>
        <v>6442</v>
      </c>
      <c r="D5" s="2511">
        <f ca="1">ROUND(B5*10000/$B$2,0)</f>
        <v>4000</v>
      </c>
      <c r="E5" s="2685"/>
      <c r="F5" s="2686"/>
      <c r="G5" s="2686"/>
      <c r="H5" s="2687"/>
      <c r="I5" s="2687"/>
      <c r="J5" s="2687"/>
      <c r="K5" s="2687"/>
    </row>
    <row r="6" spans="1:11" ht="16.5">
      <c r="A6" s="2511" t="s">
        <v>656</v>
      </c>
      <c r="B6" s="2511">
        <f ca="1">SUM(G14:G23)</f>
        <v>8571</v>
      </c>
      <c r="C6" s="2511">
        <f ca="1">IF(B6=G14,结果表!H108,ROUND(B6*10000/$B$1,0))</f>
        <v>6442</v>
      </c>
      <c r="D6" s="2511">
        <f ca="1">ROUND(B6*10000/$B$2,0)</f>
        <v>4000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8571</v>
      </c>
      <c r="E14" s="2517">
        <f ca="1">ROUND(D14*10000/B14,0)</f>
        <v>6442</v>
      </c>
      <c r="F14" s="2517">
        <f ca="1">ROUND(D14*10000/C14,0)</f>
        <v>4000</v>
      </c>
      <c r="G14" s="2517">
        <f ca="1">D14</f>
        <v>8571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124" sqref="D124:I1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3" t="s">
        <v>1265</v>
      </c>
      <c r="B4" s="1754" t="s">
        <v>1266</v>
      </c>
      <c r="C4" s="1755" t="s">
        <v>3401</v>
      </c>
      <c r="D4" s="1755" t="s">
        <v>3390</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635">
        <v>25</v>
      </c>
      <c r="C5" s="3638"/>
      <c r="D5" s="3626"/>
      <c r="E5" s="131" t="s">
        <v>1269</v>
      </c>
      <c r="F5" s="1756"/>
      <c r="G5" s="1756"/>
      <c r="H5" s="1756"/>
      <c r="I5" s="1372"/>
    </row>
    <row r="6" spans="1:12" ht="12.75">
      <c r="A6" s="3580"/>
      <c r="B6" s="3635"/>
      <c r="C6" s="3640"/>
      <c r="D6" s="3626"/>
      <c r="E6" s="131" t="s">
        <v>1270</v>
      </c>
      <c r="F6" s="1756"/>
      <c r="G6" s="1756"/>
      <c r="H6" s="1756"/>
      <c r="I6" s="1372"/>
    </row>
    <row r="7" spans="1:12" ht="12.75">
      <c r="A7" s="3580"/>
      <c r="B7" s="3635"/>
      <c r="C7" s="3639"/>
      <c r="D7" s="3626"/>
      <c r="E7" s="131" t="s">
        <v>1271</v>
      </c>
      <c r="F7" s="1756"/>
      <c r="G7" s="1756"/>
      <c r="H7" s="1756"/>
      <c r="I7" s="1372"/>
    </row>
    <row r="8" spans="1:12" ht="12.75">
      <c r="A8" s="3580" t="s">
        <v>1272</v>
      </c>
      <c r="B8" s="3635">
        <v>15</v>
      </c>
      <c r="C8" s="3638"/>
      <c r="D8" s="3626"/>
      <c r="E8" s="131" t="s">
        <v>1273</v>
      </c>
      <c r="F8" s="1756"/>
      <c r="G8" s="1756"/>
      <c r="H8" s="1756"/>
      <c r="I8" s="1372"/>
    </row>
    <row r="9" spans="1:12" ht="12.75">
      <c r="A9" s="3580"/>
      <c r="B9" s="3635"/>
      <c r="C9" s="3639"/>
      <c r="D9" s="3626"/>
      <c r="E9" s="131" t="s">
        <v>1274</v>
      </c>
      <c r="F9" s="1756"/>
      <c r="G9" s="1756"/>
      <c r="H9" s="1756"/>
      <c r="I9" s="1372"/>
    </row>
    <row r="10" spans="1:12" ht="12.75">
      <c r="A10" s="3580" t="s">
        <v>1275</v>
      </c>
      <c r="B10" s="3635">
        <v>15</v>
      </c>
      <c r="C10" s="3638"/>
      <c r="D10" s="3626"/>
      <c r="E10" s="131" t="s">
        <v>1276</v>
      </c>
      <c r="F10" s="1756"/>
      <c r="G10" s="1756"/>
      <c r="H10" s="1756"/>
      <c r="I10" s="1372"/>
    </row>
    <row r="11" spans="1:12" ht="12.75">
      <c r="A11" s="3580"/>
      <c r="B11" s="3635"/>
      <c r="C11" s="3639"/>
      <c r="D11" s="3626"/>
      <c r="E11" s="131" t="s">
        <v>1277</v>
      </c>
      <c r="F11" s="1756"/>
      <c r="G11" s="1756"/>
      <c r="H11" s="1756"/>
      <c r="I11" s="1372"/>
    </row>
    <row r="12" spans="1:12" ht="12.75">
      <c r="A12" s="3580" t="s">
        <v>1278</v>
      </c>
      <c r="B12" s="3635">
        <v>15</v>
      </c>
      <c r="C12" s="3638"/>
      <c r="D12" s="3626"/>
      <c r="E12" s="131" t="s">
        <v>1279</v>
      </c>
      <c r="F12" s="1756"/>
      <c r="G12" s="1756"/>
      <c r="H12" s="1756"/>
      <c r="I12" s="1372"/>
    </row>
    <row r="13" spans="1:12" ht="12.75">
      <c r="A13" s="3580"/>
      <c r="B13" s="3635"/>
      <c r="C13" s="3639"/>
      <c r="D13" s="3626"/>
      <c r="E13" s="131" t="s">
        <v>1280</v>
      </c>
      <c r="F13" s="1756"/>
      <c r="G13" s="1756"/>
      <c r="H13" s="1756"/>
      <c r="I13" s="1372"/>
    </row>
    <row r="14" spans="1:12" ht="12.75">
      <c r="A14" s="3580" t="s">
        <v>1281</v>
      </c>
      <c r="B14" s="3635">
        <v>30</v>
      </c>
      <c r="C14" s="3638">
        <v>5</v>
      </c>
      <c r="D14" s="3626">
        <v>5</v>
      </c>
      <c r="E14" s="131" t="s">
        <v>1282</v>
      </c>
      <c r="F14" s="1756"/>
      <c r="G14" s="1756"/>
      <c r="H14" s="1756"/>
      <c r="I14" s="1372"/>
    </row>
    <row r="15" spans="1:12" ht="12.75">
      <c r="A15" s="3580"/>
      <c r="B15" s="3635"/>
      <c r="C15" s="3640"/>
      <c r="D15" s="3626"/>
      <c r="E15" s="131" t="s">
        <v>1283</v>
      </c>
      <c r="F15" s="1756"/>
      <c r="G15" s="1756"/>
      <c r="H15" s="1756"/>
      <c r="I15" s="1372"/>
    </row>
    <row r="16" spans="1:12" ht="12.75">
      <c r="A16" s="3580"/>
      <c r="B16" s="3635"/>
      <c r="C16" s="3639"/>
      <c r="D16" s="362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7" t="s">
        <v>2130</v>
      </c>
      <c r="F18" s="3658"/>
      <c r="G18" s="3658"/>
      <c r="H18" s="3658"/>
      <c r="I18" s="3658"/>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8752</v>
      </c>
      <c r="D19" s="135">
        <f ca="1">SUMIF(INDIRECT("'"&amp;D4&amp;"'"&amp;"!A:A"),结果表!B19,INDIRECT("'"&amp;D4&amp;"'"&amp;"!B:B"))</f>
        <v>8389</v>
      </c>
      <c r="E19" s="1760" t="s">
        <v>1292</v>
      </c>
      <c r="F19" s="1761" t="s">
        <v>1291</v>
      </c>
      <c r="G19" s="136">
        <f ca="1">ROUND(C19*$C$18+D19*$D$18,0)</f>
        <v>8571</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6578</v>
      </c>
      <c r="D20" s="138">
        <f ca="1">SUMIF(INDIRECT("'"&amp;D4&amp;"'"&amp;"!A:A"),结果表!B20,INDIRECT("'"&amp;D4&amp;"'"&amp;"!B:B"))</f>
        <v>6305</v>
      </c>
      <c r="E20" s="1763"/>
      <c r="F20" s="1026" t="s">
        <v>1295</v>
      </c>
      <c r="G20" s="139">
        <f ca="1">ROUND(C20*$C$18+D20*$D$18,0)</f>
        <v>6442</v>
      </c>
      <c r="H20" s="808" t="s">
        <v>1296</v>
      </c>
      <c r="I20" s="129"/>
    </row>
    <row r="21" spans="1:36" ht="15" customHeight="1" thickBot="1">
      <c r="A21" s="828"/>
      <c r="B21" s="1764" t="s">
        <v>1297</v>
      </c>
      <c r="C21" s="719">
        <f ca="1">ROUND(C19*10000/L19,0)</f>
        <v>4084</v>
      </c>
      <c r="D21" s="720">
        <f ca="1">ROUND(D19*10000/L19,0)</f>
        <v>3915</v>
      </c>
      <c r="E21" s="828"/>
      <c r="F21" s="1764" t="s">
        <v>1297</v>
      </c>
      <c r="G21" s="140">
        <f ca="1">ROUND(G19*10000/L19,0)</f>
        <v>4000</v>
      </c>
      <c r="H21" s="1765" t="s">
        <v>1296</v>
      </c>
      <c r="I21" s="129"/>
    </row>
    <row r="22" spans="1:36" ht="15" thickBot="1">
      <c r="A22" s="1687" t="s">
        <v>1298</v>
      </c>
      <c r="B22" s="1766"/>
      <c r="C22" s="1767"/>
      <c r="D22" s="721">
        <f ca="1">IF(C19&lt;D19,D19/C19-1,C19/D19-1)</f>
        <v>4.3270950053641677E-2</v>
      </c>
      <c r="E22" s="129"/>
      <c r="F22" s="129"/>
      <c r="G22" s="129"/>
      <c r="H22" s="129"/>
      <c r="I22" s="129"/>
    </row>
    <row r="23" spans="1:36" ht="13.5" thickBot="1">
      <c r="A23" s="1746"/>
      <c r="B23" s="1746"/>
      <c r="C23" s="1746"/>
      <c r="D23" s="1746"/>
      <c r="E23" s="129"/>
      <c r="F23" s="129"/>
      <c r="G23" s="129"/>
      <c r="H23" s="129"/>
      <c r="I23" s="129"/>
    </row>
    <row r="24" spans="1:36" ht="14.25">
      <c r="A24" s="3650" t="s">
        <v>1299</v>
      </c>
      <c r="B24" s="1761" t="s">
        <v>1291</v>
      </c>
      <c r="C24" s="136">
        <f>IF(B30=0,0,D30)</f>
        <v>0</v>
      </c>
      <c r="D24" s="1768"/>
      <c r="E24" s="129"/>
      <c r="F24" s="129"/>
      <c r="G24" s="129"/>
      <c r="H24" s="129"/>
      <c r="I24" s="129"/>
    </row>
    <row r="25" spans="1:36" ht="14.25">
      <c r="A25" s="365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8571</v>
      </c>
      <c r="D32" s="1774" t="s">
        <v>3402</v>
      </c>
      <c r="E32" s="129"/>
      <c r="F32" s="129"/>
      <c r="G32" s="129"/>
      <c r="H32" s="129"/>
      <c r="I32" s="129"/>
    </row>
    <row r="33" spans="1:15" ht="15">
      <c r="A33" s="786" t="s">
        <v>1306</v>
      </c>
      <c r="B33" s="1775"/>
      <c r="C33" s="1776" t="s">
        <v>3403</v>
      </c>
      <c r="D33" s="1777" t="s">
        <v>3401</v>
      </c>
      <c r="E33" s="1778" t="s">
        <v>1307</v>
      </c>
      <c r="F33" s="1779" t="str">
        <f>IF(D32="楼面单价","取值（单价）","取值（总价）")</f>
        <v>取值（总价）</v>
      </c>
      <c r="G33" s="129"/>
      <c r="H33" s="129"/>
      <c r="I33" s="129"/>
    </row>
    <row r="34" spans="1:15" ht="15">
      <c r="A34" s="1780"/>
      <c r="B34" s="1781" t="s">
        <v>1308</v>
      </c>
      <c r="C34" s="148">
        <f ca="1">IF(C33="自定义",F34,C32-C35)</f>
        <v>4483</v>
      </c>
      <c r="D34" s="861">
        <f ca="1">IF(C33="自定义",ROUND(C34/C32,3),IF(C33="收益比率",SUMIF(INDIRECT("'"&amp;D33&amp;"'"&amp;"!b:b"),"土地收益比率",INDIRECT("'"&amp;D33&amp;"'"&amp;"!c:c")),SUMIF(INDIRECT("'"&amp;D33&amp;"'"&amp;"!b:b"),"土地成本比率",INDIRECT("'"&amp;D33&amp;"'"&amp;"!c:c"))))</f>
        <v>0.52300000000000002</v>
      </c>
      <c r="E34" s="1782" t="s">
        <v>1309</v>
      </c>
      <c r="F34" s="1329"/>
      <c r="G34" s="129"/>
      <c r="H34" s="129"/>
      <c r="I34" s="129"/>
    </row>
    <row r="35" spans="1:15" ht="15.75" thickBot="1">
      <c r="A35" s="1783"/>
      <c r="B35" s="1784" t="s">
        <v>1310</v>
      </c>
      <c r="C35" s="1170">
        <f ca="1">IF(C33="自定义",F35,ROUND(C32*D35,0))</f>
        <v>4088</v>
      </c>
      <c r="D35" s="1171">
        <f ca="1">IF(C33="自定义",ROUND(C35/C32,3),IF(C33="收益比率",SUMIF(INDIRECT("'"&amp;D33&amp;"'"&amp;"!b:b"),"建筑物收益比率",INDIRECT("'"&amp;D33&amp;"'"&amp;"!c:c")),SUMIF(INDIRECT("'"&amp;D33&amp;"'"&amp;"!b:b"),"建筑物成本比率",INDIRECT("'"&amp;D33&amp;"'"&amp;"!c:c"))))</f>
        <v>0.47699999999999998</v>
      </c>
      <c r="E35" s="1785" t="s">
        <v>1311</v>
      </c>
      <c r="F35" s="154"/>
      <c r="G35" s="129"/>
      <c r="H35" s="129"/>
      <c r="I35" s="129"/>
    </row>
    <row r="36" spans="1:15" ht="15.75" thickBot="1">
      <c r="A36" s="3627" t="s">
        <v>1312</v>
      </c>
      <c r="B36" s="1786" t="s">
        <v>1313</v>
      </c>
      <c r="C36" s="145"/>
      <c r="D36" s="1787"/>
      <c r="E36" s="1788"/>
      <c r="F36" s="1789"/>
      <c r="G36" s="129"/>
      <c r="H36" s="129"/>
      <c r="I36" s="129"/>
    </row>
    <row r="37" spans="1:15" ht="15.75" thickBot="1">
      <c r="A37" s="3628"/>
      <c r="B37" s="1673" t="s">
        <v>1314</v>
      </c>
      <c r="C37" s="147"/>
      <c r="D37" s="1139"/>
      <c r="E37" s="1139"/>
      <c r="F37" s="1789"/>
      <c r="G37" s="129"/>
      <c r="H37" s="129"/>
      <c r="I37" s="129"/>
    </row>
    <row r="38" spans="1:15" ht="15.75" thickBot="1">
      <c r="A38" s="362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7" t="s">
        <v>1326</v>
      </c>
      <c r="B45" s="3648"/>
      <c r="C45" s="3649"/>
      <c r="D45" s="155">
        <f ca="1">ROUND(H101*F45,0)</f>
        <v>8571</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5"/>
      <c r="I46" s="159"/>
      <c r="J46" s="2522">
        <v>1</v>
      </c>
      <c r="K46" s="3568" t="s">
        <v>1331</v>
      </c>
      <c r="L46" s="3568"/>
      <c r="M46" s="3569"/>
      <c r="N46" s="3569"/>
      <c r="O46" s="3569"/>
    </row>
    <row r="47" spans="1:15" ht="12" customHeight="1">
      <c r="A47" s="160" t="s">
        <v>1332</v>
      </c>
      <c r="B47" s="161"/>
      <c r="C47" s="162"/>
      <c r="D47" s="1087" t="s">
        <v>1333</v>
      </c>
      <c r="E47" s="302" t="s">
        <v>1334</v>
      </c>
      <c r="F47" s="163" t="s">
        <v>1335</v>
      </c>
      <c r="G47" s="2545" t="s">
        <v>1336</v>
      </c>
      <c r="H47" s="2546"/>
      <c r="I47" s="159"/>
      <c r="J47" s="2522">
        <v>2</v>
      </c>
      <c r="K47" s="3568" t="s">
        <v>1337</v>
      </c>
      <c r="L47" s="3568"/>
      <c r="M47" s="3570">
        <f>'数据-取费表'!B2</f>
        <v>45483</v>
      </c>
      <c r="N47" s="3570"/>
      <c r="O47" s="3570"/>
    </row>
    <row r="48" spans="1:15" ht="25.5">
      <c r="A48" s="3630" t="s">
        <v>1338</v>
      </c>
      <c r="B48" s="3631"/>
      <c r="C48" s="363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8" t="s">
        <v>1340</v>
      </c>
      <c r="L48" s="3568"/>
      <c r="M48" s="3571">
        <f ca="1">H101</f>
        <v>8571</v>
      </c>
      <c r="N48" s="3571"/>
      <c r="O48" s="3571"/>
    </row>
    <row r="49" spans="1:35" ht="25.5" customHeight="1">
      <c r="A49" s="2332" t="s">
        <v>1341</v>
      </c>
      <c r="B49" s="3616" t="s">
        <v>1342</v>
      </c>
      <c r="C49" s="3616"/>
      <c r="D49" s="1589">
        <v>0</v>
      </c>
      <c r="E49" s="324" t="s">
        <v>1343</v>
      </c>
      <c r="F49" s="2423" t="s">
        <v>28</v>
      </c>
      <c r="G49" s="3599"/>
      <c r="H49" s="2309" t="s">
        <v>2133</v>
      </c>
      <c r="I49" s="2310"/>
      <c r="J49" s="2522">
        <v>4</v>
      </c>
      <c r="K49" s="3568" t="str">
        <f>IF(项目基本情况!E8="房地产抵押价值","房地产抵押价值","抵押担保权已注销时的房地产抵押价值")</f>
        <v>房地产抵押价值</v>
      </c>
      <c r="L49" s="3568"/>
      <c r="M49" s="3571">
        <f ca="1">IF(项目基本情况!E8="房地产抵押价值",H107,H109)</f>
        <v>8571</v>
      </c>
      <c r="N49" s="3571"/>
      <c r="O49" s="3571"/>
    </row>
    <row r="50" spans="1:35" ht="25.5" customHeight="1">
      <c r="A50" s="2550"/>
      <c r="B50" s="3616" t="s">
        <v>1344</v>
      </c>
      <c r="C50" s="3616"/>
      <c r="D50" s="2551"/>
      <c r="E50" s="332"/>
      <c r="F50" s="2423"/>
      <c r="G50" s="3600"/>
      <c r="H50" s="2311" t="s">
        <v>2134</v>
      </c>
      <c r="I50" s="2310"/>
      <c r="J50" s="3567" t="s">
        <v>1345</v>
      </c>
      <c r="K50" s="3567"/>
      <c r="L50" s="3567"/>
      <c r="M50" s="3567"/>
      <c r="N50" s="3567"/>
      <c r="O50" s="3567"/>
    </row>
    <row r="51" spans="1:35" ht="20.45" customHeight="1">
      <c r="A51" s="2552"/>
      <c r="B51" s="3616" t="s">
        <v>1346</v>
      </c>
      <c r="C51" s="3616"/>
      <c r="D51" s="1087"/>
      <c r="E51" s="327"/>
      <c r="F51" s="2423"/>
      <c r="G51" s="3601"/>
      <c r="H51" s="2311" t="s">
        <v>2135</v>
      </c>
      <c r="I51" s="2310"/>
      <c r="J51" s="2523" t="s">
        <v>1347</v>
      </c>
      <c r="K51" s="3568" t="s">
        <v>1348</v>
      </c>
      <c r="L51" s="3568"/>
      <c r="M51" s="2523" t="s">
        <v>1349</v>
      </c>
      <c r="N51" s="2523" t="s">
        <v>1350</v>
      </c>
      <c r="O51" s="2523" t="s">
        <v>1351</v>
      </c>
    </row>
    <row r="52" spans="1:35" ht="24" customHeight="1">
      <c r="A52" s="2334" t="s">
        <v>1352</v>
      </c>
      <c r="B52" s="3616" t="s">
        <v>1353</v>
      </c>
      <c r="C52" s="3616"/>
      <c r="D52" s="1087">
        <f ca="1">ROUND(D45*'数据-取费表'!B41/(1+'数据-取费表'!C42),0)</f>
        <v>449</v>
      </c>
      <c r="E52" s="2333" t="s">
        <v>1354</v>
      </c>
      <c r="F52" s="2553">
        <f>'数据-取费表'!B41</f>
        <v>5.5000000000000007E-2</v>
      </c>
      <c r="G52" s="2554"/>
      <c r="H52" s="2543"/>
      <c r="I52" s="1806"/>
      <c r="J52" s="2522">
        <v>1</v>
      </c>
      <c r="K52" s="3593" t="s">
        <v>1355</v>
      </c>
      <c r="L52" s="3593"/>
      <c r="M52" s="2524" t="b">
        <f>D48</f>
        <v>0</v>
      </c>
      <c r="N52" s="2522" t="str">
        <f>E48</f>
        <v>销售额×税（费）率</v>
      </c>
      <c r="O52" s="2525">
        <f>F48</f>
        <v>5.5000000000000007E-2</v>
      </c>
    </row>
    <row r="53" spans="1:35" ht="12" customHeight="1">
      <c r="A53" s="2334" t="s">
        <v>1356</v>
      </c>
      <c r="B53" s="3617" t="s">
        <v>2290</v>
      </c>
      <c r="C53" s="3618"/>
      <c r="D53" s="1087">
        <f ca="1">ROUND(D45*'数据-取费表'!B41/(1+'数据-取费表'!C42),0)</f>
        <v>449</v>
      </c>
      <c r="E53" s="2333" t="s">
        <v>1354</v>
      </c>
      <c r="F53" s="2553">
        <f>'数据-取费表'!B41</f>
        <v>5.5000000000000007E-2</v>
      </c>
      <c r="G53" s="2554"/>
      <c r="H53" s="2543"/>
      <c r="I53" s="1806"/>
      <c r="J53" s="2522">
        <v>2</v>
      </c>
      <c r="K53" s="3593" t="s">
        <v>1357</v>
      </c>
      <c r="L53" s="3593"/>
      <c r="M53" s="2524">
        <f t="shared" ref="M53:O54" ca="1" si="0">D55</f>
        <v>4</v>
      </c>
      <c r="N53" s="2522" t="str">
        <f t="shared" si="0"/>
        <v>销售额×税（费）率</v>
      </c>
      <c r="O53" s="2525" t="str">
        <f t="shared" si="0"/>
        <v>免征</v>
      </c>
    </row>
    <row r="54" spans="1:35" ht="12" customHeight="1">
      <c r="A54" s="2334" t="s">
        <v>1358</v>
      </c>
      <c r="B54" s="3617" t="s">
        <v>2291</v>
      </c>
      <c r="C54" s="3618"/>
      <c r="D54" s="1087">
        <f ca="1">C68</f>
        <v>449</v>
      </c>
      <c r="E54" s="327" t="s">
        <v>1359</v>
      </c>
      <c r="F54" s="2553">
        <f>'数据-取费表'!B41</f>
        <v>5.5000000000000007E-2</v>
      </c>
      <c r="G54" s="2554"/>
      <c r="H54" s="2555"/>
      <c r="I54" s="1806"/>
      <c r="J54" s="2522">
        <v>3</v>
      </c>
      <c r="K54" s="3593" t="s">
        <v>1360</v>
      </c>
      <c r="L54" s="3593"/>
      <c r="M54" s="2524">
        <f t="shared" ca="1" si="0"/>
        <v>4859</v>
      </c>
      <c r="N54" s="2522" t="str">
        <f t="shared" si="0"/>
        <v>增值额×税（费）率</v>
      </c>
      <c r="O54" s="2526" t="str">
        <f t="shared" si="0"/>
        <v>免征</v>
      </c>
    </row>
    <row r="55" spans="1:35" ht="24" customHeight="1">
      <c r="A55" s="3653" t="s">
        <v>1361</v>
      </c>
      <c r="B55" s="3631"/>
      <c r="C55" s="3631"/>
      <c r="D55" s="2323">
        <f ca="1">IF(H55="个人住宅",0,ROUND(D45*I55,0))</f>
        <v>4</v>
      </c>
      <c r="E55" s="2333" t="s">
        <v>1362</v>
      </c>
      <c r="F55" s="2553" t="str">
        <f>IF(H55="正常",I55,"免征")</f>
        <v>免征</v>
      </c>
      <c r="G55" s="2554"/>
      <c r="H55" s="2549"/>
      <c r="I55" s="165">
        <f>'数据-取费表'!B49</f>
        <v>5.0000000000000001E-4</v>
      </c>
      <c r="J55" s="2522">
        <f>IF(H59="非个人房产","",4)</f>
        <v>4</v>
      </c>
      <c r="K55" s="3593" t="str">
        <f>IF(H59="非个人房产","——","个人所得税")</f>
        <v>个人所得税</v>
      </c>
      <c r="L55" s="3593"/>
      <c r="M55" s="2527">
        <f ca="1">D59</f>
        <v>82</v>
      </c>
      <c r="N55" s="2039" t="str">
        <f>E59</f>
        <v>差额计税</v>
      </c>
      <c r="O55" s="2528">
        <f>F59</f>
        <v>0.01</v>
      </c>
    </row>
    <row r="56" spans="1:35" ht="24.75">
      <c r="A56" s="3653" t="s">
        <v>1363</v>
      </c>
      <c r="B56" s="3631"/>
      <c r="C56" s="3631"/>
      <c r="D56" s="2323">
        <f ca="1">IF(H56="个人住宅",D57,D58)</f>
        <v>4859</v>
      </c>
      <c r="E56" s="2333" t="s">
        <v>1364</v>
      </c>
      <c r="F56" s="2553" t="str">
        <f>IF(H56="正常",F58,"免征")</f>
        <v>免征</v>
      </c>
      <c r="G56" s="2556" t="s">
        <v>1365</v>
      </c>
      <c r="H56" s="2557"/>
      <c r="I56" s="1807"/>
      <c r="J56" s="2522" t="str">
        <f>IF(项目基本情况!K6="上海银行",IF(J55="",4,J55+1),"")</f>
        <v/>
      </c>
      <c r="K56" s="3574" t="str">
        <f>IF(项目基本情况!K6="上海银行","其他处置费用","")</f>
        <v/>
      </c>
      <c r="L56" s="3575"/>
      <c r="M56" s="2524" t="str">
        <f>IF(项目基本情况!K6="上海银行",M69,"")</f>
        <v/>
      </c>
      <c r="N56" s="3574" t="str">
        <f>IF(项目基本情况!K6="上海银行","包含处置中涉及的律师、诉讼、拍卖、评估等费用","")</f>
        <v/>
      </c>
      <c r="O56" s="3577"/>
    </row>
    <row r="57" spans="1:35" ht="12.75">
      <c r="A57" s="2334" t="s">
        <v>1341</v>
      </c>
      <c r="B57" s="3617" t="s">
        <v>1366</v>
      </c>
      <c r="C57" s="3618"/>
      <c r="D57" s="1589">
        <v>0</v>
      </c>
      <c r="E57" s="324" t="s">
        <v>1343</v>
      </c>
      <c r="F57" s="302"/>
      <c r="G57" s="2554"/>
      <c r="H57" s="2558"/>
      <c r="I57" s="1807"/>
      <c r="J57" s="3593">
        <f>IF(AND(J55="",J56=""),4,IF(项目基本情况!K6="上海银行",结果表!J56+1,结果表!J55+1))</f>
        <v>5</v>
      </c>
      <c r="K57" s="3593" t="s">
        <v>1367</v>
      </c>
      <c r="L57" s="2529" t="s">
        <v>1368</v>
      </c>
      <c r="M57" s="2530"/>
      <c r="N57" s="2531">
        <f ca="1">SUMIF(M52:M56,"&lt;9e307")</f>
        <v>4945</v>
      </c>
      <c r="O57" s="2532"/>
      <c r="P57" s="2689">
        <f ca="1">N57/M49</f>
        <v>0.57694551394236382</v>
      </c>
    </row>
    <row r="58" spans="1:35" ht="24.75">
      <c r="A58" s="2334" t="s">
        <v>1352</v>
      </c>
      <c r="B58" s="3617" t="s">
        <v>1369</v>
      </c>
      <c r="C58" s="3616"/>
      <c r="D58" s="2323">
        <f ca="1">IF(H58="转让取得",C81,C97)</f>
        <v>4859</v>
      </c>
      <c r="E58" s="2333" t="s">
        <v>1364</v>
      </c>
      <c r="F58" s="302" t="s">
        <v>28</v>
      </c>
      <c r="G58" s="2554"/>
      <c r="H58" s="2557"/>
      <c r="I58" s="1807"/>
      <c r="J58" s="3593"/>
      <c r="K58" s="3593"/>
      <c r="L58" s="2529" t="s">
        <v>1370</v>
      </c>
      <c r="M58" s="2533"/>
      <c r="N58" s="2534" t="str">
        <f ca="1">NUMBERSTRING(INT(N57*10000),2)&amp;"元整"</f>
        <v>肆仟玖佰肆拾伍万元整</v>
      </c>
      <c r="O58" s="2535"/>
    </row>
    <row r="59" spans="1:35" ht="24.75" thickBot="1">
      <c r="A59" s="3597" t="s">
        <v>1371</v>
      </c>
      <c r="B59" s="3598"/>
      <c r="C59" s="3598"/>
      <c r="D59" s="2559">
        <f ca="1">IF(H59="非个人房产","——",IF(H59="个人住宅（满五唯一有凭证）",0,IF(H59="个人其他（无凭证）",ROUND(D45*F59,0),ROUND(C67*F59,0))))</f>
        <v>82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5">
        <f>J57+1</f>
        <v>6</v>
      </c>
      <c r="K59" s="3593" t="s">
        <v>1372</v>
      </c>
      <c r="L59" s="2522" t="s">
        <v>1368</v>
      </c>
      <c r="M59" s="2536"/>
      <c r="N59" s="2537">
        <f ca="1">M49-N57</f>
        <v>3626</v>
      </c>
      <c r="O59" s="2538"/>
    </row>
    <row r="60" spans="1:35" ht="12" customHeight="1">
      <c r="A60" s="1808"/>
      <c r="B60" s="1746"/>
      <c r="C60" s="1746"/>
      <c r="D60" s="1746"/>
      <c r="E60" s="1577"/>
      <c r="F60" s="1807"/>
      <c r="G60" s="1807"/>
      <c r="H60" s="1809"/>
      <c r="I60" s="129"/>
      <c r="J60" s="3596"/>
      <c r="K60" s="3593"/>
      <c r="L60" s="2529" t="s">
        <v>1370</v>
      </c>
      <c r="M60" s="2533"/>
      <c r="N60" s="2534" t="str">
        <f ca="1">NUMBERSTRING(INT(N59*10000),2)&amp;"元整"</f>
        <v>叁仟陆佰贰拾陆万元整</v>
      </c>
      <c r="O60" s="2535"/>
    </row>
    <row r="61" spans="1:35" ht="13.5" thickBot="1">
      <c r="A61" s="3652" t="s">
        <v>1373</v>
      </c>
      <c r="B61" s="3652"/>
      <c r="C61" s="3652"/>
      <c r="D61" s="3652"/>
      <c r="E61" s="3652"/>
      <c r="F61" s="1807"/>
      <c r="G61" s="1807"/>
      <c r="H61" s="1809"/>
      <c r="I61" s="129"/>
      <c r="J61" s="2522">
        <f>J59+1</f>
        <v>7</v>
      </c>
      <c r="K61" s="3593" t="s">
        <v>1374</v>
      </c>
      <c r="L61" s="3593"/>
      <c r="M61" s="2539"/>
      <c r="N61" s="2540">
        <f ca="1">ROUND(N59*10000/'数据-汇总表'!E3,0)</f>
        <v>2725</v>
      </c>
      <c r="O61" s="2541"/>
    </row>
    <row r="62" spans="1:35" ht="12.75">
      <c r="A62" s="3612" t="s">
        <v>1375</v>
      </c>
      <c r="B62" s="3613"/>
      <c r="C62" s="2020"/>
      <c r="D62" s="2020" t="s">
        <v>1376</v>
      </c>
      <c r="E62" s="166" t="s">
        <v>1377</v>
      </c>
      <c r="F62" s="1807"/>
      <c r="G62" s="1807"/>
      <c r="H62" s="1809"/>
      <c r="I62" s="129"/>
    </row>
    <row r="63" spans="1:35" ht="12.75">
      <c r="A63" s="173" t="s">
        <v>330</v>
      </c>
      <c r="B63" s="167" t="s">
        <v>1378</v>
      </c>
      <c r="C63" s="2563">
        <f ca="1">ROUND((C64+C65)/(1+'数据-取费表'!C42),0)</f>
        <v>8163</v>
      </c>
      <c r="D63" s="167"/>
      <c r="E63" s="168"/>
      <c r="F63" s="1807"/>
      <c r="G63" s="1807"/>
      <c r="H63" s="1809"/>
      <c r="I63" s="129"/>
      <c r="J63" s="3576" t="s">
        <v>1379</v>
      </c>
      <c r="K63" s="1331" t="s">
        <v>1380</v>
      </c>
      <c r="L63" s="1331">
        <f ca="1">IF(M49&gt;10000,M49*0.5%,IF(AND(M49&gt;1000,M49&lt;=10000),M49*1%,IF(AND(M49&gt;100,M49&lt;=1000),M49*3%,IF(AND(M49&gt;10,M49&lt;=100),M49*5%,M49*8%))))</f>
        <v>85.710000000000008</v>
      </c>
      <c r="M63" s="302">
        <f ca="1">ROUND(L63,1)</f>
        <v>85.7</v>
      </c>
      <c r="N63" s="2542"/>
      <c r="Z63" s="1751"/>
      <c r="AI63" s="1752"/>
    </row>
    <row r="64" spans="1:35" ht="14.25" customHeight="1">
      <c r="A64" s="169" t="s">
        <v>325</v>
      </c>
      <c r="B64" s="170" t="s">
        <v>1381</v>
      </c>
      <c r="C64" s="2564">
        <f ca="1">D45</f>
        <v>8571</v>
      </c>
      <c r="D64" s="170" t="s">
        <v>26</v>
      </c>
      <c r="E64" s="172"/>
      <c r="F64" s="1807"/>
      <c r="G64" s="1807"/>
      <c r="H64" s="1809"/>
      <c r="I64" s="129"/>
      <c r="J64" s="3576"/>
      <c r="K64" s="1331" t="s">
        <v>1382</v>
      </c>
      <c r="L64" s="1331">
        <f ca="1">IF(M49&gt;2000,M49*0.5%,IF(AND(M49&gt;1000,M49&lt;=2000),M49*0.6%,IF(AND(M49&gt;500,M49&lt;=1000),M49*0.7%,IF(AND(M49&gt;200,M49&lt;=500),M49*0.8%,IF(AND(M49&gt;100,M49&lt;=200),M49*0.9%,IF(AND(M49&gt;50,M49&lt;=100),M49*1%,IF(AND(M49&gt;20,M49&lt;=50),M49*1.5%,IF(AND(M49&gt;10,M49&lt;=20),M49*2%,IF(AND(M49&gt;1,M49&lt;=10),M49*2.5%)))))))))</f>
        <v>42.855000000000004</v>
      </c>
      <c r="M64" s="302">
        <f t="shared" ref="M64:M65" ca="1" si="1">ROUND(L64,1)</f>
        <v>42.9</v>
      </c>
      <c r="N64" s="2543" t="s">
        <v>1383</v>
      </c>
      <c r="Z64" s="1751"/>
      <c r="AI64" s="1752"/>
    </row>
    <row r="65" spans="1:35" ht="14.25" customHeight="1">
      <c r="A65" s="169" t="s">
        <v>326</v>
      </c>
      <c r="B65" s="170" t="s">
        <v>1384</v>
      </c>
      <c r="C65" s="2565"/>
      <c r="D65" s="170"/>
      <c r="E65" s="172"/>
      <c r="F65" s="1807"/>
      <c r="G65" s="1807"/>
      <c r="H65" s="1809"/>
      <c r="I65" s="129"/>
      <c r="J65" s="3576"/>
      <c r="K65" s="1331" t="s">
        <v>1385</v>
      </c>
      <c r="L65" s="1331">
        <f ca="1">IF(M49&gt;1000,M49*0.1%,IF(AND(M49&gt;500,M49&lt;=1000),M49*0.5%,IF(AND(M49&gt;50,M49&lt;=500),M49*1%,IF(AND(M49&gt;1,M49&lt;=50),M49*1.5%))))</f>
        <v>8.5709999999999997</v>
      </c>
      <c r="M65" s="302">
        <f t="shared" ca="1" si="1"/>
        <v>8.6</v>
      </c>
      <c r="N65" s="2543" t="s">
        <v>1383</v>
      </c>
      <c r="Z65" s="1751"/>
      <c r="AI65" s="1752"/>
    </row>
    <row r="66" spans="1:35" ht="14.25" customHeight="1">
      <c r="A66" s="173" t="s">
        <v>327</v>
      </c>
      <c r="B66" s="174" t="s">
        <v>1386</v>
      </c>
      <c r="C66" s="2566"/>
      <c r="D66" s="174" t="s">
        <v>26</v>
      </c>
      <c r="E66" s="1337" t="s">
        <v>671</v>
      </c>
      <c r="F66" s="1807"/>
      <c r="G66" s="1807"/>
      <c r="H66" s="1809"/>
      <c r="I66" s="129"/>
      <c r="J66" s="3576"/>
      <c r="K66" s="1331" t="s">
        <v>1387</v>
      </c>
      <c r="L66" s="1331">
        <f ca="1">M49*0.5%</f>
        <v>42.855000000000004</v>
      </c>
      <c r="M66" s="302">
        <f ca="1">IF(L66&gt;0.5,0.5,ROUND(L66,0))</f>
        <v>0.5</v>
      </c>
      <c r="N66" s="2543" t="s">
        <v>1388</v>
      </c>
      <c r="Z66" s="1751"/>
      <c r="AI66" s="1752"/>
    </row>
    <row r="67" spans="1:35" ht="14.25" customHeight="1">
      <c r="A67" s="173" t="s">
        <v>328</v>
      </c>
      <c r="B67" s="174" t="s">
        <v>1389</v>
      </c>
      <c r="C67" s="2567">
        <f ca="1">C63-C66</f>
        <v>8163</v>
      </c>
      <c r="D67" s="170" t="s">
        <v>26</v>
      </c>
      <c r="E67" s="172"/>
      <c r="F67" s="1807"/>
      <c r="G67" s="1807"/>
      <c r="H67" s="1809"/>
      <c r="I67" s="129"/>
      <c r="J67" s="3576"/>
      <c r="K67" s="1331" t="s">
        <v>1390</v>
      </c>
      <c r="L67" s="1331">
        <f ca="1">IF(M49&gt;=10000,(8.25+(M49-10000)*0.01%),IF(AND(M49&gt;=8000,M49&lt;10000),(7.85+(M49-8000)*0.02%),IF(AND(M49&gt;=5000,M49&lt;8000),(6.65+(M49-5000)*0.04%),IF(AND(M49&gt;=2000,M49&lt;5000),(4.25+(PM49-2000)*0.08%),IF(AND(M49&gt;=1000,M49&lt;2000),(2.75+(M49-1000)*0.15%),IF(AND(M49&gt;=100,M49&lt;1000),(0.5+(M49-100)*0.25%),IF(AND(M49&gt;0,M49&lt;100),M49*0.5%)))))))</f>
        <v>7.9641999999999999</v>
      </c>
      <c r="M67" s="302">
        <f ca="1">ROUND(L67*0.9,1)</f>
        <v>7.2</v>
      </c>
      <c r="N67" s="2542"/>
      <c r="Z67" s="1751"/>
      <c r="AI67" s="1752"/>
    </row>
    <row r="68" spans="1:35" ht="14.25" customHeight="1" thickBot="1">
      <c r="A68" s="176" t="s">
        <v>329</v>
      </c>
      <c r="B68" s="177" t="s">
        <v>1391</v>
      </c>
      <c r="C68" s="2568">
        <f ca="1">IF(C67&lt;=0,0,ROUND(C67*D68,0))</f>
        <v>449</v>
      </c>
      <c r="D68" s="2569">
        <f>'数据-取费表'!B41</f>
        <v>5.5000000000000007E-2</v>
      </c>
      <c r="E68" s="178"/>
      <c r="F68" s="1807"/>
      <c r="G68" s="1807"/>
      <c r="H68" s="1809"/>
      <c r="I68" s="129"/>
      <c r="J68" s="3576"/>
      <c r="K68" s="1331" t="s">
        <v>1392</v>
      </c>
      <c r="L68" s="1331">
        <f ca="1">IF(M49&gt;10000,M49*0.5%,IF(AND(M49&gt;5000,M49&lt;=10000),M49*1%,IF(AND(M49&gt;1000,M49&lt;=5000),M49*2%,IF(AND(M49&gt;200,M49&lt;=1000),M49*3%,M49*5%))))</f>
        <v>85.710000000000008</v>
      </c>
      <c r="M68" s="302">
        <f ca="1">ROUND(L68,1)</f>
        <v>85.7</v>
      </c>
      <c r="N68" s="2542"/>
      <c r="Z68" s="1751"/>
      <c r="AI68" s="1752"/>
    </row>
    <row r="69" spans="1:35" s="1771" customFormat="1" ht="16.5" customHeight="1">
      <c r="A69" s="1810"/>
      <c r="B69" s="1811"/>
      <c r="C69" s="1812"/>
      <c r="D69" s="1813"/>
      <c r="E69" s="1814"/>
      <c r="F69" s="1577"/>
      <c r="G69" s="1577"/>
      <c r="H69" s="1576"/>
      <c r="I69" s="1746"/>
      <c r="J69" s="3576"/>
      <c r="K69" s="1331" t="s">
        <v>1393</v>
      </c>
      <c r="L69" s="1331"/>
      <c r="M69" s="302">
        <f ca="1">ROUND(SUM(M63:M68),0)</f>
        <v>231</v>
      </c>
      <c r="N69" s="2544">
        <f ca="1">M69/M49</f>
        <v>2.695134756737837E-2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0" t="s">
        <v>1394</v>
      </c>
      <c r="B70" s="3621"/>
      <c r="C70" s="3621"/>
      <c r="D70" s="3621"/>
      <c r="E70" s="3621"/>
      <c r="F70" s="3621"/>
      <c r="G70" s="3621"/>
      <c r="H70" s="362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2" t="s">
        <v>1375</v>
      </c>
      <c r="B71" s="361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8163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7" t="s">
        <v>1402</v>
      </c>
      <c r="F76" s="3616"/>
      <c r="G76" s="3616"/>
      <c r="H76" s="361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41</v>
      </c>
      <c r="D78" s="2576">
        <f>'数据-取费表'!B43</f>
        <v>5.000000000000001E-3</v>
      </c>
      <c r="E78" s="3609" t="s">
        <v>1406</v>
      </c>
      <c r="F78" s="3610"/>
      <c r="G78" s="3610"/>
      <c r="H78" s="361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8122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198.09756097560975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4859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0" t="s">
        <v>1410</v>
      </c>
      <c r="B83" s="3621"/>
      <c r="C83" s="3621"/>
      <c r="D83" s="3621"/>
      <c r="E83" s="3621"/>
      <c r="F83" s="3621"/>
      <c r="G83" s="3621"/>
      <c r="H83" s="362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2" t="s">
        <v>1375</v>
      </c>
      <c r="B84" s="361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8163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8" t="s">
        <v>2128</v>
      </c>
      <c r="H90" s="357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9" t="s">
        <v>1419</v>
      </c>
      <c r="F91" s="3610"/>
      <c r="G91" s="361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9" t="s">
        <v>1422</v>
      </c>
      <c r="F92" s="3610"/>
      <c r="G92" s="3610"/>
      <c r="H92" s="361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41</v>
      </c>
      <c r="D93" s="2576">
        <f>'数据-取费表'!B43</f>
        <v>5.000000000000001E-3</v>
      </c>
      <c r="E93" s="3609" t="s">
        <v>1406</v>
      </c>
      <c r="F93" s="3610"/>
      <c r="G93" s="3610"/>
      <c r="H93" s="361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4" t="s">
        <v>1426</v>
      </c>
      <c r="F94" s="3655"/>
      <c r="G94" s="3655"/>
      <c r="H94" s="365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8122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198.09756097560975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4859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4" t="str">
        <f>C4</f>
        <v>成本法</v>
      </c>
      <c r="D101" s="2585" t="str">
        <f>D4</f>
        <v>收益法</v>
      </c>
      <c r="E101" s="3572" t="s">
        <v>1431</v>
      </c>
      <c r="F101" s="3573"/>
      <c r="G101" s="1826" t="s">
        <v>1432</v>
      </c>
      <c r="H101" s="2594">
        <f ca="1">H118</f>
        <v>8571</v>
      </c>
      <c r="I101" s="129"/>
    </row>
    <row r="102" spans="1:35" ht="18.75" customHeight="1">
      <c r="A102" s="3604" t="s">
        <v>1433</v>
      </c>
      <c r="B102" s="2583" t="s">
        <v>1432</v>
      </c>
      <c r="C102" s="2584">
        <f ca="1">IF(D32="楼面单价",ROUND(C19,0),C19)</f>
        <v>8752</v>
      </c>
      <c r="D102" s="2585">
        <f ca="1">IF(D32="楼面单价",ROUND(D19,0),D19)</f>
        <v>8389</v>
      </c>
      <c r="E102" s="3572"/>
      <c r="F102" s="3573"/>
      <c r="G102" s="1826" t="s">
        <v>1434</v>
      </c>
      <c r="H102" s="2554">
        <f ca="1">I118</f>
        <v>6442</v>
      </c>
      <c r="I102" s="129"/>
    </row>
    <row r="103" spans="1:35" ht="42.75" customHeight="1">
      <c r="A103" s="3604"/>
      <c r="B103" s="2583" t="s">
        <v>1434</v>
      </c>
      <c r="C103" s="2586">
        <f ca="1">C20</f>
        <v>6578</v>
      </c>
      <c r="D103" s="2587">
        <f ca="1">D20</f>
        <v>6305</v>
      </c>
      <c r="E103" s="3565" t="s">
        <v>1435</v>
      </c>
      <c r="F103" s="3566"/>
      <c r="G103" s="1827" t="s">
        <v>1436</v>
      </c>
      <c r="H103" s="2594">
        <f>IF(D36="正常操作",H104+H105+H106,H105+H106)</f>
        <v>0</v>
      </c>
      <c r="I103" s="129"/>
    </row>
    <row r="104" spans="1:35" ht="18.75" customHeight="1">
      <c r="A104" s="3604" t="s">
        <v>1437</v>
      </c>
      <c r="B104" s="2588" t="s">
        <v>1432</v>
      </c>
      <c r="C104" s="2589">
        <f ca="1">H118</f>
        <v>8571</v>
      </c>
      <c r="D104" s="2590"/>
      <c r="E104" s="1673" t="s">
        <v>1438</v>
      </c>
      <c r="F104" s="1665"/>
      <c r="G104" s="1827" t="s">
        <v>1436</v>
      </c>
      <c r="H104" s="2595">
        <f>IF(D36="同一抵押权人同一抵押物续贷",C36&amp;"（续贷，未扣减，详见特别提示）",C36)</f>
        <v>0</v>
      </c>
      <c r="I104" s="129"/>
    </row>
    <row r="105" spans="1:35" ht="18.75" customHeight="1" thickBot="1">
      <c r="A105" s="3614"/>
      <c r="B105" s="2591" t="s">
        <v>1434</v>
      </c>
      <c r="C105" s="2592">
        <f ca="1">I118</f>
        <v>6442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5" t="str">
        <f>IF(项目基本情况!E8="已注销","——","3.房地产抵押价值")</f>
        <v>3.房地产抵押价值</v>
      </c>
      <c r="F107" s="3573"/>
      <c r="G107" s="1826" t="s">
        <v>1432</v>
      </c>
      <c r="H107" s="2594">
        <f ca="1">IF(E107="——","——",H101-H103)</f>
        <v>8571</v>
      </c>
      <c r="I107" s="129"/>
    </row>
    <row r="108" spans="1:35" ht="18.75" customHeight="1">
      <c r="A108" s="129"/>
      <c r="B108" s="129"/>
      <c r="C108" s="129"/>
      <c r="D108" s="129"/>
      <c r="E108" s="3605"/>
      <c r="F108" s="3573"/>
      <c r="G108" s="1826" t="s">
        <v>1434</v>
      </c>
      <c r="H108" s="2554">
        <f ca="1">IF(H107=H101,H102,ROUND(H107*10000/'数据-汇总表'!E3,0))</f>
        <v>6442</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6" t="s">
        <v>1432</v>
      </c>
      <c r="H109" s="2597" t="str">
        <f>IF(E109="——","——",H101-H105-H106)</f>
        <v>——</v>
      </c>
      <c r="I109" s="129"/>
    </row>
    <row r="110" spans="1:35" ht="18.75" customHeight="1">
      <c r="A110" s="129"/>
      <c r="B110" s="129"/>
      <c r="C110" s="129"/>
      <c r="D110" s="129"/>
      <c r="E110" s="3605"/>
      <c r="F110" s="3573"/>
      <c r="G110" s="1826" t="s">
        <v>1434</v>
      </c>
      <c r="H110" s="2554"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6" t="s">
        <v>1432</v>
      </c>
      <c r="H111" s="2594" t="str">
        <f>IF(E111="——","——",N59)</f>
        <v>——</v>
      </c>
      <c r="I111" s="129"/>
    </row>
    <row r="112" spans="1:35" ht="18.75" customHeight="1" thickBot="1">
      <c r="A112" s="129"/>
      <c r="B112" s="129"/>
      <c r="C112" s="129"/>
      <c r="D112" s="129"/>
      <c r="E112" s="3607"/>
      <c r="F112" s="3608"/>
      <c r="G112" s="1829" t="s">
        <v>1434</v>
      </c>
      <c r="H112" s="2598" t="str">
        <f>IF(E111="——","——",N61)</f>
        <v>——</v>
      </c>
      <c r="I112" s="129"/>
    </row>
    <row r="113" spans="1:27" ht="18.75" customHeight="1">
      <c r="A113" s="129"/>
      <c r="B113" s="129"/>
      <c r="C113" s="129"/>
      <c r="D113" s="129"/>
      <c r="E113" s="3615" t="s">
        <v>1440</v>
      </c>
      <c r="F113" s="3615"/>
      <c r="G113" s="3615"/>
      <c r="H113" s="3615"/>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4483</v>
      </c>
      <c r="E118" s="2328">
        <f ca="1">ROUND(IF(C33="自定义",IF(D32="楼面单价",C34,D118*10000/B118),I118-G118),0)</f>
        <v>3370</v>
      </c>
      <c r="F118" s="2328">
        <f ca="1">ROUND(IF(D32="总价",C35,G118*B118/10000),0)</f>
        <v>4088</v>
      </c>
      <c r="G118" s="2328">
        <f ca="1">ROUND(IF(D32="楼面单价",C35,F118*10000/B118),0)</f>
        <v>3072</v>
      </c>
      <c r="H118" s="2328">
        <f ca="1">ROUND(IF(D32="总价",C32,I118*B118/10000),0)</f>
        <v>8571</v>
      </c>
      <c r="I118" s="2328">
        <f ca="1">ROUND(IF(D32="楼面单价",C32,H118*10000/B118),0)</f>
        <v>6442</v>
      </c>
    </row>
    <row r="119" spans="1:27" ht="18.75" customHeight="1">
      <c r="A119" s="3580" t="s">
        <v>1452</v>
      </c>
      <c r="B119" s="3580"/>
      <c r="C119" s="3580"/>
      <c r="D119" s="3586" t="str">
        <f ca="1">NUMBERSTRING(INT(D118*10000),2)&amp;"元整"</f>
        <v>肆仟肆佰捌拾叁万元整</v>
      </c>
      <c r="E119" s="3587"/>
      <c r="F119" s="3586" t="str">
        <f ca="1">NUMBERSTRING(INT(F118*10000),2)&amp;"元整"</f>
        <v>肆仟零捌拾捌万元整</v>
      </c>
      <c r="G119" s="3587"/>
      <c r="H119" s="3586" t="str">
        <f ca="1">NUMBERSTRING(INT(H118*10000),2)&amp;"元整"</f>
        <v>捌仟伍佰柒拾壹万元整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6" t="s">
        <v>1452</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房地产抵押价值</v>
      </c>
      <c r="B122" s="3592"/>
      <c r="C122" s="3592"/>
      <c r="D122" s="3581">
        <f ca="1">H107</f>
        <v>8571</v>
      </c>
      <c r="E122" s="3582"/>
      <c r="F122" s="3582"/>
      <c r="G122" s="3582"/>
      <c r="H122" s="3582"/>
      <c r="I122" s="3583"/>
      <c r="AA122" s="725"/>
    </row>
    <row r="123" spans="1:27" ht="18.75" customHeight="1">
      <c r="A123" s="3580" t="s">
        <v>1452</v>
      </c>
      <c r="B123" s="3580"/>
      <c r="C123" s="3580"/>
      <c r="D123" s="3586" t="str">
        <f ca="1">NUMBERSTRING(INT(D122*10000),2)&amp;"元整"</f>
        <v>捌仟伍佰柒拾壹万元整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1452</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1452</v>
      </c>
      <c r="B127" s="3580"/>
      <c r="C127" s="3580"/>
      <c r="D127" s="3586" t="e">
        <f>NUMBERSTRING(INT(D126*10000),2)&amp;"元整"</f>
        <v>#VALUE!</v>
      </c>
      <c r="E127" s="3588"/>
      <c r="F127" s="3588"/>
      <c r="G127" s="3588"/>
      <c r="H127" s="3588"/>
      <c r="I127" s="3587"/>
      <c r="AA127" s="725"/>
    </row>
    <row r="128" spans="1:27" ht="21.75" customHeight="1">
      <c r="A128" s="3589" t="s">
        <v>1453</v>
      </c>
      <c r="B128" s="3589"/>
      <c r="C128" s="3589"/>
      <c r="D128" s="3589"/>
      <c r="E128" s="3589"/>
      <c r="F128" s="3589"/>
      <c r="G128" s="3589"/>
      <c r="H128" s="3589"/>
      <c r="I128" s="358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8752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3663</v>
      </c>
      <c r="D5" s="211" t="s">
        <v>1469</v>
      </c>
      <c r="E5" s="212" t="s">
        <v>1470</v>
      </c>
      <c r="F5" s="212" t="s">
        <v>1471</v>
      </c>
      <c r="G5" s="213"/>
    </row>
    <row r="6" spans="1:9" s="214" customFormat="1" ht="13.5" customHeight="1">
      <c r="A6" s="778" t="s">
        <v>1472</v>
      </c>
      <c r="B6" s="215" t="s">
        <v>1473</v>
      </c>
      <c r="C6" s="216">
        <f>'土地比较法-工业'!B2</f>
        <v>3309</v>
      </c>
      <c r="D6" s="217"/>
      <c r="E6" s="218"/>
      <c r="F6" s="218"/>
      <c r="G6" s="219"/>
    </row>
    <row r="7" spans="1:9" s="214" customFormat="1" ht="13.5" customHeight="1">
      <c r="A7" s="778" t="s">
        <v>1474</v>
      </c>
      <c r="B7" s="215" t="s">
        <v>1475</v>
      </c>
      <c r="C7" s="220">
        <f>ROUND(C6*F7,0)</f>
        <v>101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3399</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3400</v>
      </c>
    </row>
    <row r="20" spans="1:7" s="214" customFormat="1" ht="13.5" customHeight="1">
      <c r="A20" s="255" t="s">
        <v>1493</v>
      </c>
      <c r="B20" s="210" t="s">
        <v>1494</v>
      </c>
      <c r="C20" s="232">
        <f ca="1">ROUND((C5+C19)*F20,0)</f>
        <v>73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127</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374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374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120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77</v>
      </c>
      <c r="D42" s="238"/>
      <c r="E42" s="238"/>
      <c r="F42" s="239"/>
      <c r="G42" s="3659" t="s">
        <v>1544</v>
      </c>
    </row>
    <row r="43" spans="1:7" ht="13.5" customHeight="1">
      <c r="A43" s="780" t="s">
        <v>347</v>
      </c>
      <c r="B43" s="215" t="s">
        <v>1545</v>
      </c>
      <c r="C43" s="238">
        <f ca="1">ROUND(IF('数据-取费表'!B22&lt;=1,C39*F22*'数据-取费表'!B21/2,C39*(POWER((1+F22),'数据-取费表'!B21/2)-1)),0)</f>
        <v>2</v>
      </c>
      <c r="D43" s="238"/>
      <c r="E43" s="238"/>
      <c r="F43" s="239"/>
      <c r="G43" s="3660"/>
    </row>
    <row r="44" spans="1:7" ht="13.5" customHeight="1">
      <c r="A44" s="780" t="s">
        <v>348</v>
      </c>
      <c r="B44" s="215" t="s">
        <v>1546</v>
      </c>
      <c r="C44" s="238">
        <f ca="1">ROUND(IF('数据-取费表'!B22&lt;=1,C40*F22*'数据-取费表'!B21/2,C40*(POWER((1+F22),'数据-取费表'!B21/2)-1)),4)</f>
        <v>2.9999999999999997E-4</v>
      </c>
      <c r="D44" s="238"/>
      <c r="E44" s="238"/>
      <c r="F44" s="239"/>
      <c r="G44" s="3661"/>
    </row>
    <row r="45" spans="1:7" s="214" customFormat="1" ht="13.5" customHeight="1">
      <c r="A45" s="255" t="s">
        <v>1547</v>
      </c>
      <c r="B45" s="244" t="s">
        <v>1513</v>
      </c>
      <c r="C45" s="245">
        <f ca="1">C46</f>
        <v>455</v>
      </c>
      <c r="D45" s="235">
        <f ca="1">C47</f>
        <v>2E-3</v>
      </c>
      <c r="E45" s="236" t="s">
        <v>1539</v>
      </c>
      <c r="F45" s="246">
        <f ca="1">F27</f>
        <v>0.1</v>
      </c>
      <c r="G45" s="247" t="s">
        <v>1548</v>
      </c>
    </row>
    <row r="46" spans="1:7" s="214" customFormat="1" ht="13.5" customHeight="1">
      <c r="A46" s="780" t="s">
        <v>346</v>
      </c>
      <c r="B46" s="248" t="s">
        <v>1549</v>
      </c>
      <c r="C46" s="249">
        <f ca="1">ROUND((C33+C39)*F27,0)</f>
        <v>455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5491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4173</v>
      </c>
      <c r="D51" s="232"/>
      <c r="E51" s="232"/>
      <c r="F51" s="264"/>
      <c r="G51" s="234" t="s">
        <v>1560</v>
      </c>
    </row>
    <row r="52" spans="1:7" s="208" customFormat="1" ht="16.5" thickBot="1">
      <c r="A52" s="265" t="s">
        <v>1561</v>
      </c>
      <c r="B52" s="266"/>
      <c r="C52" s="267">
        <f ca="1">C31+C51</f>
        <v>8752</v>
      </c>
      <c r="D52" s="266"/>
      <c r="E52" s="266"/>
      <c r="F52" s="266"/>
      <c r="G52" s="268"/>
    </row>
    <row r="55" spans="1:7" ht="15">
      <c r="B55" s="270" t="s">
        <v>1562</v>
      </c>
      <c r="C55" s="271"/>
    </row>
    <row r="56" spans="1:7">
      <c r="B56" s="273" t="s">
        <v>802</v>
      </c>
      <c r="C56" s="275">
        <f ca="1">1-C57</f>
        <v>0.52300000000000002</v>
      </c>
    </row>
    <row r="57" spans="1:7">
      <c r="B57" s="273" t="s">
        <v>803</v>
      </c>
      <c r="C57" s="274">
        <f ca="1">ROUND(C51/C52,3)</f>
        <v>0.47699999999999998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北京市房地产抵押价值预评估</v>
      </c>
      <c r="C37" s="3476"/>
      <c r="D37" s="3476"/>
      <c r="E37" s="3476"/>
      <c r="F37" s="3476"/>
      <c r="G37" s="3476"/>
      <c r="H37" s="3476"/>
      <c r="I37" s="347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（注册号：0)、崔锴（注册号：1120100036)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4820.9376000000002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3623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180817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87218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91809</v>
      </c>
      <c r="D24" s="238"/>
      <c r="E24" s="238"/>
      <c r="F24" s="239"/>
      <c r="G24" s="240" t="s">
        <v>1586</v>
      </c>
    </row>
    <row r="25" spans="1:7" s="214" customFormat="1" ht="24">
      <c r="A25" s="780" t="s">
        <v>1476</v>
      </c>
      <c r="B25" s="215" t="s">
        <v>1587</v>
      </c>
      <c r="C25" s="1128">
        <f ca="1">ROUND(IF('数据-取费表'!B22&lt;=1,C20*F22*'数据-取费表'!B22/2,C20*(POWER((1+F22),'数据-取费表'!B22/2)-1)),0)</f>
        <v>1790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529298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529298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6487724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44573827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1197506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891477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784277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768899</v>
      </c>
      <c r="D42" s="238"/>
      <c r="E42" s="238"/>
      <c r="F42" s="239"/>
      <c r="G42" s="3659" t="s">
        <v>1591</v>
      </c>
    </row>
    <row r="43" spans="1:7" ht="13.5" customHeight="1">
      <c r="A43" s="780" t="s">
        <v>347</v>
      </c>
      <c r="B43" s="215" t="s">
        <v>1545</v>
      </c>
      <c r="C43" s="238">
        <f ca="1">ROUND(IF('数据-取费表'!B22&lt;=1,C39*F22*'数据-取费表'!B20/2,C39*(POWER((1+F22),'数据-取费表'!B20/2)-1)),0)</f>
        <v>15378</v>
      </c>
      <c r="D43" s="238"/>
      <c r="E43" s="238"/>
      <c r="F43" s="239"/>
      <c r="G43" s="3660"/>
    </row>
    <row r="44" spans="1:7" ht="13.5" customHeight="1">
      <c r="A44" s="780" t="s">
        <v>348</v>
      </c>
      <c r="B44" s="215" t="s">
        <v>1546</v>
      </c>
      <c r="C44" s="238">
        <f ca="1">ROUND(IF('数据-取费表'!B22&lt;=1,C40*F22*'数据-取费表'!B20/2,C40*(POWER((1+F22),'数据-取费表'!B20/2)-1)),4)</f>
        <v>2.9999999999999997E-4</v>
      </c>
      <c r="D44" s="238"/>
      <c r="E44" s="238"/>
      <c r="F44" s="239"/>
      <c r="G44" s="3661"/>
    </row>
    <row r="45" spans="1:7" s="214" customFormat="1" ht="13.5" customHeight="1">
      <c r="A45" s="255" t="s">
        <v>1547</v>
      </c>
      <c r="B45" s="244" t="s">
        <v>1513</v>
      </c>
      <c r="C45" s="245">
        <f ca="1">C46</f>
        <v>4546530</v>
      </c>
      <c r="D45" s="235">
        <f ca="1">C47</f>
        <v>2E-3</v>
      </c>
      <c r="E45" s="236" t="s">
        <v>1539</v>
      </c>
      <c r="F45" s="246">
        <f ca="1">F27</f>
        <v>0.1</v>
      </c>
      <c r="G45" s="247" t="s">
        <v>1548</v>
      </c>
    </row>
    <row r="46" spans="1:7" s="214" customFormat="1" ht="13.5" customHeight="1">
      <c r="A46" s="780" t="s">
        <v>346</v>
      </c>
      <c r="B46" s="248" t="s">
        <v>1549</v>
      </c>
      <c r="C46" s="249">
        <f ca="1">ROUND((C33+C39)*F27,0)</f>
        <v>4546530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54896910</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41721652</v>
      </c>
      <c r="D51" s="232"/>
      <c r="E51" s="232"/>
      <c r="F51" s="264"/>
      <c r="G51" s="234" t="s">
        <v>1560</v>
      </c>
    </row>
    <row r="52" spans="1:7" s="208" customFormat="1" ht="16.5" thickBot="1">
      <c r="A52" s="265" t="s">
        <v>1561</v>
      </c>
      <c r="B52" s="266"/>
      <c r="C52" s="267">
        <f ca="1">C31+C51</f>
        <v>48209376</v>
      </c>
      <c r="D52" s="266"/>
      <c r="E52" s="266"/>
      <c r="F52" s="266"/>
      <c r="G52" s="268"/>
    </row>
    <row r="55" spans="1:7" ht="15">
      <c r="B55" s="270" t="s">
        <v>1562</v>
      </c>
      <c r="C55" s="271"/>
    </row>
    <row r="56" spans="1:7">
      <c r="B56" s="273" t="s">
        <v>802</v>
      </c>
      <c r="C56" s="275">
        <f ca="1">1-C57</f>
        <v>0.13500000000000001</v>
      </c>
    </row>
    <row r="57" spans="1:7">
      <c r="B57" s="273" t="s">
        <v>803</v>
      </c>
      <c r="C57" s="274">
        <f ca="1">ROUND(C51/C52,3)</f>
        <v>0.86499999999999999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32.67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8389</v>
      </c>
      <c r="C2" s="1386" t="s">
        <v>805</v>
      </c>
      <c r="D2" s="1386"/>
      <c r="E2" s="1387"/>
      <c r="F2" s="1388"/>
      <c r="G2" s="2705"/>
      <c r="H2" s="2694"/>
      <c r="I2" s="2694"/>
      <c r="J2" s="2694"/>
      <c r="K2" s="2695"/>
      <c r="L2" s="2694"/>
      <c r="M2" s="2694"/>
    </row>
    <row r="3" spans="1:37" ht="18" customHeight="1" thickBot="1">
      <c r="A3" s="1389" t="s">
        <v>806</v>
      </c>
      <c r="B3" s="1390">
        <f ca="1">IF(ISERROR(B2*10000/F43),0,ROUND(B2*10000/F43,0))</f>
        <v>6305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64" t="s">
        <v>694</v>
      </c>
      <c r="C6" s="1074">
        <f ca="1">ROUND(F6*F8*F7*(1-F9)/10000,0)</f>
        <v>525</v>
      </c>
      <c r="D6" s="155" t="s">
        <v>2108</v>
      </c>
      <c r="E6" s="302" t="s">
        <v>696</v>
      </c>
      <c r="F6" s="303">
        <f ca="1">INDIRECT("'数据-取费表'!u"&amp;$G$1)</f>
        <v>1.2</v>
      </c>
      <c r="G6" s="1383"/>
      <c r="H6" s="1069" t="s">
        <v>398</v>
      </c>
      <c r="I6" s="3664" t="s">
        <v>694</v>
      </c>
      <c r="J6" s="301">
        <f ca="1">ROUND(M6*M8*M7*(1-M9)/10000,0)</f>
        <v>0</v>
      </c>
      <c r="K6" s="155"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13305.62</v>
      </c>
      <c r="G7" s="1383"/>
      <c r="H7" s="304"/>
      <c r="I7" s="3665"/>
      <c r="J7" s="306"/>
      <c r="K7" s="307"/>
      <c r="L7" s="302" t="s">
        <v>697</v>
      </c>
      <c r="M7" s="303">
        <f ca="1">F7</f>
        <v>13305.62</v>
      </c>
    </row>
    <row r="8" spans="1:37" ht="18" customHeight="1">
      <c r="A8" s="304"/>
      <c r="B8" s="3665"/>
      <c r="C8" s="306"/>
      <c r="D8" s="307"/>
      <c r="E8" s="302" t="s">
        <v>698</v>
      </c>
      <c r="F8" s="303">
        <f ca="1">INDIRECT("'数据-取费表'!ai"&amp;$G$1)</f>
        <v>365</v>
      </c>
      <c r="G8" s="1383"/>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3"/>
      <c r="H9" s="304"/>
      <c r="I9" s="3666"/>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3391</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4173</v>
      </c>
      <c r="D13" s="1081" t="s">
        <v>705</v>
      </c>
      <c r="E13" s="1081" t="s">
        <v>706</v>
      </c>
      <c r="F13" s="1082">
        <f ca="1">INDIRECT("'数据-取费表'!y"&amp;$G$1)</f>
        <v>0.76</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5491</v>
      </c>
      <c r="K14" s="12"/>
      <c r="L14" s="807"/>
      <c r="M14" s="808"/>
    </row>
    <row r="15" spans="1:37" s="1396" customFormat="1" ht="18" customHeight="1" thickBot="1">
      <c r="A15" s="982" t="s">
        <v>399</v>
      </c>
      <c r="B15" s="302" t="s">
        <v>710</v>
      </c>
      <c r="C15" s="21">
        <f ca="1">ROUND(C14*F15,0)</f>
        <v>120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4458</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89</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27.46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79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v>
      </c>
      <c r="K25" s="1095" t="s">
        <v>753</v>
      </c>
      <c r="L25" s="1096"/>
      <c r="M25" s="1097"/>
    </row>
    <row r="26" spans="1:37">
      <c r="A26" s="982" t="s">
        <v>397</v>
      </c>
      <c r="B26" s="302" t="s">
        <v>754</v>
      </c>
      <c r="C26" s="21">
        <f ca="1">ROUND((C19+C20)*F26,0)</f>
        <v>455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5491</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27.46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4.17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401</v>
      </c>
      <c r="D39" s="1095" t="s">
        <v>773</v>
      </c>
      <c r="E39" s="1096"/>
      <c r="F39" s="1097"/>
      <c r="G39" s="1383"/>
      <c r="H39" s="2699"/>
      <c r="I39" s="1397"/>
      <c r="J39" s="1398"/>
      <c r="K39" s="2703"/>
      <c r="L39" s="2699"/>
      <c r="M39" s="2699"/>
    </row>
    <row r="40" spans="1:18" ht="18" customHeight="1">
      <c r="A40" s="299" t="s">
        <v>395</v>
      </c>
      <c r="B40" s="300" t="s">
        <v>774</v>
      </c>
      <c r="C40" s="301">
        <f ca="1">ROUND(C39*(1-((1+F42)/(1+F40))^F41)/(F40-F42),0)</f>
        <v>8182</v>
      </c>
      <c r="D40" s="324" t="s">
        <v>758</v>
      </c>
      <c r="E40" s="302" t="s">
        <v>759</v>
      </c>
      <c r="F40" s="312">
        <f ca="1">INDIRECT("'数据-取费表'!I"&amp;$G$1)</f>
        <v>0.05</v>
      </c>
      <c r="G40" s="1383"/>
      <c r="H40" s="1460">
        <f ca="1">C39/C5</f>
        <v>0.76235741444866922</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32.67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6149</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-8740</v>
      </c>
      <c r="D46" s="1405" t="str">
        <f>C2</f>
        <v>万元</v>
      </c>
      <c r="E46" s="1399"/>
      <c r="F46" s="1399"/>
      <c r="I46" s="1406" t="s">
        <v>810</v>
      </c>
      <c r="J46" s="1407"/>
      <c r="K46" s="1408"/>
      <c r="L46" s="1409">
        <f ca="1">IF(M47="住宅",0,IF(L48&gt;J51,L60,J60))</f>
        <v>207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3508</v>
      </c>
      <c r="K47" s="1415" t="s">
        <v>816</v>
      </c>
      <c r="L47" s="1416">
        <f ca="1">INDIRECT("'数据-取费表'!d"&amp;$G$1)</f>
        <v>50</v>
      </c>
      <c r="M47" s="1379" t="str">
        <f>IF(ISNUMBER(FIND("住宅",C1)),"住宅","非住宅")</f>
        <v>非住宅</v>
      </c>
      <c r="O47" s="1417" t="s">
        <v>403</v>
      </c>
      <c r="P47" s="1418" t="s">
        <v>817</v>
      </c>
      <c r="Q47" s="1419">
        <f ca="1">C40+J29</f>
        <v>8182</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32.67</v>
      </c>
      <c r="O48" s="1417" t="s">
        <v>404</v>
      </c>
      <c r="P48" s="1418" t="s">
        <v>821</v>
      </c>
      <c r="Q48" s="1419">
        <f ca="1">J60</f>
        <v>207</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2003</v>
      </c>
      <c r="K49" s="1422" t="s">
        <v>824</v>
      </c>
      <c r="L49" s="1426"/>
      <c r="O49" s="1427" t="s">
        <v>405</v>
      </c>
      <c r="P49" s="1418" t="s">
        <v>825</v>
      </c>
      <c r="Q49" s="1419">
        <f ca="1">C29</f>
        <v>5491</v>
      </c>
      <c r="R49" s="1419" t="s">
        <v>818</v>
      </c>
    </row>
    <row r="50" spans="1:18" s="1383" customFormat="1" ht="13.5" thickBot="1">
      <c r="A50" s="976"/>
      <c r="B50" s="979"/>
      <c r="C50" s="1118"/>
      <c r="D50" s="953"/>
      <c r="E50" s="1056" t="s">
        <v>697</v>
      </c>
      <c r="F50" s="1057">
        <f ca="1">F7</f>
        <v>13305.62</v>
      </c>
      <c r="H50" s="723"/>
      <c r="I50" s="1420" t="s">
        <v>826</v>
      </c>
      <c r="J50" s="1428">
        <f>SUMPRODUCT((I63:I65=J47)*(J62:L62=J48)*(J63:L65))</f>
        <v>80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59</v>
      </c>
      <c r="K51" s="1433" t="s">
        <v>830</v>
      </c>
      <c r="L51" s="1434">
        <f ca="1">ROUND(-PV(INDIRECT("'数据-取费表'!h"&amp;$G$1),J51,(C39-C13*C76),0),0)</f>
        <v>2240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32.67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32.67</v>
      </c>
      <c r="K53" s="3662" t="s">
        <v>837</v>
      </c>
      <c r="L53" s="3663"/>
      <c r="O53" s="1417" t="s">
        <v>409</v>
      </c>
      <c r="P53" s="1418" t="s">
        <v>838</v>
      </c>
      <c r="Q53" s="1419">
        <f ca="1">Q47+Q48</f>
        <v>8389</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0.34300000000000003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4173</v>
      </c>
      <c r="D56" s="1446"/>
      <c r="E56" s="1447"/>
      <c r="F56" s="1439"/>
      <c r="I56" s="1448" t="s">
        <v>842</v>
      </c>
      <c r="J56" s="1449" t="s">
        <v>3393</v>
      </c>
      <c r="K56" s="1420" t="s">
        <v>843</v>
      </c>
      <c r="L56" s="1423" t="str">
        <f ca="1">IF(L48&lt;J51,"——",L48-J53)</f>
        <v>——</v>
      </c>
      <c r="O56" s="1417" t="s">
        <v>403</v>
      </c>
      <c r="P56" s="1418" t="s">
        <v>817</v>
      </c>
      <c r="Q56" s="1419">
        <f ca="1">C40+J29</f>
        <v>8182</v>
      </c>
      <c r="R56" s="1419" t="s">
        <v>818</v>
      </c>
    </row>
    <row r="57" spans="1:18" s="1383" customFormat="1" ht="24.75" thickBot="1">
      <c r="A57" s="1450"/>
      <c r="B57" s="950" t="s">
        <v>767</v>
      </c>
      <c r="C57" s="238">
        <f ca="1">C29</f>
        <v>5491</v>
      </c>
      <c r="D57" s="1451"/>
      <c r="E57" s="1452"/>
      <c r="F57" s="1453"/>
      <c r="I57" s="1454" t="s">
        <v>844</v>
      </c>
      <c r="J57" s="1455">
        <f ca="1">IF(OR(M47="住宅",J51&lt;L48,J56="是"),"——",J51-L48)</f>
        <v>26.33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2196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207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8182</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27.46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4.17</v>
      </c>
      <c r="D65" s="964" t="s">
        <v>743</v>
      </c>
      <c r="E65" s="950" t="s">
        <v>744</v>
      </c>
      <c r="F65" s="330">
        <f t="shared" ca="1" si="0"/>
        <v>1E-3</v>
      </c>
      <c r="I65" s="1461" t="s">
        <v>867</v>
      </c>
      <c r="J65" s="1462">
        <v>40</v>
      </c>
      <c r="K65" s="1462">
        <v>30</v>
      </c>
      <c r="L65" s="1462">
        <v>50</v>
      </c>
      <c r="M65" s="1464">
        <v>0.02</v>
      </c>
      <c r="O65" s="1417" t="s">
        <v>403</v>
      </c>
      <c r="P65" s="1418" t="s">
        <v>868</v>
      </c>
      <c r="Q65" s="1419">
        <f ca="1">C40+J29</f>
        <v>8182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-35</v>
      </c>
      <c r="D67" s="963" t="s">
        <v>753</v>
      </c>
      <c r="E67" s="968"/>
      <c r="F67" s="969"/>
      <c r="O67" s="1427" t="s">
        <v>405</v>
      </c>
      <c r="P67" s="1418" t="s">
        <v>850</v>
      </c>
      <c r="Q67" s="1465">
        <f ca="1">L51</f>
        <v>2240</v>
      </c>
      <c r="R67" s="1419" t="s">
        <v>870</v>
      </c>
    </row>
    <row r="68" spans="1:18" s="1383" customFormat="1" ht="16.5" thickBot="1">
      <c r="A68" s="947" t="s">
        <v>395</v>
      </c>
      <c r="B68" s="948" t="s">
        <v>774</v>
      </c>
      <c r="C68" s="301">
        <f ca="1">ROUND(C67*(1-((1+F70)/(1+F68))^F69)/(F68-F70),0)</f>
        <v>-558</v>
      </c>
      <c r="D68" s="965" t="s">
        <v>758</v>
      </c>
      <c r="E68" s="950" t="s">
        <v>759</v>
      </c>
      <c r="F68" s="312">
        <f ca="1">F40</f>
        <v>0.05</v>
      </c>
      <c r="O68" s="1427" t="s">
        <v>406</v>
      </c>
      <c r="P68" s="1466" t="s">
        <v>871</v>
      </c>
      <c r="Q68" s="1419">
        <f ca="1">ROUND(Q69-Q70*Q71,0)</f>
        <v>109</v>
      </c>
      <c r="R68" s="1419" t="s">
        <v>414</v>
      </c>
    </row>
    <row r="69" spans="1:18" s="1383" customFormat="1" ht="13.5" thickBot="1">
      <c r="A69" s="951"/>
      <c r="B69" s="952"/>
      <c r="C69" s="306"/>
      <c r="D69" s="970" t="s">
        <v>762</v>
      </c>
      <c r="E69" s="950" t="s">
        <v>763</v>
      </c>
      <c r="F69" s="333">
        <f ca="1">F41</f>
        <v>32.67</v>
      </c>
      <c r="O69" s="1427" t="s">
        <v>411</v>
      </c>
      <c r="P69" s="1466" t="s">
        <v>872</v>
      </c>
      <c r="Q69" s="1419">
        <f ca="1">C39</f>
        <v>401</v>
      </c>
      <c r="R69" s="1419" t="s">
        <v>818</v>
      </c>
    </row>
    <row r="70" spans="1:18" s="1383" customFormat="1" ht="13.5" thickBot="1">
      <c r="A70" s="954"/>
      <c r="B70" s="955"/>
      <c r="C70" s="310"/>
      <c r="D70" s="966"/>
      <c r="E70" s="950" t="s">
        <v>766</v>
      </c>
      <c r="F70" s="1054"/>
      <c r="O70" s="1427" t="s">
        <v>412</v>
      </c>
      <c r="P70" s="1466" t="s">
        <v>873</v>
      </c>
      <c r="Q70" s="1419">
        <f ca="1">C13</f>
        <v>4173</v>
      </c>
      <c r="R70" s="1419" t="s">
        <v>818</v>
      </c>
    </row>
    <row r="71" spans="1:18" s="1383" customFormat="1" ht="13.5" thickBot="1">
      <c r="A71" s="971" t="s">
        <v>396</v>
      </c>
      <c r="B71" s="972" t="s">
        <v>776</v>
      </c>
      <c r="C71" s="336">
        <f ca="1">ROUND(C68*10000/F71,0)</f>
        <v>-419</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292</v>
      </c>
      <c r="D75" s="1383"/>
      <c r="E75" s="1383"/>
      <c r="F75" s="1383"/>
      <c r="K75" s="1401"/>
      <c r="L75" s="1383"/>
      <c r="O75" s="1417" t="s">
        <v>409</v>
      </c>
      <c r="P75" s="1418" t="s">
        <v>838</v>
      </c>
      <c r="Q75" s="1419">
        <f ca="1">Q65+Q66</f>
        <v>8182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0.27200000000000002</v>
      </c>
    </row>
    <row r="80" spans="1:18">
      <c r="B80" s="340" t="s">
        <v>800</v>
      </c>
      <c r="C80" s="274">
        <f ca="1">ROUND(C75/C39,3)</f>
        <v>0.72799999999999998</v>
      </c>
    </row>
    <row r="81" spans="2:3">
      <c r="B81" s="270" t="s">
        <v>801</v>
      </c>
      <c r="C81" s="238"/>
    </row>
    <row r="82" spans="2:3">
      <c r="B82" s="273" t="s">
        <v>802</v>
      </c>
      <c r="C82" s="275">
        <f ca="1">1-C83</f>
        <v>0.49</v>
      </c>
    </row>
    <row r="83" spans="2:3">
      <c r="B83" s="273" t="s">
        <v>803</v>
      </c>
      <c r="C83" s="274">
        <f ca="1">ROUND(C13/C40,3)</f>
        <v>0.51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4" t="s">
        <v>694</v>
      </c>
      <c r="C6" s="1074">
        <f ca="1">ROUND(F6*F8*F7*(1-F9),0)</f>
        <v>0</v>
      </c>
      <c r="D6" s="155" t="s">
        <v>2105</v>
      </c>
      <c r="E6" s="302" t="s">
        <v>696</v>
      </c>
      <c r="F6" s="303">
        <f ca="1">INDIRECT("'数据-取费表'!u"&amp;$G$1)</f>
        <v>0</v>
      </c>
      <c r="G6" s="1383"/>
      <c r="H6" s="1069" t="s">
        <v>398</v>
      </c>
      <c r="I6" s="3664" t="s">
        <v>694</v>
      </c>
      <c r="J6" s="301">
        <f ca="1">ROUND(M6*M8*M7*(1-M9),0)</f>
        <v>0</v>
      </c>
      <c r="K6" s="1375" t="s">
        <v>2106</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3"/>
      <c r="H7" s="304"/>
      <c r="I7" s="3665"/>
      <c r="J7" s="306"/>
      <c r="K7" s="307"/>
      <c r="L7" s="302" t="s">
        <v>697</v>
      </c>
      <c r="M7" s="303">
        <f ca="1">F7</f>
        <v>0</v>
      </c>
    </row>
    <row r="8" spans="1:37" ht="18" customHeight="1">
      <c r="A8" s="304"/>
      <c r="B8" s="3665"/>
      <c r="C8" s="306"/>
      <c r="D8" s="307"/>
      <c r="E8" s="302" t="s">
        <v>698</v>
      </c>
      <c r="F8" s="303">
        <f ca="1">INDIRECT("'数据-取费表'!ai"&amp;$G$1)</f>
        <v>0</v>
      </c>
      <c r="G8" s="1383"/>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3"/>
      <c r="H9" s="304"/>
      <c r="I9" s="366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2" t="s">
        <v>837</v>
      </c>
      <c r="L53" s="366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67" t="s">
        <v>2320</v>
      </c>
      <c r="K2" s="366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69" t="s">
        <v>2330</v>
      </c>
      <c r="K3" s="367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69" t="s">
        <v>2332</v>
      </c>
      <c r="K4" s="367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1" t="s">
        <v>2336</v>
      </c>
      <c r="B6" s="3672"/>
      <c r="C6" s="3673"/>
      <c r="D6" s="2869"/>
      <c r="E6" s="2870"/>
      <c r="F6" s="2871"/>
      <c r="G6" s="2872"/>
      <c r="H6" s="2847"/>
      <c r="I6" s="2848"/>
      <c r="J6" s="3674">
        <v>1</v>
      </c>
      <c r="K6" s="367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4"/>
      <c r="K7" s="367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78" t="s">
        <v>2350</v>
      </c>
      <c r="C8" s="3679"/>
      <c r="D8" s="2888" t="s">
        <v>2351</v>
      </c>
      <c r="E8" s="2889" t="s">
        <v>2352</v>
      </c>
      <c r="F8" s="2890" t="s">
        <v>2353</v>
      </c>
      <c r="G8" s="2891"/>
      <c r="H8" s="2847"/>
      <c r="I8" s="2848"/>
      <c r="J8" s="3674"/>
      <c r="K8" s="367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78" t="s">
        <v>2356</v>
      </c>
      <c r="C9" s="3679"/>
      <c r="D9" s="2888">
        <f>ROUND(D6*E9,0)</f>
        <v>0</v>
      </c>
      <c r="E9" s="2892"/>
      <c r="F9" s="2893" t="s">
        <v>2357</v>
      </c>
      <c r="G9" s="2872"/>
      <c r="H9" s="2847"/>
      <c r="I9" s="2848"/>
      <c r="J9" s="3674"/>
      <c r="K9" s="3676"/>
      <c r="L9" s="2882" t="s">
        <v>2358</v>
      </c>
      <c r="M9" s="2883"/>
      <c r="N9" s="2859"/>
      <c r="O9" s="2884"/>
      <c r="P9" s="2884"/>
      <c r="Q9" s="2885">
        <v>365</v>
      </c>
      <c r="R9" s="2886">
        <f t="shared" si="0"/>
        <v>0</v>
      </c>
      <c r="S9" s="2840"/>
      <c r="T9" s="2840"/>
      <c r="U9" s="2840"/>
      <c r="V9" s="2848"/>
    </row>
    <row r="10" spans="1:22" s="2852" customFormat="1" ht="13.15" customHeight="1">
      <c r="A10" s="2887">
        <v>2</v>
      </c>
      <c r="B10" s="3678" t="s">
        <v>2359</v>
      </c>
      <c r="C10" s="3679"/>
      <c r="D10" s="2888">
        <f>ROUND(D6*E10,0)</f>
        <v>0</v>
      </c>
      <c r="E10" s="2892"/>
      <c r="F10" s="2893" t="s">
        <v>2360</v>
      </c>
      <c r="G10" s="2872"/>
      <c r="H10" s="2847"/>
      <c r="I10" s="2848"/>
      <c r="J10" s="3674"/>
      <c r="K10" s="3676"/>
      <c r="L10" s="2882" t="s">
        <v>2361</v>
      </c>
      <c r="M10" s="2883"/>
      <c r="N10" s="2859"/>
      <c r="O10" s="2884"/>
      <c r="P10" s="2884"/>
      <c r="Q10" s="2885">
        <v>365</v>
      </c>
      <c r="R10" s="2886">
        <f t="shared" si="0"/>
        <v>0</v>
      </c>
      <c r="S10" s="2840"/>
      <c r="T10" s="2840"/>
      <c r="U10" s="2840"/>
      <c r="V10" s="2848"/>
    </row>
    <row r="11" spans="1:22" s="2852" customFormat="1" ht="13.15" customHeight="1">
      <c r="A11" s="2887">
        <v>3</v>
      </c>
      <c r="B11" s="3678" t="s">
        <v>2362</v>
      </c>
      <c r="C11" s="3679"/>
      <c r="D11" s="2888">
        <f>D12+D14+D15+D16</f>
        <v>0</v>
      </c>
      <c r="E11" s="2894" t="e">
        <f>D11/D6</f>
        <v>#DIV/0!</v>
      </c>
      <c r="F11" s="2890"/>
      <c r="G11" s="2891"/>
      <c r="H11" s="2847"/>
      <c r="I11" s="2848"/>
      <c r="J11" s="3674"/>
      <c r="K11" s="367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0" t="s">
        <v>2365</v>
      </c>
      <c r="C12" s="3681"/>
      <c r="D12" s="2896">
        <f>ROUND(D13*1.2%*(1-30%),0)</f>
        <v>0</v>
      </c>
      <c r="E12" s="2897">
        <v>1.2E-2</v>
      </c>
      <c r="F12" s="2890" t="s">
        <v>2366</v>
      </c>
      <c r="G12" s="2891"/>
      <c r="H12" s="2847"/>
      <c r="I12" s="2848"/>
      <c r="J12" s="3674"/>
      <c r="K12" s="367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4"/>
      <c r="K13" s="367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0" t="s">
        <v>2371</v>
      </c>
      <c r="C14" s="3681"/>
      <c r="D14" s="2896">
        <f>ROUND(E14*B5/10000,0)</f>
        <v>0</v>
      </c>
      <c r="E14" s="2885"/>
      <c r="F14" s="2890" t="s">
        <v>2372</v>
      </c>
      <c r="G14" s="2891"/>
      <c r="H14" s="2847"/>
      <c r="I14" s="2848"/>
      <c r="J14" s="3674"/>
      <c r="K14" s="367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0" t="s">
        <v>2375</v>
      </c>
      <c r="C15" s="3681"/>
      <c r="D15" s="2896">
        <f>ROUND(D6*E15,0)</f>
        <v>0</v>
      </c>
      <c r="E15" s="2897">
        <v>5.5E-2</v>
      </c>
      <c r="F15" s="2890" t="s">
        <v>2376</v>
      </c>
      <c r="G15" s="2872"/>
      <c r="H15" s="2847"/>
      <c r="I15" s="2848"/>
      <c r="J15" s="3674">
        <v>2</v>
      </c>
      <c r="K15" s="367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0" t="s">
        <v>2384</v>
      </c>
      <c r="C16" s="3681"/>
      <c r="D16" s="2907">
        <f>D6*E16</f>
        <v>0</v>
      </c>
      <c r="E16" s="2908"/>
      <c r="F16" s="2893" t="s">
        <v>2385</v>
      </c>
      <c r="G16" s="2872"/>
      <c r="H16" s="2847"/>
      <c r="I16" s="2848"/>
      <c r="J16" s="3674"/>
      <c r="K16" s="367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2" t="s">
        <v>2387</v>
      </c>
      <c r="C17" s="3683"/>
      <c r="D17" s="2910">
        <f>ROUND(D6*E17,0)</f>
        <v>0</v>
      </c>
      <c r="E17" s="2911"/>
      <c r="F17" s="2912" t="s">
        <v>2388</v>
      </c>
      <c r="G17" s="2872"/>
      <c r="H17" s="2847"/>
      <c r="I17" s="2848"/>
      <c r="J17" s="3674"/>
      <c r="K17" s="367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4"/>
      <c r="K18" s="367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4"/>
      <c r="K19" s="367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4">
        <v>3</v>
      </c>
      <c r="K20" s="367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4"/>
      <c r="K21" s="367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4"/>
      <c r="K22" s="367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4"/>
      <c r="K23" s="367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4"/>
      <c r="K24" s="367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67" t="s">
        <v>2320</v>
      </c>
      <c r="K32" s="366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69" t="s">
        <v>2330</v>
      </c>
      <c r="K33" s="367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69" t="s">
        <v>2332</v>
      </c>
      <c r="K34" s="367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4">
        <v>1</v>
      </c>
      <c r="K36" s="367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4"/>
      <c r="K37" s="367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4"/>
      <c r="K38" s="367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4"/>
      <c r="K39" s="367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4"/>
      <c r="K40" s="367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8389</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6305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6" t="s">
        <v>1654</v>
      </c>
      <c r="C5" s="368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8389</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6" t="s">
        <v>1667</v>
      </c>
      <c r="D4" s="3707"/>
      <c r="E4" s="3708" t="s">
        <v>1668</v>
      </c>
      <c r="F4" s="3709"/>
      <c r="G4" s="3706" t="s">
        <v>1669</v>
      </c>
      <c r="H4" s="3707"/>
      <c r="I4" s="3706" t="s">
        <v>1670</v>
      </c>
      <c r="J4" s="3707"/>
      <c r="K4" s="1888" t="s">
        <v>1671</v>
      </c>
      <c r="L4" s="2714"/>
      <c r="M4" s="2715"/>
      <c r="N4" s="2715"/>
      <c r="O4" s="2715"/>
      <c r="P4" s="3710" t="s">
        <v>1672</v>
      </c>
      <c r="Q4" s="3711"/>
      <c r="R4" s="3693" t="s">
        <v>1668</v>
      </c>
      <c r="S4" s="3694"/>
      <c r="T4" s="3693" t="s">
        <v>1669</v>
      </c>
      <c r="U4" s="3694"/>
      <c r="V4" s="3718" t="s">
        <v>1670</v>
      </c>
      <c r="W4" s="3718"/>
      <c r="X4" s="1354"/>
      <c r="Y4" s="3693" t="s">
        <v>1672</v>
      </c>
      <c r="Z4" s="3694"/>
      <c r="AA4" s="3688" t="s">
        <v>1668</v>
      </c>
      <c r="AB4" s="3688" t="s">
        <v>1669</v>
      </c>
      <c r="AC4" s="3688" t="s">
        <v>1670</v>
      </c>
    </row>
    <row r="5" spans="1:29" ht="15">
      <c r="A5" s="358"/>
      <c r="B5" s="359"/>
      <c r="C5" s="3699" t="s">
        <v>1673</v>
      </c>
      <c r="D5" s="3700"/>
      <c r="E5" s="3697" t="s">
        <v>1674</v>
      </c>
      <c r="F5" s="3698"/>
      <c r="G5" s="3699" t="s">
        <v>1675</v>
      </c>
      <c r="H5" s="3700"/>
      <c r="I5" s="3699" t="s">
        <v>1676</v>
      </c>
      <c r="J5" s="3700"/>
      <c r="K5" s="1889"/>
      <c r="L5" s="2714"/>
      <c r="M5" s="2715"/>
      <c r="N5" s="2715"/>
      <c r="O5" s="2715"/>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1889" t="s">
        <v>1678</v>
      </c>
      <c r="L6" s="2714"/>
      <c r="M6" s="2715"/>
      <c r="N6" s="2715"/>
      <c r="O6" s="2715"/>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5"/>
      <c r="Q11" s="1342"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5"/>
      <c r="Q12" s="1342">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5"/>
      <c r="Q13" s="1342">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5"/>
      <c r="Q14" s="1342">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2" t="s">
        <v>1691</v>
      </c>
      <c r="Q15" s="1351" t="str">
        <f t="shared" si="6"/>
        <v>居住社区成熟度</v>
      </c>
      <c r="R15" s="705" t="s">
        <v>18</v>
      </c>
      <c r="S15" s="706">
        <f t="shared" si="0"/>
        <v>100</v>
      </c>
      <c r="T15" s="705" t="s">
        <v>18</v>
      </c>
      <c r="U15" s="706">
        <f t="shared" si="1"/>
        <v>100</v>
      </c>
      <c r="V15" s="705" t="s">
        <v>18</v>
      </c>
      <c r="W15" s="706">
        <f t="shared" si="2"/>
        <v>100</v>
      </c>
      <c r="X15" s="1354"/>
      <c r="Y15" s="372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3"/>
      <c r="Q16" s="1351"/>
      <c r="R16" s="705"/>
      <c r="S16" s="706"/>
      <c r="T16" s="705"/>
      <c r="U16" s="706"/>
      <c r="V16" s="705"/>
      <c r="W16" s="706"/>
      <c r="X16" s="1354"/>
      <c r="Y16" s="372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3"/>
      <c r="Q17" s="1351" t="str">
        <f>B17</f>
        <v>交通便捷度</v>
      </c>
      <c r="R17" s="705" t="s">
        <v>18</v>
      </c>
      <c r="S17" s="706">
        <f>F17</f>
        <v>100</v>
      </c>
      <c r="T17" s="705" t="s">
        <v>18</v>
      </c>
      <c r="U17" s="706">
        <f>H17</f>
        <v>100</v>
      </c>
      <c r="V17" s="705" t="s">
        <v>18</v>
      </c>
      <c r="W17" s="706">
        <f>J17</f>
        <v>100</v>
      </c>
      <c r="X17" s="1354"/>
      <c r="Y17" s="372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3"/>
      <c r="Q18" s="1351"/>
      <c r="R18" s="705"/>
      <c r="S18" s="706"/>
      <c r="T18" s="705"/>
      <c r="U18" s="706"/>
      <c r="V18" s="705"/>
      <c r="W18" s="706"/>
      <c r="X18" s="1354"/>
      <c r="Y18" s="372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3"/>
      <c r="Q19" s="1351" t="str">
        <f>B19</f>
        <v>公共配套设施</v>
      </c>
      <c r="R19" s="705" t="s">
        <v>18</v>
      </c>
      <c r="S19" s="706">
        <f>F19</f>
        <v>100</v>
      </c>
      <c r="T19" s="705" t="s">
        <v>18</v>
      </c>
      <c r="U19" s="706">
        <f>H19</f>
        <v>100</v>
      </c>
      <c r="V19" s="705" t="s">
        <v>18</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3"/>
      <c r="Q20" s="1351"/>
      <c r="R20" s="705"/>
      <c r="S20" s="706"/>
      <c r="T20" s="705"/>
      <c r="U20" s="706"/>
      <c r="V20" s="705"/>
      <c r="W20" s="706"/>
      <c r="X20" s="1354"/>
      <c r="Y20" s="372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3"/>
      <c r="Q22" s="1351"/>
      <c r="R22" s="705"/>
      <c r="S22" s="706"/>
      <c r="T22" s="705"/>
      <c r="U22" s="706"/>
      <c r="V22" s="705"/>
      <c r="W22" s="706"/>
      <c r="X22" s="1354"/>
      <c r="Y22" s="372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3"/>
      <c r="Q23" s="1351" t="str">
        <f>B23</f>
        <v>自然及人文环境</v>
      </c>
      <c r="R23" s="705" t="s">
        <v>18</v>
      </c>
      <c r="S23" s="706">
        <f>F23</f>
        <v>100</v>
      </c>
      <c r="T23" s="705" t="s">
        <v>18</v>
      </c>
      <c r="U23" s="706">
        <f>H23</f>
        <v>100</v>
      </c>
      <c r="V23" s="705" t="s">
        <v>18</v>
      </c>
      <c r="W23" s="706">
        <f>J23</f>
        <v>100</v>
      </c>
      <c r="X23" s="1354"/>
      <c r="Y23" s="372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3"/>
      <c r="Q24" s="1351"/>
      <c r="R24" s="705"/>
      <c r="S24" s="706"/>
      <c r="T24" s="705"/>
      <c r="U24" s="706"/>
      <c r="V24" s="705"/>
      <c r="W24" s="706"/>
      <c r="X24" s="1354"/>
      <c r="Y24" s="372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3"/>
      <c r="Q26" s="1351" t="str">
        <f t="shared" si="11"/>
        <v>朝向</v>
      </c>
      <c r="R26" s="705" t="s">
        <v>18</v>
      </c>
      <c r="S26" s="706">
        <f t="shared" si="12"/>
        <v>100</v>
      </c>
      <c r="T26" s="705" t="s">
        <v>18</v>
      </c>
      <c r="U26" s="706">
        <f t="shared" si="13"/>
        <v>100</v>
      </c>
      <c r="V26" s="705" t="s">
        <v>18</v>
      </c>
      <c r="W26" s="706">
        <f t="shared" si="14"/>
        <v>100</v>
      </c>
      <c r="X26" s="1354"/>
      <c r="Y26" s="372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3"/>
      <c r="Q27" s="1342">
        <f t="shared" si="11"/>
        <v>111</v>
      </c>
      <c r="R27" s="701" t="s">
        <v>18</v>
      </c>
      <c r="S27" s="702">
        <f t="shared" si="12"/>
        <v>100</v>
      </c>
      <c r="T27" s="701" t="s">
        <v>18</v>
      </c>
      <c r="U27" s="702">
        <f t="shared" si="13"/>
        <v>100</v>
      </c>
      <c r="V27" s="701" t="s">
        <v>18</v>
      </c>
      <c r="W27" s="702">
        <f t="shared" si="14"/>
        <v>100</v>
      </c>
      <c r="X27" s="703"/>
      <c r="Y27" s="372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3"/>
      <c r="Q28" s="1351">
        <f t="shared" si="11"/>
        <v>111</v>
      </c>
      <c r="R28" s="705" t="s">
        <v>18</v>
      </c>
      <c r="S28" s="706">
        <f t="shared" si="12"/>
        <v>100</v>
      </c>
      <c r="T28" s="705" t="s">
        <v>18</v>
      </c>
      <c r="U28" s="706">
        <f t="shared" si="13"/>
        <v>100</v>
      </c>
      <c r="V28" s="705" t="s">
        <v>18</v>
      </c>
      <c r="W28" s="706">
        <f t="shared" si="14"/>
        <v>100</v>
      </c>
      <c r="X28" s="1354"/>
      <c r="Y28" s="372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3"/>
      <c r="Q29" s="1351">
        <f t="shared" si="11"/>
        <v>111</v>
      </c>
      <c r="R29" s="705" t="s">
        <v>18</v>
      </c>
      <c r="S29" s="706">
        <f t="shared" si="12"/>
        <v>100</v>
      </c>
      <c r="T29" s="705" t="s">
        <v>18</v>
      </c>
      <c r="U29" s="706">
        <f t="shared" si="13"/>
        <v>100</v>
      </c>
      <c r="V29" s="705" t="s">
        <v>18</v>
      </c>
      <c r="W29" s="706">
        <f t="shared" si="14"/>
        <v>100</v>
      </c>
      <c r="X29" s="1354"/>
      <c r="Y29" s="372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3"/>
      <c r="Q30" s="1351">
        <f t="shared" si="11"/>
        <v>111</v>
      </c>
      <c r="R30" s="705" t="s">
        <v>18</v>
      </c>
      <c r="S30" s="706">
        <f t="shared" si="12"/>
        <v>100</v>
      </c>
      <c r="T30" s="705" t="s">
        <v>18</v>
      </c>
      <c r="U30" s="706">
        <f t="shared" si="13"/>
        <v>100</v>
      </c>
      <c r="V30" s="705" t="s">
        <v>18</v>
      </c>
      <c r="W30" s="706">
        <f t="shared" si="14"/>
        <v>100</v>
      </c>
      <c r="X30" s="1354"/>
      <c r="Y30" s="372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3"/>
      <c r="Q31" s="1351">
        <f t="shared" si="11"/>
        <v>111</v>
      </c>
      <c r="R31" s="705" t="s">
        <v>18</v>
      </c>
      <c r="S31" s="706">
        <f t="shared" si="12"/>
        <v>100</v>
      </c>
      <c r="T31" s="705" t="s">
        <v>18</v>
      </c>
      <c r="U31" s="706">
        <f t="shared" si="13"/>
        <v>100</v>
      </c>
      <c r="V31" s="705" t="s">
        <v>18</v>
      </c>
      <c r="W31" s="706">
        <f t="shared" si="14"/>
        <v>100</v>
      </c>
      <c r="X31" s="1354"/>
      <c r="Y31" s="372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7" t="s">
        <v>1696</v>
      </c>
      <c r="Q32" s="1351" t="str">
        <f t="shared" si="11"/>
        <v>建筑类型</v>
      </c>
      <c r="R32" s="705" t="s">
        <v>18</v>
      </c>
      <c r="S32" s="706">
        <f t="shared" si="12"/>
        <v>100</v>
      </c>
      <c r="T32" s="705" t="s">
        <v>18</v>
      </c>
      <c r="U32" s="706">
        <f t="shared" si="13"/>
        <v>100</v>
      </c>
      <c r="V32" s="705" t="s">
        <v>18</v>
      </c>
      <c r="W32" s="706">
        <f t="shared" si="14"/>
        <v>100</v>
      </c>
      <c r="X32" s="1354"/>
      <c r="Y32" s="373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8"/>
      <c r="Q34" s="1351" t="str">
        <f t="shared" si="11"/>
        <v>建筑结构</v>
      </c>
      <c r="R34" s="705" t="s">
        <v>18</v>
      </c>
      <c r="S34" s="706">
        <f t="shared" si="12"/>
        <v>100</v>
      </c>
      <c r="T34" s="705" t="s">
        <v>18</v>
      </c>
      <c r="U34" s="706">
        <f t="shared" si="13"/>
        <v>100</v>
      </c>
      <c r="V34" s="705" t="s">
        <v>18</v>
      </c>
      <c r="W34" s="706">
        <f t="shared" si="14"/>
        <v>100</v>
      </c>
      <c r="X34" s="1354"/>
      <c r="Y34" s="373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8"/>
      <c r="Q35" s="1351" t="str">
        <f t="shared" si="11"/>
        <v>建筑品质</v>
      </c>
      <c r="R35" s="705" t="s">
        <v>18</v>
      </c>
      <c r="S35" s="706">
        <f t="shared" si="12"/>
        <v>100</v>
      </c>
      <c r="T35" s="705" t="s">
        <v>18</v>
      </c>
      <c r="U35" s="706">
        <f t="shared" si="13"/>
        <v>100</v>
      </c>
      <c r="V35" s="705" t="s">
        <v>18</v>
      </c>
      <c r="W35" s="706">
        <f t="shared" si="14"/>
        <v>100</v>
      </c>
      <c r="X35" s="1354"/>
      <c r="Y35" s="373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8"/>
      <c r="Q36" s="1351" t="str">
        <f t="shared" si="11"/>
        <v>公共部分装修</v>
      </c>
      <c r="R36" s="705" t="s">
        <v>18</v>
      </c>
      <c r="S36" s="706">
        <f t="shared" si="12"/>
        <v>100</v>
      </c>
      <c r="T36" s="705" t="s">
        <v>18</v>
      </c>
      <c r="U36" s="706">
        <f t="shared" si="13"/>
        <v>100</v>
      </c>
      <c r="V36" s="705" t="s">
        <v>18</v>
      </c>
      <c r="W36" s="706">
        <f t="shared" si="14"/>
        <v>100</v>
      </c>
      <c r="X36" s="1354"/>
      <c r="Y36" s="373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8"/>
      <c r="Q37" s="1342"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8" t="s">
        <v>1696</v>
      </c>
      <c r="Q38" s="1351" t="str">
        <f t="shared" si="11"/>
        <v>物业管理</v>
      </c>
      <c r="R38" s="705" t="s">
        <v>18</v>
      </c>
      <c r="S38" s="706">
        <f t="shared" si="12"/>
        <v>100</v>
      </c>
      <c r="T38" s="705" t="s">
        <v>18</v>
      </c>
      <c r="U38" s="706">
        <f t="shared" si="13"/>
        <v>100</v>
      </c>
      <c r="V38" s="705" t="s">
        <v>18</v>
      </c>
      <c r="W38" s="706">
        <f t="shared" si="14"/>
        <v>100</v>
      </c>
      <c r="X38" s="1354"/>
      <c r="Y38" s="373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8"/>
      <c r="Q39" s="1351" t="str">
        <f t="shared" si="11"/>
        <v>市政基础设施</v>
      </c>
      <c r="R39" s="705" t="s">
        <v>18</v>
      </c>
      <c r="S39" s="706">
        <f t="shared" si="12"/>
        <v>100</v>
      </c>
      <c r="T39" s="705" t="s">
        <v>18</v>
      </c>
      <c r="U39" s="706">
        <f t="shared" si="13"/>
        <v>100</v>
      </c>
      <c r="V39" s="705" t="s">
        <v>18</v>
      </c>
      <c r="W39" s="706">
        <f t="shared" si="14"/>
        <v>100</v>
      </c>
      <c r="X39" s="1354"/>
      <c r="Y39" s="373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8"/>
      <c r="Q40" s="1351" t="str">
        <f t="shared" si="11"/>
        <v>房型</v>
      </c>
      <c r="R40" s="705" t="s">
        <v>18</v>
      </c>
      <c r="S40" s="706">
        <f t="shared" si="12"/>
        <v>100</v>
      </c>
      <c r="T40" s="705" t="s">
        <v>18</v>
      </c>
      <c r="U40" s="706">
        <f t="shared" si="13"/>
        <v>100</v>
      </c>
      <c r="V40" s="705" t="s">
        <v>18</v>
      </c>
      <c r="W40" s="706">
        <f t="shared" si="14"/>
        <v>100</v>
      </c>
      <c r="X40" s="1354"/>
      <c r="Y40" s="373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8"/>
      <c r="Q42" s="1351" t="str">
        <f t="shared" si="11"/>
        <v>内部装修</v>
      </c>
      <c r="R42" s="705" t="s">
        <v>18</v>
      </c>
      <c r="S42" s="706">
        <f t="shared" si="12"/>
        <v>100</v>
      </c>
      <c r="T42" s="705" t="s">
        <v>18</v>
      </c>
      <c r="U42" s="706">
        <f t="shared" si="13"/>
        <v>100</v>
      </c>
      <c r="V42" s="705" t="s">
        <v>18</v>
      </c>
      <c r="W42" s="706">
        <f t="shared" si="14"/>
        <v>100</v>
      </c>
      <c r="X42" s="1354"/>
      <c r="Y42" s="373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8"/>
      <c r="Q43" s="1351" t="str">
        <f t="shared" si="11"/>
        <v>内部装修维护情况</v>
      </c>
      <c r="R43" s="705" t="s">
        <v>18</v>
      </c>
      <c r="S43" s="706">
        <f t="shared" si="12"/>
        <v>100</v>
      </c>
      <c r="T43" s="705" t="s">
        <v>18</v>
      </c>
      <c r="U43" s="706">
        <f t="shared" si="13"/>
        <v>100</v>
      </c>
      <c r="V43" s="705" t="s">
        <v>18</v>
      </c>
      <c r="W43" s="706">
        <f t="shared" si="14"/>
        <v>100</v>
      </c>
      <c r="X43" s="1354"/>
      <c r="Y43" s="373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8"/>
      <c r="Q44" s="1342">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8"/>
      <c r="Q45" s="1351">
        <f t="shared" si="11"/>
        <v>111</v>
      </c>
      <c r="R45" s="705" t="s">
        <v>18</v>
      </c>
      <c r="S45" s="706">
        <f t="shared" si="12"/>
        <v>100</v>
      </c>
      <c r="T45" s="705" t="s">
        <v>18</v>
      </c>
      <c r="U45" s="706">
        <f t="shared" si="13"/>
        <v>100</v>
      </c>
      <c r="V45" s="705" t="s">
        <v>18</v>
      </c>
      <c r="W45" s="706">
        <f t="shared" si="14"/>
        <v>100</v>
      </c>
      <c r="X45" s="1354"/>
      <c r="Y45" s="373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9"/>
      <c r="Q46" s="1351">
        <f t="shared" si="11"/>
        <v>111</v>
      </c>
      <c r="R46" s="705" t="s">
        <v>17</v>
      </c>
      <c r="S46" s="706">
        <f t="shared" si="12"/>
        <v>100</v>
      </c>
      <c r="T46" s="705" t="s">
        <v>17</v>
      </c>
      <c r="U46" s="706">
        <f t="shared" si="13"/>
        <v>100</v>
      </c>
      <c r="V46" s="705" t="s">
        <v>17</v>
      </c>
      <c r="W46" s="706">
        <f t="shared" si="14"/>
        <v>100</v>
      </c>
      <c r="X46" s="1354"/>
      <c r="Y46" s="373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6" t="s">
        <v>1770</v>
      </c>
      <c r="D4" s="3707"/>
      <c r="E4" s="3708" t="s">
        <v>1771</v>
      </c>
      <c r="F4" s="3709"/>
      <c r="G4" s="3706" t="s">
        <v>1772</v>
      </c>
      <c r="H4" s="3707"/>
      <c r="I4" s="3706" t="s">
        <v>1773</v>
      </c>
      <c r="J4" s="3707"/>
      <c r="K4" s="559" t="s">
        <v>1774</v>
      </c>
      <c r="L4" s="2714"/>
      <c r="M4" s="2715"/>
      <c r="N4" s="2715"/>
      <c r="O4" s="2715"/>
      <c r="P4" s="3710" t="s">
        <v>1775</v>
      </c>
      <c r="Q4" s="3711"/>
      <c r="R4" s="3693" t="s">
        <v>1771</v>
      </c>
      <c r="S4" s="3694"/>
      <c r="T4" s="3693" t="s">
        <v>1772</v>
      </c>
      <c r="U4" s="3694"/>
      <c r="V4" s="3718" t="s">
        <v>1773</v>
      </c>
      <c r="W4" s="3718"/>
      <c r="X4" s="1354"/>
      <c r="Y4" s="3693" t="s">
        <v>1775</v>
      </c>
      <c r="Z4" s="3694"/>
      <c r="AA4" s="3688" t="s">
        <v>1771</v>
      </c>
      <c r="AB4" s="3718" t="s">
        <v>1772</v>
      </c>
      <c r="AC4" s="3688" t="s">
        <v>1773</v>
      </c>
    </row>
    <row r="5" spans="1:29" ht="15">
      <c r="A5" s="358"/>
      <c r="B5" s="359"/>
      <c r="C5" s="3699" t="s">
        <v>1673</v>
      </c>
      <c r="D5" s="3700"/>
      <c r="E5" s="3697" t="s">
        <v>1674</v>
      </c>
      <c r="F5" s="3698"/>
      <c r="G5" s="3699" t="s">
        <v>1675</v>
      </c>
      <c r="H5" s="3700"/>
      <c r="I5" s="3699" t="s">
        <v>1676</v>
      </c>
      <c r="J5" s="3700"/>
      <c r="K5" s="559"/>
      <c r="L5" s="2714"/>
      <c r="M5" s="2715"/>
      <c r="N5" s="2715"/>
      <c r="O5" s="2715"/>
      <c r="P5" s="3712"/>
      <c r="Q5" s="3713"/>
      <c r="R5" s="3695"/>
      <c r="S5" s="3696"/>
      <c r="T5" s="3695"/>
      <c r="U5" s="3696"/>
      <c r="V5" s="3718"/>
      <c r="W5" s="3718"/>
      <c r="X5" s="1354"/>
      <c r="Y5" s="3695"/>
      <c r="Z5" s="3696"/>
      <c r="AA5" s="3689"/>
      <c r="AB5" s="3718"/>
      <c r="AC5" s="3689"/>
    </row>
    <row r="6" spans="1:29" ht="15.75" thickBot="1">
      <c r="A6" s="360"/>
      <c r="B6" s="361"/>
      <c r="C6" s="3701" t="s">
        <v>1677</v>
      </c>
      <c r="D6" s="3702"/>
      <c r="E6" s="3703" t="s">
        <v>1677</v>
      </c>
      <c r="F6" s="3704"/>
      <c r="G6" s="3701" t="s">
        <v>1677</v>
      </c>
      <c r="H6" s="3702"/>
      <c r="I6" s="3701" t="s">
        <v>1677</v>
      </c>
      <c r="J6" s="3702"/>
      <c r="K6" s="559" t="s">
        <v>1678</v>
      </c>
      <c r="L6" s="2714"/>
      <c r="M6" s="2715"/>
      <c r="N6" s="2715"/>
      <c r="O6" s="2715"/>
      <c r="P6" s="3714"/>
      <c r="Q6" s="3715"/>
      <c r="R6" s="3695"/>
      <c r="S6" s="3696"/>
      <c r="T6" s="3716"/>
      <c r="U6" s="3717"/>
      <c r="V6" s="3718"/>
      <c r="W6" s="3718"/>
      <c r="X6" s="1354"/>
      <c r="Y6" s="3716"/>
      <c r="Z6" s="3717"/>
      <c r="AA6" s="3690"/>
      <c r="AB6" s="3718"/>
      <c r="AC6" s="3690"/>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5"/>
      <c r="Q11" s="1342"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2" t="s">
        <v>1691</v>
      </c>
      <c r="Q15" s="1351" t="str">
        <f t="shared" si="6"/>
        <v>商业繁华度</v>
      </c>
      <c r="R15" s="705" t="s">
        <v>14</v>
      </c>
      <c r="S15" s="706">
        <f t="shared" si="0"/>
        <v>100</v>
      </c>
      <c r="T15" s="705" t="s">
        <v>14</v>
      </c>
      <c r="U15" s="706">
        <f t="shared" si="1"/>
        <v>100</v>
      </c>
      <c r="V15" s="705" t="s">
        <v>14</v>
      </c>
      <c r="W15" s="706">
        <f t="shared" si="2"/>
        <v>100</v>
      </c>
      <c r="X15" s="1354"/>
      <c r="Y15" s="372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3"/>
      <c r="Q16" s="1351"/>
      <c r="R16" s="705"/>
      <c r="S16" s="706"/>
      <c r="T16" s="705"/>
      <c r="U16" s="706"/>
      <c r="V16" s="705"/>
      <c r="W16" s="706"/>
      <c r="X16" s="1354"/>
      <c r="Y16" s="372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3"/>
      <c r="Q18" s="1351"/>
      <c r="R18" s="705"/>
      <c r="S18" s="706"/>
      <c r="T18" s="705"/>
      <c r="U18" s="706"/>
      <c r="V18" s="705"/>
      <c r="W18" s="706"/>
      <c r="X18" s="1354"/>
      <c r="Y18" s="372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3"/>
      <c r="Q20" s="1351"/>
      <c r="R20" s="705"/>
      <c r="S20" s="706"/>
      <c r="T20" s="705"/>
      <c r="U20" s="706"/>
      <c r="V20" s="705"/>
      <c r="W20" s="706"/>
      <c r="X20" s="1354"/>
      <c r="Y20" s="372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3"/>
      <c r="Q22" s="1351"/>
      <c r="R22" s="705"/>
      <c r="S22" s="706"/>
      <c r="T22" s="705"/>
      <c r="U22" s="706"/>
      <c r="V22" s="705"/>
      <c r="W22" s="706"/>
      <c r="X22" s="1354"/>
      <c r="Y22" s="372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3"/>
      <c r="Q23" s="1351" t="str">
        <f>B23</f>
        <v>自然及人文环境</v>
      </c>
      <c r="R23" s="705" t="s">
        <v>14</v>
      </c>
      <c r="S23" s="706">
        <f>F23</f>
        <v>100</v>
      </c>
      <c r="T23" s="705" t="s">
        <v>14</v>
      </c>
      <c r="U23" s="706">
        <f>H23</f>
        <v>100</v>
      </c>
      <c r="V23" s="705" t="s">
        <v>14</v>
      </c>
      <c r="W23" s="706">
        <f>J23</f>
        <v>100</v>
      </c>
      <c r="X23" s="1354"/>
      <c r="Y23" s="372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3"/>
      <c r="Q24" s="1351"/>
      <c r="R24" s="705"/>
      <c r="S24" s="706"/>
      <c r="T24" s="705"/>
      <c r="U24" s="706"/>
      <c r="V24" s="705"/>
      <c r="W24" s="706"/>
      <c r="X24" s="1354"/>
      <c r="Y24" s="372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3"/>
      <c r="Q25" s="1351" t="str">
        <f t="shared" ref="Q25:Q46" si="11">B25</f>
        <v>临街状况</v>
      </c>
      <c r="R25" s="705" t="s">
        <v>14</v>
      </c>
      <c r="S25" s="706">
        <f>F25</f>
        <v>100</v>
      </c>
      <c r="T25" s="705" t="s">
        <v>14</v>
      </c>
      <c r="U25" s="706">
        <f>H25</f>
        <v>100</v>
      </c>
      <c r="V25" s="705" t="s">
        <v>14</v>
      </c>
      <c r="W25" s="706">
        <f>J25</f>
        <v>100</v>
      </c>
      <c r="X25" s="1354"/>
      <c r="Y25" s="372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3"/>
      <c r="Q26" s="1351" t="str">
        <f t="shared" si="11"/>
        <v>平面位置/可视性</v>
      </c>
      <c r="R26" s="705" t="s">
        <v>14</v>
      </c>
      <c r="S26" s="706">
        <f>F26</f>
        <v>100</v>
      </c>
      <c r="T26" s="705" t="s">
        <v>14</v>
      </c>
      <c r="U26" s="706">
        <f>H26</f>
        <v>100</v>
      </c>
      <c r="V26" s="705" t="s">
        <v>14</v>
      </c>
      <c r="W26" s="706">
        <f>J26</f>
        <v>100</v>
      </c>
      <c r="X26" s="1354"/>
      <c r="Y26" s="372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3"/>
      <c r="Q27" s="1342" t="str">
        <f t="shared" si="11"/>
        <v>人流量</v>
      </c>
      <c r="R27" s="701" t="s">
        <v>14</v>
      </c>
      <c r="S27" s="702">
        <f>F27</f>
        <v>100</v>
      </c>
      <c r="T27" s="701" t="s">
        <v>14</v>
      </c>
      <c r="U27" s="702">
        <f>H27</f>
        <v>100</v>
      </c>
      <c r="V27" s="701" t="s">
        <v>14</v>
      </c>
      <c r="W27" s="702">
        <f>J27</f>
        <v>100</v>
      </c>
      <c r="X27" s="703"/>
      <c r="Y27" s="372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3"/>
      <c r="Q29" s="1351">
        <f t="shared" si="11"/>
        <v>111</v>
      </c>
      <c r="R29" s="705" t="s">
        <v>14</v>
      </c>
      <c r="S29" s="706">
        <f t="shared" si="12"/>
        <v>100</v>
      </c>
      <c r="T29" s="705" t="s">
        <v>14</v>
      </c>
      <c r="U29" s="706">
        <f t="shared" si="13"/>
        <v>100</v>
      </c>
      <c r="V29" s="705" t="s">
        <v>14</v>
      </c>
      <c r="W29" s="706">
        <f t="shared" si="14"/>
        <v>100</v>
      </c>
      <c r="X29" s="1354"/>
      <c r="Y29" s="372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7" t="s">
        <v>1696</v>
      </c>
      <c r="Q32" s="1351" t="str">
        <f t="shared" si="11"/>
        <v>商业类型</v>
      </c>
      <c r="R32" s="705" t="s">
        <v>14</v>
      </c>
      <c r="S32" s="706">
        <f t="shared" si="12"/>
        <v>100</v>
      </c>
      <c r="T32" s="705" t="s">
        <v>14</v>
      </c>
      <c r="U32" s="706">
        <f t="shared" si="13"/>
        <v>100</v>
      </c>
      <c r="V32" s="705" t="s">
        <v>14</v>
      </c>
      <c r="W32" s="706">
        <f t="shared" si="14"/>
        <v>100</v>
      </c>
      <c r="X32" s="1354"/>
      <c r="Y32" s="373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8"/>
      <c r="Q34" s="1351" t="str">
        <f t="shared" si="11"/>
        <v>建筑结构</v>
      </c>
      <c r="R34" s="705" t="s">
        <v>14</v>
      </c>
      <c r="S34" s="706">
        <f t="shared" si="12"/>
        <v>100</v>
      </c>
      <c r="T34" s="705" t="s">
        <v>14</v>
      </c>
      <c r="U34" s="706">
        <f t="shared" si="13"/>
        <v>100</v>
      </c>
      <c r="V34" s="705" t="s">
        <v>14</v>
      </c>
      <c r="W34" s="706">
        <f t="shared" si="14"/>
        <v>100</v>
      </c>
      <c r="X34" s="1354"/>
      <c r="Y34" s="373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8"/>
      <c r="Q35" s="1351" t="str">
        <f t="shared" si="11"/>
        <v>公共部分装修</v>
      </c>
      <c r="R35" s="705" t="s">
        <v>14</v>
      </c>
      <c r="S35" s="706">
        <f t="shared" si="12"/>
        <v>100</v>
      </c>
      <c r="T35" s="705" t="s">
        <v>14</v>
      </c>
      <c r="U35" s="706">
        <f t="shared" si="13"/>
        <v>100</v>
      </c>
      <c r="V35" s="705" t="s">
        <v>14</v>
      </c>
      <c r="W35" s="706">
        <f t="shared" si="14"/>
        <v>100</v>
      </c>
      <c r="X35" s="1354"/>
      <c r="Y35" s="373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8"/>
      <c r="Q36" s="1351" t="str">
        <f t="shared" si="11"/>
        <v>成新度</v>
      </c>
      <c r="R36" s="705" t="s">
        <v>14</v>
      </c>
      <c r="S36" s="706" t="e">
        <f t="shared" si="12"/>
        <v>#N/A</v>
      </c>
      <c r="T36" s="705" t="s">
        <v>14</v>
      </c>
      <c r="U36" s="706" t="e">
        <f t="shared" si="13"/>
        <v>#N/A</v>
      </c>
      <c r="V36" s="705" t="s">
        <v>14</v>
      </c>
      <c r="W36" s="706" t="e">
        <f t="shared" si="14"/>
        <v>#N/A</v>
      </c>
      <c r="X36" s="1354"/>
      <c r="Y36" s="373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8"/>
      <c r="Q37" s="1342"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8" t="s">
        <v>1696</v>
      </c>
      <c r="Q38" s="1351" t="str">
        <f t="shared" si="11"/>
        <v>业态</v>
      </c>
      <c r="R38" s="705" t="s">
        <v>14</v>
      </c>
      <c r="S38" s="706">
        <f t="shared" si="12"/>
        <v>100</v>
      </c>
      <c r="T38" s="705" t="s">
        <v>14</v>
      </c>
      <c r="U38" s="706">
        <f t="shared" si="13"/>
        <v>100</v>
      </c>
      <c r="V38" s="705" t="s">
        <v>14</v>
      </c>
      <c r="W38" s="706">
        <f t="shared" si="14"/>
        <v>100</v>
      </c>
      <c r="X38" s="1354"/>
      <c r="Y38" s="373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8"/>
      <c r="Q39" s="1351" t="str">
        <f t="shared" si="11"/>
        <v>层高</v>
      </c>
      <c r="R39" s="705" t="s">
        <v>14</v>
      </c>
      <c r="S39" s="706">
        <f t="shared" si="12"/>
        <v>100</v>
      </c>
      <c r="T39" s="705" t="s">
        <v>14</v>
      </c>
      <c r="U39" s="706">
        <f t="shared" si="13"/>
        <v>100</v>
      </c>
      <c r="V39" s="705" t="s">
        <v>14</v>
      </c>
      <c r="W39" s="706">
        <f t="shared" si="14"/>
        <v>100</v>
      </c>
      <c r="X39" s="1354"/>
      <c r="Y39" s="373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8"/>
      <c r="Q40" s="1351" t="str">
        <f t="shared" si="11"/>
        <v>单套建筑面积</v>
      </c>
      <c r="R40" s="705" t="s">
        <v>14</v>
      </c>
      <c r="S40" s="706">
        <f t="shared" si="12"/>
        <v>100</v>
      </c>
      <c r="T40" s="705" t="s">
        <v>14</v>
      </c>
      <c r="U40" s="706">
        <f t="shared" si="13"/>
        <v>100</v>
      </c>
      <c r="V40" s="705" t="s">
        <v>14</v>
      </c>
      <c r="W40" s="706">
        <f t="shared" si="14"/>
        <v>100</v>
      </c>
      <c r="X40" s="1354"/>
      <c r="Y40" s="373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8"/>
      <c r="Q42" s="1351" t="str">
        <f t="shared" si="11"/>
        <v>内部装修</v>
      </c>
      <c r="R42" s="705" t="s">
        <v>14</v>
      </c>
      <c r="S42" s="706">
        <f t="shared" si="12"/>
        <v>100</v>
      </c>
      <c r="T42" s="705" t="s">
        <v>14</v>
      </c>
      <c r="U42" s="706">
        <f t="shared" si="13"/>
        <v>100</v>
      </c>
      <c r="V42" s="705" t="s">
        <v>14</v>
      </c>
      <c r="W42" s="706">
        <f t="shared" si="14"/>
        <v>100</v>
      </c>
      <c r="X42" s="1354"/>
      <c r="Y42" s="373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8"/>
      <c r="Q43" s="1351" t="str">
        <f t="shared" si="11"/>
        <v>内部装修维护情况</v>
      </c>
      <c r="R43" s="705" t="s">
        <v>14</v>
      </c>
      <c r="S43" s="706">
        <f t="shared" si="12"/>
        <v>100</v>
      </c>
      <c r="T43" s="705" t="s">
        <v>14</v>
      </c>
      <c r="U43" s="706">
        <f t="shared" si="13"/>
        <v>100</v>
      </c>
      <c r="V43" s="705" t="s">
        <v>14</v>
      </c>
      <c r="W43" s="706">
        <f t="shared" si="14"/>
        <v>100</v>
      </c>
      <c r="X43" s="1354"/>
      <c r="Y43" s="373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8"/>
      <c r="Q44" s="1342">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8"/>
      <c r="Q45" s="1351">
        <f t="shared" si="11"/>
        <v>111</v>
      </c>
      <c r="R45" s="705" t="s">
        <v>14</v>
      </c>
      <c r="S45" s="706">
        <f t="shared" si="12"/>
        <v>100</v>
      </c>
      <c r="T45" s="705" t="s">
        <v>14</v>
      </c>
      <c r="U45" s="706">
        <f t="shared" si="13"/>
        <v>100</v>
      </c>
      <c r="V45" s="705" t="s">
        <v>14</v>
      </c>
      <c r="W45" s="706">
        <f t="shared" si="14"/>
        <v>100</v>
      </c>
      <c r="X45" s="1354"/>
      <c r="Y45" s="373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9"/>
      <c r="Q46" s="1351">
        <f t="shared" si="11"/>
        <v>111</v>
      </c>
      <c r="R46" s="705" t="s">
        <v>14</v>
      </c>
      <c r="S46" s="706">
        <f t="shared" si="12"/>
        <v>100</v>
      </c>
      <c r="T46" s="705" t="s">
        <v>14</v>
      </c>
      <c r="U46" s="706">
        <f t="shared" si="13"/>
        <v>100</v>
      </c>
      <c r="V46" s="705" t="s">
        <v>14</v>
      </c>
      <c r="W46" s="706">
        <f t="shared" si="14"/>
        <v>100</v>
      </c>
      <c r="X46" s="1354"/>
      <c r="Y46" s="373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4"/>
      <c r="M4" s="2715"/>
      <c r="N4" s="2715"/>
      <c r="O4" s="2715"/>
      <c r="P4" s="3740" t="s">
        <v>1775</v>
      </c>
      <c r="Q4" s="3741"/>
      <c r="R4" s="3735" t="s">
        <v>1771</v>
      </c>
      <c r="S4" s="3736"/>
      <c r="T4" s="3735" t="s">
        <v>1772</v>
      </c>
      <c r="U4" s="3736"/>
      <c r="V4" s="3744" t="s">
        <v>1773</v>
      </c>
      <c r="W4" s="3744"/>
      <c r="X4" s="1957"/>
      <c r="Y4" s="3735" t="s">
        <v>1775</v>
      </c>
      <c r="Z4" s="3736"/>
      <c r="AA4" s="3734" t="s">
        <v>1771</v>
      </c>
      <c r="AB4" s="3734" t="s">
        <v>1772</v>
      </c>
      <c r="AC4" s="3737" t="s">
        <v>1773</v>
      </c>
    </row>
    <row r="5" spans="1:29" ht="15">
      <c r="A5" s="358"/>
      <c r="B5" s="359"/>
      <c r="C5" s="3699" t="s">
        <v>1673</v>
      </c>
      <c r="D5" s="3700"/>
      <c r="E5" s="3697" t="s">
        <v>1674</v>
      </c>
      <c r="F5" s="3698"/>
      <c r="G5" s="3699" t="s">
        <v>1675</v>
      </c>
      <c r="H5" s="3700"/>
      <c r="I5" s="3699" t="s">
        <v>1676</v>
      </c>
      <c r="J5" s="3700"/>
      <c r="K5" s="559"/>
      <c r="L5" s="2714"/>
      <c r="M5" s="2715"/>
      <c r="N5" s="2715"/>
      <c r="O5" s="2715"/>
      <c r="P5" s="3742"/>
      <c r="Q5" s="3713"/>
      <c r="R5" s="3695"/>
      <c r="S5" s="3696"/>
      <c r="T5" s="3695"/>
      <c r="U5" s="3696"/>
      <c r="V5" s="3718"/>
      <c r="W5" s="3718"/>
      <c r="X5" s="1354"/>
      <c r="Y5" s="3695"/>
      <c r="Z5" s="3696"/>
      <c r="AA5" s="3689"/>
      <c r="AB5" s="3689"/>
      <c r="AC5" s="3738"/>
    </row>
    <row r="6" spans="1:29" ht="15.75" thickBot="1">
      <c r="A6" s="360"/>
      <c r="B6" s="361"/>
      <c r="C6" s="3701" t="s">
        <v>1677</v>
      </c>
      <c r="D6" s="3702"/>
      <c r="E6" s="3703" t="s">
        <v>1677</v>
      </c>
      <c r="F6" s="3704"/>
      <c r="G6" s="3701" t="s">
        <v>1677</v>
      </c>
      <c r="H6" s="3702"/>
      <c r="I6" s="3701" t="s">
        <v>1677</v>
      </c>
      <c r="J6" s="3702"/>
      <c r="K6" s="559" t="s">
        <v>1678</v>
      </c>
      <c r="L6" s="2714"/>
      <c r="M6" s="2715"/>
      <c r="N6" s="2715"/>
      <c r="O6" s="2715"/>
      <c r="P6" s="3743"/>
      <c r="Q6" s="3715"/>
      <c r="R6" s="3695"/>
      <c r="S6" s="3696"/>
      <c r="T6" s="3716"/>
      <c r="U6" s="3717"/>
      <c r="V6" s="3718"/>
      <c r="W6" s="3718"/>
      <c r="X6" s="1354"/>
      <c r="Y6" s="3716"/>
      <c r="Z6" s="3717"/>
      <c r="AA6" s="3690"/>
      <c r="AB6" s="3690"/>
      <c r="AC6" s="3739"/>
    </row>
    <row r="7" spans="1:29" s="108" customFormat="1" ht="15.75" thickBot="1">
      <c r="A7" s="362" t="s">
        <v>1679</v>
      </c>
      <c r="B7" s="363"/>
      <c r="C7" s="364">
        <f>'数据-取费表'!B2</f>
        <v>45483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5"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5"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5"/>
      <c r="Q11" s="1342"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2" t="s">
        <v>1691</v>
      </c>
      <c r="Q15" s="1351" t="str">
        <f t="shared" si="6"/>
        <v>办公集聚程度</v>
      </c>
      <c r="R15" s="705" t="s">
        <v>14</v>
      </c>
      <c r="S15" s="706">
        <f t="shared" si="0"/>
        <v>100</v>
      </c>
      <c r="T15" s="705" t="s">
        <v>14</v>
      </c>
      <c r="U15" s="706">
        <f t="shared" si="1"/>
        <v>100</v>
      </c>
      <c r="V15" s="705" t="s">
        <v>14</v>
      </c>
      <c r="W15" s="706">
        <f t="shared" si="2"/>
        <v>100</v>
      </c>
      <c r="X15" s="1354"/>
      <c r="Y15" s="372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3"/>
      <c r="Q16" s="1351"/>
      <c r="R16" s="705"/>
      <c r="S16" s="706"/>
      <c r="T16" s="705"/>
      <c r="U16" s="706"/>
      <c r="V16" s="705"/>
      <c r="W16" s="706"/>
      <c r="X16" s="1354"/>
      <c r="Y16" s="372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3"/>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3"/>
      <c r="Q18" s="1351"/>
      <c r="R18" s="705"/>
      <c r="S18" s="706"/>
      <c r="T18" s="705"/>
      <c r="U18" s="706"/>
      <c r="V18" s="705"/>
      <c r="W18" s="706"/>
      <c r="X18" s="1354"/>
      <c r="Y18" s="372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3"/>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3"/>
      <c r="Q20" s="1351"/>
      <c r="R20" s="705"/>
      <c r="S20" s="706"/>
      <c r="T20" s="705"/>
      <c r="U20" s="706"/>
      <c r="V20" s="705"/>
      <c r="W20" s="706"/>
      <c r="X20" s="1354"/>
      <c r="Y20" s="372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3"/>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3"/>
      <c r="Q22" s="1351"/>
      <c r="R22" s="705"/>
      <c r="S22" s="706"/>
      <c r="T22" s="705"/>
      <c r="U22" s="706"/>
      <c r="V22" s="705"/>
      <c r="W22" s="706"/>
      <c r="X22" s="1354"/>
      <c r="Y22" s="372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3"/>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3"/>
      <c r="Q24" s="1351"/>
      <c r="R24" s="705"/>
      <c r="S24" s="706"/>
      <c r="T24" s="705"/>
      <c r="U24" s="706"/>
      <c r="V24" s="705"/>
      <c r="W24" s="706"/>
      <c r="X24" s="1354"/>
      <c r="Y24" s="372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3"/>
      <c r="Q25" s="1351" t="str">
        <f>B25</f>
        <v>毗邻道路的类型与等级</v>
      </c>
      <c r="R25" s="705" t="s">
        <v>14</v>
      </c>
      <c r="S25" s="706">
        <f>F25</f>
        <v>100</v>
      </c>
      <c r="T25" s="705" t="s">
        <v>14</v>
      </c>
      <c r="U25" s="706">
        <f>H25</f>
        <v>100</v>
      </c>
      <c r="V25" s="705" t="s">
        <v>14</v>
      </c>
      <c r="W25" s="706">
        <f>J25</f>
        <v>100</v>
      </c>
      <c r="X25" s="1354"/>
      <c r="Y25" s="372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3"/>
      <c r="Q26" s="1351"/>
      <c r="R26" s="705"/>
      <c r="S26" s="706"/>
      <c r="T26" s="705"/>
      <c r="U26" s="706"/>
      <c r="V26" s="705"/>
      <c r="W26" s="706"/>
      <c r="X26" s="1354"/>
      <c r="Y26" s="372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3"/>
      <c r="Q27" s="1351" t="str">
        <f t="shared" ref="Q27:Q47" si="11">B27</f>
        <v>楼层</v>
      </c>
      <c r="R27" s="705" t="s">
        <v>14</v>
      </c>
      <c r="S27" s="706">
        <f>F27</f>
        <v>100</v>
      </c>
      <c r="T27" s="705" t="s">
        <v>14</v>
      </c>
      <c r="U27" s="706">
        <f>H27</f>
        <v>100</v>
      </c>
      <c r="V27" s="705" t="s">
        <v>14</v>
      </c>
      <c r="W27" s="706">
        <f>J27</f>
        <v>100</v>
      </c>
      <c r="X27" s="1354"/>
      <c r="Y27" s="372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3"/>
      <c r="Q28" s="1342" t="str">
        <f t="shared" si="11"/>
        <v>朝向</v>
      </c>
      <c r="R28" s="701" t="s">
        <v>14</v>
      </c>
      <c r="S28" s="702">
        <f>F28</f>
        <v>100</v>
      </c>
      <c r="T28" s="701" t="s">
        <v>14</v>
      </c>
      <c r="U28" s="702">
        <f>H28</f>
        <v>100</v>
      </c>
      <c r="V28" s="701" t="s">
        <v>14</v>
      </c>
      <c r="W28" s="702">
        <f>J28</f>
        <v>100</v>
      </c>
      <c r="X28" s="703"/>
      <c r="Y28" s="372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3"/>
      <c r="Q29" s="1351">
        <f t="shared" si="11"/>
        <v>111</v>
      </c>
      <c r="R29" s="705" t="s">
        <v>14</v>
      </c>
      <c r="S29" s="706">
        <f t="shared" ref="S29:S47" si="12">F29</f>
        <v>100</v>
      </c>
      <c r="T29" s="705" t="s">
        <v>14</v>
      </c>
      <c r="U29" s="706">
        <f t="shared" ref="U29:U47" si="13">H29</f>
        <v>100</v>
      </c>
      <c r="V29" s="705" t="s">
        <v>14</v>
      </c>
      <c r="W29" s="706">
        <f t="shared" ref="W29:W47" si="14">J29</f>
        <v>100</v>
      </c>
      <c r="X29" s="1354"/>
      <c r="Y29" s="372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3"/>
      <c r="Q30" s="1351">
        <f t="shared" si="11"/>
        <v>111</v>
      </c>
      <c r="R30" s="705" t="s">
        <v>14</v>
      </c>
      <c r="S30" s="706">
        <f t="shared" si="12"/>
        <v>100</v>
      </c>
      <c r="T30" s="705" t="s">
        <v>14</v>
      </c>
      <c r="U30" s="706">
        <f t="shared" si="13"/>
        <v>100</v>
      </c>
      <c r="V30" s="705" t="s">
        <v>14</v>
      </c>
      <c r="W30" s="706">
        <f t="shared" si="14"/>
        <v>100</v>
      </c>
      <c r="X30" s="1354"/>
      <c r="Y30" s="372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3"/>
      <c r="Q31" s="1351">
        <f t="shared" si="11"/>
        <v>111</v>
      </c>
      <c r="R31" s="705" t="s">
        <v>14</v>
      </c>
      <c r="S31" s="706">
        <f t="shared" si="12"/>
        <v>100</v>
      </c>
      <c r="T31" s="705" t="s">
        <v>14</v>
      </c>
      <c r="U31" s="706">
        <f t="shared" si="13"/>
        <v>100</v>
      </c>
      <c r="V31" s="705" t="s">
        <v>14</v>
      </c>
      <c r="W31" s="706">
        <f t="shared" si="14"/>
        <v>100</v>
      </c>
      <c r="X31" s="1354"/>
      <c r="Y31" s="372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3"/>
      <c r="Q32" s="1351">
        <f t="shared" si="11"/>
        <v>111</v>
      </c>
      <c r="R32" s="705" t="s">
        <v>14</v>
      </c>
      <c r="S32" s="706">
        <f t="shared" si="12"/>
        <v>100</v>
      </c>
      <c r="T32" s="705" t="s">
        <v>14</v>
      </c>
      <c r="U32" s="706">
        <f t="shared" si="13"/>
        <v>100</v>
      </c>
      <c r="V32" s="705" t="s">
        <v>14</v>
      </c>
      <c r="W32" s="706">
        <f t="shared" si="14"/>
        <v>100</v>
      </c>
      <c r="X32" s="1354"/>
      <c r="Y32" s="372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7" t="s">
        <v>1696</v>
      </c>
      <c r="Q33" s="1351" t="str">
        <f t="shared" si="11"/>
        <v>建筑类型</v>
      </c>
      <c r="R33" s="705" t="s">
        <v>14</v>
      </c>
      <c r="S33" s="706">
        <f t="shared" si="12"/>
        <v>100</v>
      </c>
      <c r="T33" s="705" t="s">
        <v>14</v>
      </c>
      <c r="U33" s="706">
        <f t="shared" si="13"/>
        <v>100</v>
      </c>
      <c r="V33" s="705" t="s">
        <v>14</v>
      </c>
      <c r="W33" s="706">
        <f t="shared" si="14"/>
        <v>100</v>
      </c>
      <c r="X33" s="1354"/>
      <c r="Y33" s="373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8"/>
      <c r="Q35" s="1351" t="str">
        <f t="shared" si="11"/>
        <v>建筑结构</v>
      </c>
      <c r="R35" s="705" t="s">
        <v>14</v>
      </c>
      <c r="S35" s="706">
        <f t="shared" si="12"/>
        <v>100</v>
      </c>
      <c r="T35" s="705" t="s">
        <v>14</v>
      </c>
      <c r="U35" s="706">
        <f t="shared" si="13"/>
        <v>100</v>
      </c>
      <c r="V35" s="705" t="s">
        <v>14</v>
      </c>
      <c r="W35" s="706">
        <f t="shared" si="14"/>
        <v>100</v>
      </c>
      <c r="X35" s="1354"/>
      <c r="Y35" s="373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8"/>
      <c r="Q36" s="1351" t="str">
        <f t="shared" si="11"/>
        <v>公共部分装修</v>
      </c>
      <c r="R36" s="705" t="s">
        <v>14</v>
      </c>
      <c r="S36" s="706">
        <f t="shared" si="12"/>
        <v>100</v>
      </c>
      <c r="T36" s="705" t="s">
        <v>14</v>
      </c>
      <c r="U36" s="706">
        <f t="shared" si="13"/>
        <v>100</v>
      </c>
      <c r="V36" s="705" t="s">
        <v>14</v>
      </c>
      <c r="W36" s="706">
        <f t="shared" si="14"/>
        <v>100</v>
      </c>
      <c r="X36" s="1354"/>
      <c r="Y36" s="373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8"/>
      <c r="Q37" s="1351" t="str">
        <f t="shared" si="11"/>
        <v>成新度</v>
      </c>
      <c r="R37" s="705" t="s">
        <v>14</v>
      </c>
      <c r="S37" s="706" t="e">
        <f t="shared" si="12"/>
        <v>#N/A</v>
      </c>
      <c r="T37" s="705" t="s">
        <v>14</v>
      </c>
      <c r="U37" s="706" t="e">
        <f t="shared" si="13"/>
        <v>#N/A</v>
      </c>
      <c r="V37" s="705" t="s">
        <v>14</v>
      </c>
      <c r="W37" s="706" t="e">
        <f t="shared" si="14"/>
        <v>#N/A</v>
      </c>
      <c r="X37" s="1354"/>
      <c r="Y37" s="373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8"/>
      <c r="Q38" s="1342"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8" t="s">
        <v>1696</v>
      </c>
      <c r="Q39" s="1351" t="str">
        <f t="shared" si="11"/>
        <v>物业管理</v>
      </c>
      <c r="R39" s="705" t="s">
        <v>14</v>
      </c>
      <c r="S39" s="706">
        <f t="shared" si="12"/>
        <v>100</v>
      </c>
      <c r="T39" s="705" t="s">
        <v>14</v>
      </c>
      <c r="U39" s="706">
        <f t="shared" si="13"/>
        <v>100</v>
      </c>
      <c r="V39" s="705" t="s">
        <v>14</v>
      </c>
      <c r="W39" s="706">
        <f t="shared" si="14"/>
        <v>100</v>
      </c>
      <c r="X39" s="1354"/>
      <c r="Y39" s="373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8"/>
      <c r="Q40" s="1351" t="str">
        <f t="shared" si="11"/>
        <v>市政基础设施</v>
      </c>
      <c r="R40" s="705" t="s">
        <v>14</v>
      </c>
      <c r="S40" s="706">
        <f t="shared" si="12"/>
        <v>100</v>
      </c>
      <c r="T40" s="705" t="s">
        <v>14</v>
      </c>
      <c r="U40" s="706">
        <f t="shared" si="13"/>
        <v>100</v>
      </c>
      <c r="V40" s="705" t="s">
        <v>14</v>
      </c>
      <c r="W40" s="706">
        <f t="shared" si="14"/>
        <v>100</v>
      </c>
      <c r="X40" s="1354"/>
      <c r="Y40" s="373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8"/>
      <c r="Q41" s="1351" t="str">
        <f t="shared" si="11"/>
        <v>层高</v>
      </c>
      <c r="R41" s="705" t="s">
        <v>14</v>
      </c>
      <c r="S41" s="706">
        <f t="shared" si="12"/>
        <v>100</v>
      </c>
      <c r="T41" s="705" t="s">
        <v>14</v>
      </c>
      <c r="U41" s="706">
        <f t="shared" si="13"/>
        <v>100</v>
      </c>
      <c r="V41" s="705" t="s">
        <v>14</v>
      </c>
      <c r="W41" s="706">
        <f t="shared" si="14"/>
        <v>100</v>
      </c>
      <c r="X41" s="1354"/>
      <c r="Y41" s="373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8"/>
      <c r="Q43" s="1351" t="str">
        <f t="shared" si="11"/>
        <v>内部装修</v>
      </c>
      <c r="R43" s="705" t="s">
        <v>14</v>
      </c>
      <c r="S43" s="706">
        <f t="shared" si="12"/>
        <v>100</v>
      </c>
      <c r="T43" s="705" t="s">
        <v>14</v>
      </c>
      <c r="U43" s="706">
        <f t="shared" si="13"/>
        <v>100</v>
      </c>
      <c r="V43" s="705" t="s">
        <v>14</v>
      </c>
      <c r="W43" s="706">
        <f t="shared" si="14"/>
        <v>100</v>
      </c>
      <c r="X43" s="1354"/>
      <c r="Y43" s="373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8"/>
      <c r="Q44" s="1351" t="str">
        <f t="shared" si="11"/>
        <v>内部装修维护情况</v>
      </c>
      <c r="R44" s="705" t="s">
        <v>14</v>
      </c>
      <c r="S44" s="706">
        <f t="shared" si="12"/>
        <v>100</v>
      </c>
      <c r="T44" s="705" t="s">
        <v>14</v>
      </c>
      <c r="U44" s="706">
        <f t="shared" si="13"/>
        <v>100</v>
      </c>
      <c r="V44" s="705" t="s">
        <v>14</v>
      </c>
      <c r="W44" s="706">
        <f t="shared" si="14"/>
        <v>100</v>
      </c>
      <c r="X44" s="1354"/>
      <c r="Y44" s="373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8"/>
      <c r="Q45" s="1342">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8"/>
      <c r="Q46" s="1351">
        <f t="shared" si="11"/>
        <v>111</v>
      </c>
      <c r="R46" s="705" t="s">
        <v>14</v>
      </c>
      <c r="S46" s="706">
        <f t="shared" si="12"/>
        <v>100</v>
      </c>
      <c r="T46" s="705" t="s">
        <v>14</v>
      </c>
      <c r="U46" s="706">
        <f t="shared" si="13"/>
        <v>100</v>
      </c>
      <c r="V46" s="705" t="s">
        <v>14</v>
      </c>
      <c r="W46" s="706">
        <f t="shared" si="14"/>
        <v>100</v>
      </c>
      <c r="X46" s="1354"/>
      <c r="Y46" s="373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9"/>
      <c r="Q47" s="1351">
        <f t="shared" si="11"/>
        <v>111</v>
      </c>
      <c r="R47" s="705" t="s">
        <v>14</v>
      </c>
      <c r="S47" s="706">
        <f t="shared" si="12"/>
        <v>100</v>
      </c>
      <c r="T47" s="705" t="s">
        <v>14</v>
      </c>
      <c r="U47" s="706">
        <f t="shared" si="13"/>
        <v>100</v>
      </c>
      <c r="V47" s="705" t="s">
        <v>14</v>
      </c>
      <c r="W47" s="706">
        <f t="shared" si="14"/>
        <v>100</v>
      </c>
      <c r="X47" s="1354"/>
      <c r="Y47" s="373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2"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3"/>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6"/>
      <c r="Q16" s="1351"/>
      <c r="R16" s="705"/>
      <c r="S16" s="706"/>
      <c r="T16" s="705"/>
      <c r="U16" s="706"/>
      <c r="V16" s="705"/>
      <c r="W16" s="706"/>
      <c r="X16" s="1354"/>
      <c r="Y16" s="372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6"/>
      <c r="Q18" s="1351"/>
      <c r="R18" s="705"/>
      <c r="S18" s="706"/>
      <c r="T18" s="705"/>
      <c r="U18" s="706"/>
      <c r="V18" s="705"/>
      <c r="W18" s="706"/>
      <c r="X18" s="1354"/>
      <c r="Y18" s="372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1" t="str">
        <f>B19</f>
        <v>公共配套设施</v>
      </c>
      <c r="R19" s="705" t="s">
        <v>14</v>
      </c>
      <c r="S19" s="706">
        <f>F19</f>
        <v>100</v>
      </c>
      <c r="T19" s="705" t="s">
        <v>14</v>
      </c>
      <c r="U19" s="706">
        <f>H19</f>
        <v>100</v>
      </c>
      <c r="V19" s="705" t="s">
        <v>14</v>
      </c>
      <c r="W19" s="706">
        <f>J19</f>
        <v>100</v>
      </c>
      <c r="X19" s="1354"/>
      <c r="Y19" s="372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6"/>
      <c r="Q20" s="1351"/>
      <c r="R20" s="705"/>
      <c r="S20" s="706"/>
      <c r="T20" s="705"/>
      <c r="U20" s="706"/>
      <c r="V20" s="705"/>
      <c r="W20" s="706"/>
      <c r="X20" s="1354"/>
      <c r="Y20" s="372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1" t="str">
        <f>B21</f>
        <v>基础设施水平</v>
      </c>
      <c r="R21" s="705" t="s">
        <v>14</v>
      </c>
      <c r="S21" s="706">
        <f>F21</f>
        <v>100</v>
      </c>
      <c r="T21" s="705" t="s">
        <v>14</v>
      </c>
      <c r="U21" s="706">
        <f>H21</f>
        <v>100</v>
      </c>
      <c r="V21" s="705" t="s">
        <v>14</v>
      </c>
      <c r="W21" s="706">
        <f>J21</f>
        <v>100</v>
      </c>
      <c r="X21" s="1354"/>
      <c r="Y21" s="372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6"/>
      <c r="Q22" s="1351"/>
      <c r="R22" s="705"/>
      <c r="S22" s="706"/>
      <c r="T22" s="705"/>
      <c r="U22" s="706"/>
      <c r="V22" s="705"/>
      <c r="W22" s="706"/>
      <c r="X22" s="1354"/>
      <c r="Y22" s="372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1" t="str">
        <f>B23</f>
        <v>环境质量</v>
      </c>
      <c r="R23" s="705" t="s">
        <v>14</v>
      </c>
      <c r="S23" s="706">
        <f>F23</f>
        <v>100</v>
      </c>
      <c r="T23" s="705" t="s">
        <v>14</v>
      </c>
      <c r="U23" s="706">
        <f>H23</f>
        <v>100</v>
      </c>
      <c r="V23" s="705" t="s">
        <v>14</v>
      </c>
      <c r="W23" s="706">
        <f>J23</f>
        <v>100</v>
      </c>
      <c r="X23" s="1354"/>
      <c r="Y23" s="372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6"/>
      <c r="Q24" s="1351"/>
      <c r="R24" s="705"/>
      <c r="S24" s="706"/>
      <c r="T24" s="705"/>
      <c r="U24" s="706"/>
      <c r="V24" s="705"/>
      <c r="W24" s="706"/>
      <c r="X24" s="1354"/>
      <c r="Y24" s="372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1">
        <f>B25</f>
        <v>111</v>
      </c>
      <c r="R25" s="705" t="s">
        <v>14</v>
      </c>
      <c r="S25" s="706">
        <f>F25</f>
        <v>100</v>
      </c>
      <c r="T25" s="705" t="s">
        <v>14</v>
      </c>
      <c r="U25" s="706">
        <f>H25</f>
        <v>100</v>
      </c>
      <c r="V25" s="705" t="s">
        <v>14</v>
      </c>
      <c r="W25" s="706">
        <f>J25</f>
        <v>100</v>
      </c>
      <c r="X25" s="1354"/>
      <c r="Y25" s="372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1">
        <f t="shared" ref="Q26:Q40" si="11">B26</f>
        <v>111</v>
      </c>
      <c r="R26" s="705" t="s">
        <v>14</v>
      </c>
      <c r="S26" s="706">
        <f>F26</f>
        <v>100</v>
      </c>
      <c r="T26" s="705" t="s">
        <v>14</v>
      </c>
      <c r="U26" s="706">
        <f>H26</f>
        <v>100</v>
      </c>
      <c r="V26" s="705" t="s">
        <v>14</v>
      </c>
      <c r="W26" s="706">
        <f>J26</f>
        <v>100</v>
      </c>
      <c r="X26" s="1354"/>
      <c r="Y26" s="372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2">
        <f t="shared" si="11"/>
        <v>111</v>
      </c>
      <c r="R27" s="701" t="s">
        <v>14</v>
      </c>
      <c r="S27" s="702">
        <f>F27</f>
        <v>100</v>
      </c>
      <c r="T27" s="701" t="s">
        <v>14</v>
      </c>
      <c r="U27" s="702">
        <f>H27</f>
        <v>100</v>
      </c>
      <c r="V27" s="701" t="s">
        <v>14</v>
      </c>
      <c r="W27" s="702">
        <f>J27</f>
        <v>100</v>
      </c>
      <c r="X27" s="703"/>
      <c r="Y27" s="372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1">
        <f t="shared" si="11"/>
        <v>111</v>
      </c>
      <c r="R28" s="705" t="s">
        <v>14</v>
      </c>
      <c r="S28" s="706">
        <f t="shared" ref="S28:S40" si="12">F28</f>
        <v>100</v>
      </c>
      <c r="T28" s="705" t="s">
        <v>14</v>
      </c>
      <c r="U28" s="706">
        <f t="shared" ref="U28:U40" si="13">H28</f>
        <v>100</v>
      </c>
      <c r="V28" s="705" t="s">
        <v>14</v>
      </c>
      <c r="W28" s="706">
        <f t="shared" ref="W28:W40" si="14">J28</f>
        <v>100</v>
      </c>
      <c r="X28" s="1354"/>
      <c r="Y28" s="372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73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1" t="str">
        <f t="shared" si="11"/>
        <v>建筑结构</v>
      </c>
      <c r="R31" s="705" t="s">
        <v>14</v>
      </c>
      <c r="S31" s="706">
        <f t="shared" si="12"/>
        <v>100</v>
      </c>
      <c r="T31" s="705" t="s">
        <v>14</v>
      </c>
      <c r="U31" s="706">
        <f t="shared" si="13"/>
        <v>100</v>
      </c>
      <c r="V31" s="705" t="s">
        <v>14</v>
      </c>
      <c r="W31" s="706">
        <f t="shared" si="14"/>
        <v>100</v>
      </c>
      <c r="X31" s="1354"/>
      <c r="Y31" s="373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1" t="str">
        <f t="shared" si="11"/>
        <v>公共部分装修</v>
      </c>
      <c r="R32" s="705" t="s">
        <v>14</v>
      </c>
      <c r="S32" s="706">
        <f t="shared" si="12"/>
        <v>100</v>
      </c>
      <c r="T32" s="705" t="s">
        <v>14</v>
      </c>
      <c r="U32" s="706">
        <f t="shared" si="13"/>
        <v>100</v>
      </c>
      <c r="V32" s="705" t="s">
        <v>14</v>
      </c>
      <c r="W32" s="706">
        <f t="shared" si="14"/>
        <v>100</v>
      </c>
      <c r="X32" s="1354"/>
      <c r="Y32" s="373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1" t="str">
        <f t="shared" si="11"/>
        <v>成新度</v>
      </c>
      <c r="R33" s="705" t="s">
        <v>14</v>
      </c>
      <c r="S33" s="706" t="e">
        <f t="shared" si="12"/>
        <v>#N/A</v>
      </c>
      <c r="T33" s="705" t="s">
        <v>14</v>
      </c>
      <c r="U33" s="706" t="e">
        <f t="shared" si="13"/>
        <v>#N/A</v>
      </c>
      <c r="V33" s="705" t="s">
        <v>14</v>
      </c>
      <c r="W33" s="706" t="e">
        <f t="shared" si="14"/>
        <v>#N/A</v>
      </c>
      <c r="X33" s="1354"/>
      <c r="Y33" s="373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2"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1" t="str">
        <f t="shared" si="11"/>
        <v>市政基础设施</v>
      </c>
      <c r="R35" s="705" t="s">
        <v>14</v>
      </c>
      <c r="S35" s="706">
        <f t="shared" si="12"/>
        <v>100</v>
      </c>
      <c r="T35" s="705" t="s">
        <v>14</v>
      </c>
      <c r="U35" s="706">
        <f t="shared" si="13"/>
        <v>100</v>
      </c>
      <c r="V35" s="705" t="s">
        <v>14</v>
      </c>
      <c r="W35" s="706">
        <f t="shared" si="14"/>
        <v>100</v>
      </c>
      <c r="X35" s="1354"/>
      <c r="Y35" s="373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1" t="str">
        <f t="shared" si="11"/>
        <v>内部装修</v>
      </c>
      <c r="R36" s="705" t="s">
        <v>14</v>
      </c>
      <c r="S36" s="706">
        <f t="shared" si="12"/>
        <v>100</v>
      </c>
      <c r="T36" s="705" t="s">
        <v>14</v>
      </c>
      <c r="U36" s="706">
        <f t="shared" si="13"/>
        <v>100</v>
      </c>
      <c r="V36" s="705" t="s">
        <v>14</v>
      </c>
      <c r="W36" s="706">
        <f t="shared" si="14"/>
        <v>100</v>
      </c>
      <c r="X36" s="1354"/>
      <c r="Y36" s="373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1" t="str">
        <f t="shared" si="11"/>
        <v>内部装修状况</v>
      </c>
      <c r="R37" s="705" t="s">
        <v>14</v>
      </c>
      <c r="S37" s="706">
        <f t="shared" si="12"/>
        <v>100</v>
      </c>
      <c r="T37" s="705" t="s">
        <v>14</v>
      </c>
      <c r="U37" s="706">
        <f t="shared" si="13"/>
        <v>100</v>
      </c>
      <c r="V37" s="705" t="s">
        <v>14</v>
      </c>
      <c r="W37" s="706">
        <f t="shared" si="14"/>
        <v>100</v>
      </c>
      <c r="X37" s="1354"/>
      <c r="Y37" s="373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1">
        <f t="shared" si="11"/>
        <v>111</v>
      </c>
      <c r="R39" s="705" t="s">
        <v>14</v>
      </c>
      <c r="S39" s="706">
        <f t="shared" si="12"/>
        <v>100</v>
      </c>
      <c r="T39" s="705" t="s">
        <v>14</v>
      </c>
      <c r="U39" s="706">
        <f t="shared" si="13"/>
        <v>100</v>
      </c>
      <c r="V39" s="705" t="s">
        <v>14</v>
      </c>
      <c r="W39" s="706">
        <f t="shared" si="14"/>
        <v>100</v>
      </c>
      <c r="X39" s="1354"/>
      <c r="Y39" s="373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1">
        <f t="shared" si="11"/>
        <v>111</v>
      </c>
      <c r="R40" s="705" t="s">
        <v>14</v>
      </c>
      <c r="S40" s="706">
        <f t="shared" si="12"/>
        <v>100</v>
      </c>
      <c r="T40" s="705" t="s">
        <v>14</v>
      </c>
      <c r="U40" s="706">
        <f t="shared" si="13"/>
        <v>100</v>
      </c>
      <c r="V40" s="705" t="s">
        <v>14</v>
      </c>
      <c r="W40" s="706">
        <f t="shared" si="14"/>
        <v>100</v>
      </c>
      <c r="X40" s="1354"/>
      <c r="Y40" s="373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2024年7月10日（评估专业人员实地查勘之日）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4"/>
      <c r="M4" s="2715"/>
      <c r="N4" s="2715"/>
      <c r="O4" s="2715"/>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4"/>
      <c r="M5" s="2715"/>
      <c r="N5" s="2715"/>
      <c r="O5" s="2715"/>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4"/>
      <c r="M6" s="2715"/>
      <c r="N6" s="2715"/>
      <c r="O6" s="2715"/>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3" t="s">
        <v>1686</v>
      </c>
      <c r="Q9" s="1342"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3"/>
      <c r="Q11" s="1342">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6"/>
      <c r="Q15" s="1351"/>
      <c r="R15" s="705"/>
      <c r="S15" s="706"/>
      <c r="T15" s="705"/>
      <c r="U15" s="706"/>
      <c r="V15" s="705"/>
      <c r="W15" s="706"/>
      <c r="X15" s="1354"/>
      <c r="Y15" s="372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6"/>
      <c r="Q17" s="1351"/>
      <c r="R17" s="705"/>
      <c r="S17" s="706"/>
      <c r="T17" s="705"/>
      <c r="U17" s="706"/>
      <c r="V17" s="705"/>
      <c r="W17" s="706"/>
      <c r="X17" s="1354"/>
      <c r="Y17" s="372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6"/>
      <c r="Q19" s="1351"/>
      <c r="R19" s="705"/>
      <c r="S19" s="706"/>
      <c r="T19" s="705"/>
      <c r="U19" s="706"/>
      <c r="V19" s="705"/>
      <c r="W19" s="706"/>
      <c r="X19" s="1354"/>
      <c r="Y19" s="372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6"/>
      <c r="Q21" s="1351"/>
      <c r="R21" s="705"/>
      <c r="S21" s="706"/>
      <c r="T21" s="705"/>
      <c r="U21" s="706"/>
      <c r="V21" s="705"/>
      <c r="W21" s="706"/>
      <c r="X21" s="1354"/>
      <c r="Y21" s="372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6"/>
      <c r="Q24" s="1351">
        <f t="shared" ref="Q24:Q36"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0"/>
      <c r="Q28" s="1351" t="str">
        <f t="shared" si="11"/>
        <v>公共部分装修</v>
      </c>
      <c r="R28" s="705" t="s">
        <v>14</v>
      </c>
      <c r="S28" s="706">
        <f t="shared" si="12"/>
        <v>100</v>
      </c>
      <c r="T28" s="705" t="s">
        <v>14</v>
      </c>
      <c r="U28" s="706">
        <f t="shared" si="13"/>
        <v>100</v>
      </c>
      <c r="V28" s="705" t="s">
        <v>14</v>
      </c>
      <c r="W28" s="706">
        <f t="shared" si="14"/>
        <v>100</v>
      </c>
      <c r="X28" s="1354"/>
      <c r="Y28" s="373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0"/>
      <c r="Q29" s="1351" t="str">
        <f t="shared" si="11"/>
        <v>成新率</v>
      </c>
      <c r="R29" s="705" t="s">
        <v>14</v>
      </c>
      <c r="S29" s="706" t="e">
        <f t="shared" si="12"/>
        <v>#N/A</v>
      </c>
      <c r="T29" s="705" t="s">
        <v>14</v>
      </c>
      <c r="U29" s="706" t="e">
        <f t="shared" si="13"/>
        <v>#N/A</v>
      </c>
      <c r="V29" s="705" t="s">
        <v>14</v>
      </c>
      <c r="W29" s="706" t="e">
        <f t="shared" si="14"/>
        <v>#N/A</v>
      </c>
      <c r="X29" s="1354"/>
      <c r="Y29" s="373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0"/>
      <c r="Q30" s="1351" t="str">
        <f t="shared" si="11"/>
        <v>物业等级</v>
      </c>
      <c r="R30" s="705" t="s">
        <v>14</v>
      </c>
      <c r="S30" s="706">
        <f t="shared" si="12"/>
        <v>100</v>
      </c>
      <c r="T30" s="705" t="s">
        <v>14</v>
      </c>
      <c r="U30" s="706">
        <f t="shared" si="13"/>
        <v>100</v>
      </c>
      <c r="V30" s="705" t="s">
        <v>14</v>
      </c>
      <c r="W30" s="706">
        <f t="shared" si="14"/>
        <v>100</v>
      </c>
      <c r="X30" s="1354"/>
      <c r="Y30" s="373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0"/>
      <c r="Q31" s="1342"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0" t="s">
        <v>1696</v>
      </c>
      <c r="Q32" s="1351" t="str">
        <f t="shared" si="11"/>
        <v>车位类型</v>
      </c>
      <c r="R32" s="705" t="s">
        <v>14</v>
      </c>
      <c r="S32" s="706">
        <f t="shared" si="12"/>
        <v>100</v>
      </c>
      <c r="T32" s="705" t="s">
        <v>14</v>
      </c>
      <c r="U32" s="706">
        <f t="shared" si="13"/>
        <v>100</v>
      </c>
      <c r="V32" s="705" t="s">
        <v>14</v>
      </c>
      <c r="W32" s="706">
        <f t="shared" si="14"/>
        <v>100</v>
      </c>
      <c r="X32" s="1354"/>
      <c r="Y32" s="373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0"/>
      <c r="Q33" s="1351" t="str">
        <f t="shared" si="11"/>
        <v>是否直接入户</v>
      </c>
      <c r="R33" s="705" t="s">
        <v>14</v>
      </c>
      <c r="S33" s="706">
        <f t="shared" si="12"/>
        <v>100</v>
      </c>
      <c r="T33" s="705" t="s">
        <v>14</v>
      </c>
      <c r="U33" s="706">
        <f t="shared" si="13"/>
        <v>100</v>
      </c>
      <c r="V33" s="705" t="s">
        <v>14</v>
      </c>
      <c r="W33" s="706">
        <f t="shared" si="14"/>
        <v>100</v>
      </c>
      <c r="X33" s="1354"/>
      <c r="Y33" s="373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0"/>
      <c r="Q36" s="1351">
        <f t="shared" si="11"/>
        <v>111</v>
      </c>
      <c r="R36" s="705" t="s">
        <v>14</v>
      </c>
      <c r="S36" s="706">
        <f t="shared" si="12"/>
        <v>100</v>
      </c>
      <c r="T36" s="705" t="s">
        <v>14</v>
      </c>
      <c r="U36" s="706">
        <f t="shared" si="13"/>
        <v>100</v>
      </c>
      <c r="V36" s="705" t="s">
        <v>14</v>
      </c>
      <c r="W36" s="706">
        <f t="shared" si="14"/>
        <v>100</v>
      </c>
      <c r="X36" s="1354"/>
      <c r="Y36" s="3730"/>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4"/>
      <c r="M4" s="2715"/>
      <c r="N4" s="2715"/>
      <c r="O4" s="2715"/>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4"/>
      <c r="M5" s="2715"/>
      <c r="N5" s="2715"/>
      <c r="O5" s="2715"/>
      <c r="P5" s="3712"/>
      <c r="Q5" s="3713"/>
      <c r="R5" s="3695"/>
      <c r="S5" s="3696"/>
      <c r="T5" s="3695"/>
      <c r="U5" s="3696"/>
      <c r="V5" s="3718"/>
      <c r="W5" s="3718"/>
      <c r="X5" s="1354"/>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4"/>
      <c r="M6" s="2715"/>
      <c r="N6" s="2715"/>
      <c r="O6" s="2715"/>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45483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3" t="s">
        <v>1686</v>
      </c>
      <c r="Q9" s="1342"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3"/>
      <c r="Q11" s="1342">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5" t="s">
        <v>1691</v>
      </c>
      <c r="Q14" s="1351" t="str">
        <f t="shared" si="6"/>
        <v>交通便捷度</v>
      </c>
      <c r="R14" s="705" t="s">
        <v>14</v>
      </c>
      <c r="S14" s="706">
        <f t="shared" si="0"/>
        <v>100</v>
      </c>
      <c r="T14" s="705" t="s">
        <v>14</v>
      </c>
      <c r="U14" s="706">
        <f t="shared" si="1"/>
        <v>100</v>
      </c>
      <c r="V14" s="705" t="s">
        <v>14</v>
      </c>
      <c r="W14" s="706">
        <f t="shared" si="2"/>
        <v>100</v>
      </c>
      <c r="X14" s="1354"/>
      <c r="Y14" s="372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6"/>
      <c r="Q15" s="1351"/>
      <c r="R15" s="705"/>
      <c r="S15" s="706"/>
      <c r="T15" s="705"/>
      <c r="U15" s="706"/>
      <c r="V15" s="705"/>
      <c r="W15" s="706"/>
      <c r="X15" s="1354"/>
      <c r="Y15" s="372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6"/>
      <c r="Q16" s="1351" t="str">
        <f>B16</f>
        <v>公共配套设施</v>
      </c>
      <c r="R16" s="705" t="s">
        <v>14</v>
      </c>
      <c r="S16" s="706">
        <f>F16</f>
        <v>100</v>
      </c>
      <c r="T16" s="705" t="s">
        <v>14</v>
      </c>
      <c r="U16" s="706">
        <f>H16</f>
        <v>100</v>
      </c>
      <c r="V16" s="705" t="s">
        <v>14</v>
      </c>
      <c r="W16" s="706">
        <f>J16</f>
        <v>100</v>
      </c>
      <c r="X16" s="1354"/>
      <c r="Y16" s="372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6"/>
      <c r="Q17" s="1351"/>
      <c r="R17" s="705"/>
      <c r="S17" s="706"/>
      <c r="T17" s="705"/>
      <c r="U17" s="706"/>
      <c r="V17" s="705"/>
      <c r="W17" s="706"/>
      <c r="X17" s="1354"/>
      <c r="Y17" s="372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6"/>
      <c r="Q18" s="1351" t="str">
        <f>B18</f>
        <v>基础设施水平</v>
      </c>
      <c r="R18" s="705" t="s">
        <v>14</v>
      </c>
      <c r="S18" s="706">
        <f>F18</f>
        <v>100</v>
      </c>
      <c r="T18" s="705" t="s">
        <v>14</v>
      </c>
      <c r="U18" s="706">
        <f>H18</f>
        <v>100</v>
      </c>
      <c r="V18" s="705" t="s">
        <v>14</v>
      </c>
      <c r="W18" s="706">
        <f>J18</f>
        <v>100</v>
      </c>
      <c r="X18" s="1354"/>
      <c r="Y18" s="372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6"/>
      <c r="Q19" s="1351"/>
      <c r="R19" s="705"/>
      <c r="S19" s="706"/>
      <c r="T19" s="705"/>
      <c r="U19" s="706"/>
      <c r="V19" s="705"/>
      <c r="W19" s="706"/>
      <c r="X19" s="1354"/>
      <c r="Y19" s="372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6"/>
      <c r="Q20" s="1351" t="str">
        <f>B20</f>
        <v>自然及人文环境</v>
      </c>
      <c r="R20" s="705" t="s">
        <v>14</v>
      </c>
      <c r="S20" s="706">
        <f>F20</f>
        <v>100</v>
      </c>
      <c r="T20" s="705" t="s">
        <v>14</v>
      </c>
      <c r="U20" s="706">
        <f>H20</f>
        <v>100</v>
      </c>
      <c r="V20" s="705" t="s">
        <v>14</v>
      </c>
      <c r="W20" s="706">
        <f>J20</f>
        <v>100</v>
      </c>
      <c r="X20" s="1354"/>
      <c r="Y20" s="372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6"/>
      <c r="Q21" s="1351"/>
      <c r="R21" s="705"/>
      <c r="S21" s="706"/>
      <c r="T21" s="705"/>
      <c r="U21" s="706"/>
      <c r="V21" s="705"/>
      <c r="W21" s="706"/>
      <c r="X21" s="1354"/>
      <c r="Y21" s="372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6"/>
      <c r="Q22" s="1351" t="str">
        <f>B22</f>
        <v>楼层</v>
      </c>
      <c r="R22" s="705" t="s">
        <v>14</v>
      </c>
      <c r="S22" s="706">
        <f>F22</f>
        <v>100</v>
      </c>
      <c r="T22" s="705" t="s">
        <v>14</v>
      </c>
      <c r="U22" s="706">
        <f>H22</f>
        <v>100</v>
      </c>
      <c r="V22" s="705" t="s">
        <v>14</v>
      </c>
      <c r="W22" s="706">
        <f>J22</f>
        <v>100</v>
      </c>
      <c r="X22" s="1354"/>
      <c r="Y22" s="372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6"/>
      <c r="Q23" s="1351">
        <f>B23</f>
        <v>111</v>
      </c>
      <c r="R23" s="705" t="s">
        <v>14</v>
      </c>
      <c r="S23" s="706">
        <f>F23</f>
        <v>100</v>
      </c>
      <c r="T23" s="705" t="s">
        <v>14</v>
      </c>
      <c r="U23" s="706">
        <f>H23</f>
        <v>100</v>
      </c>
      <c r="V23" s="705" t="s">
        <v>14</v>
      </c>
      <c r="W23" s="706">
        <f>J23</f>
        <v>100</v>
      </c>
      <c r="X23" s="1354"/>
      <c r="Y23" s="372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6"/>
      <c r="Q24" s="1351">
        <f t="shared" ref="Q24:Q34" si="11">B24</f>
        <v>111</v>
      </c>
      <c r="R24" s="705" t="s">
        <v>14</v>
      </c>
      <c r="S24" s="706">
        <f>F24</f>
        <v>100</v>
      </c>
      <c r="T24" s="705" t="s">
        <v>14</v>
      </c>
      <c r="U24" s="706">
        <f>H24</f>
        <v>100</v>
      </c>
      <c r="V24" s="705" t="s">
        <v>14</v>
      </c>
      <c r="W24" s="706">
        <f>J24</f>
        <v>100</v>
      </c>
      <c r="X24" s="1354"/>
      <c r="Y24" s="372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6"/>
      <c r="Q25" s="1342">
        <f t="shared" si="11"/>
        <v>111</v>
      </c>
      <c r="R25" s="701" t="s">
        <v>14</v>
      </c>
      <c r="S25" s="702">
        <f>F25</f>
        <v>100</v>
      </c>
      <c r="T25" s="701" t="s">
        <v>14</v>
      </c>
      <c r="U25" s="702">
        <f>H25</f>
        <v>100</v>
      </c>
      <c r="V25" s="701" t="s">
        <v>14</v>
      </c>
      <c r="W25" s="702">
        <f>J25</f>
        <v>100</v>
      </c>
      <c r="X25" s="703"/>
      <c r="Y25" s="372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0"/>
      <c r="Q28" s="1351" t="str">
        <f t="shared" si="11"/>
        <v>物业等级</v>
      </c>
      <c r="R28" s="705" t="s">
        <v>14</v>
      </c>
      <c r="S28" s="706">
        <f t="shared" si="12"/>
        <v>100</v>
      </c>
      <c r="T28" s="705" t="s">
        <v>14</v>
      </c>
      <c r="U28" s="706">
        <f t="shared" si="13"/>
        <v>100</v>
      </c>
      <c r="V28" s="705" t="s">
        <v>14</v>
      </c>
      <c r="W28" s="706">
        <f t="shared" si="14"/>
        <v>100</v>
      </c>
      <c r="X28" s="1354"/>
      <c r="Y28" s="373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0"/>
      <c r="Q29" s="1351" t="str">
        <f t="shared" si="11"/>
        <v>有无电梯</v>
      </c>
      <c r="R29" s="705" t="s">
        <v>14</v>
      </c>
      <c r="S29" s="706">
        <f t="shared" si="12"/>
        <v>100</v>
      </c>
      <c r="T29" s="705" t="s">
        <v>14</v>
      </c>
      <c r="U29" s="706">
        <f t="shared" si="13"/>
        <v>100</v>
      </c>
      <c r="V29" s="705" t="s">
        <v>14</v>
      </c>
      <c r="W29" s="706">
        <f t="shared" si="14"/>
        <v>100</v>
      </c>
      <c r="X29" s="1354"/>
      <c r="Y29" s="373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0"/>
      <c r="Q30" s="1351" t="str">
        <f t="shared" si="11"/>
        <v>建筑面积</v>
      </c>
      <c r="R30" s="705" t="s">
        <v>14</v>
      </c>
      <c r="S30" s="706" t="e">
        <f t="shared" si="12"/>
        <v>#N/A</v>
      </c>
      <c r="T30" s="705" t="s">
        <v>14</v>
      </c>
      <c r="U30" s="706" t="e">
        <f t="shared" si="13"/>
        <v>#N/A</v>
      </c>
      <c r="V30" s="705" t="s">
        <v>14</v>
      </c>
      <c r="W30" s="706" t="e">
        <f t="shared" si="14"/>
        <v>#N/A</v>
      </c>
      <c r="X30" s="1354"/>
      <c r="Y30" s="373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0"/>
      <c r="Q31" s="1342"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0" t="s">
        <v>1696</v>
      </c>
      <c r="Q32" s="1351">
        <f t="shared" si="11"/>
        <v>111</v>
      </c>
      <c r="R32" s="705" t="s">
        <v>14</v>
      </c>
      <c r="S32" s="706">
        <f t="shared" si="12"/>
        <v>100</v>
      </c>
      <c r="T32" s="705" t="s">
        <v>14</v>
      </c>
      <c r="U32" s="706">
        <f t="shared" si="13"/>
        <v>100</v>
      </c>
      <c r="V32" s="705" t="s">
        <v>14</v>
      </c>
      <c r="W32" s="706">
        <f t="shared" si="14"/>
        <v>100</v>
      </c>
      <c r="X32" s="1354"/>
      <c r="Y32" s="373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0"/>
      <c r="Q33" s="1351">
        <f t="shared" si="11"/>
        <v>111</v>
      </c>
      <c r="R33" s="705" t="s">
        <v>14</v>
      </c>
      <c r="S33" s="706">
        <f t="shared" si="12"/>
        <v>100</v>
      </c>
      <c r="T33" s="705" t="s">
        <v>14</v>
      </c>
      <c r="U33" s="706">
        <f t="shared" si="13"/>
        <v>100</v>
      </c>
      <c r="V33" s="705" t="s">
        <v>14</v>
      </c>
      <c r="W33" s="706">
        <f t="shared" si="14"/>
        <v>100</v>
      </c>
      <c r="X33" s="1354"/>
      <c r="Y33" s="373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0"/>
      <c r="Q34" s="1351">
        <f t="shared" si="11"/>
        <v>111</v>
      </c>
      <c r="R34" s="705" t="s">
        <v>14</v>
      </c>
      <c r="S34" s="706">
        <f t="shared" si="12"/>
        <v>100</v>
      </c>
      <c r="T34" s="705" t="s">
        <v>14</v>
      </c>
      <c r="U34" s="706">
        <f t="shared" si="13"/>
        <v>100</v>
      </c>
      <c r="V34" s="705" t="s">
        <v>14</v>
      </c>
      <c r="W34" s="706">
        <f t="shared" si="14"/>
        <v>100</v>
      </c>
      <c r="X34" s="1354"/>
      <c r="Y34" s="373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4"/>
      <c r="M4" s="2715"/>
      <c r="N4" s="2715"/>
      <c r="O4" s="2715"/>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30" ht="15">
      <c r="A5" s="358"/>
      <c r="B5" s="359"/>
      <c r="C5" s="3699" t="s">
        <v>1673</v>
      </c>
      <c r="D5" s="3700"/>
      <c r="E5" s="3697" t="s">
        <v>1674</v>
      </c>
      <c r="F5" s="3698"/>
      <c r="G5" s="3699" t="s">
        <v>1675</v>
      </c>
      <c r="H5" s="3700"/>
      <c r="I5" s="3699" t="s">
        <v>1676</v>
      </c>
      <c r="J5" s="3700"/>
      <c r="K5" s="559"/>
      <c r="L5" s="2714"/>
      <c r="M5" s="2715"/>
      <c r="N5" s="2715"/>
      <c r="O5" s="2715"/>
      <c r="P5" s="3712"/>
      <c r="Q5" s="3713"/>
      <c r="R5" s="3695"/>
      <c r="S5" s="3696"/>
      <c r="T5" s="3695"/>
      <c r="U5" s="3696"/>
      <c r="V5" s="3718"/>
      <c r="W5" s="3718"/>
      <c r="X5" s="1354"/>
      <c r="Y5" s="3695"/>
      <c r="Z5" s="3696"/>
      <c r="AA5" s="3689"/>
      <c r="AB5" s="3689"/>
      <c r="AC5" s="3689"/>
    </row>
    <row r="6" spans="1:30" ht="15.75" thickBot="1">
      <c r="A6" s="360"/>
      <c r="B6" s="361"/>
      <c r="C6" s="3701" t="s">
        <v>1677</v>
      </c>
      <c r="D6" s="3702"/>
      <c r="E6" s="3703" t="s">
        <v>1677</v>
      </c>
      <c r="F6" s="3704"/>
      <c r="G6" s="3701" t="s">
        <v>1677</v>
      </c>
      <c r="H6" s="3702"/>
      <c r="I6" s="3701" t="s">
        <v>1677</v>
      </c>
      <c r="J6" s="3702"/>
      <c r="K6" s="559" t="s">
        <v>1678</v>
      </c>
      <c r="L6" s="2714"/>
      <c r="M6" s="2715"/>
      <c r="N6" s="2715"/>
      <c r="O6" s="2715"/>
      <c r="P6" s="3714"/>
      <c r="Q6" s="3715"/>
      <c r="R6" s="3695"/>
      <c r="S6" s="3696"/>
      <c r="T6" s="3716"/>
      <c r="U6" s="3717"/>
      <c r="V6" s="3718"/>
      <c r="W6" s="3718"/>
      <c r="X6" s="1354"/>
      <c r="Y6" s="3716"/>
      <c r="Z6" s="3717"/>
      <c r="AA6" s="3690"/>
      <c r="AB6" s="3690"/>
      <c r="AC6" s="3690"/>
    </row>
    <row r="7" spans="1:30" s="108" customFormat="1" ht="15.75" thickBot="1">
      <c r="A7" s="362" t="s">
        <v>1679</v>
      </c>
      <c r="B7" s="363"/>
      <c r="C7" s="364">
        <f>'数据-取费表'!B2</f>
        <v>45483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723"/>
      <c r="Q10" s="1342" t="str">
        <f t="shared" si="6"/>
        <v>土地使用年限（年）</v>
      </c>
      <c r="R10" s="701" t="s">
        <v>14</v>
      </c>
      <c r="S10" s="702">
        <f t="shared" si="0"/>
        <v>117</v>
      </c>
      <c r="T10" s="701" t="s">
        <v>14</v>
      </c>
      <c r="U10" s="702">
        <f t="shared" si="1"/>
        <v>117</v>
      </c>
      <c r="V10" s="701" t="s">
        <v>14</v>
      </c>
      <c r="W10" s="702">
        <f t="shared" si="2"/>
        <v>117</v>
      </c>
      <c r="X10" s="703"/>
      <c r="Y10" s="3635"/>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3"/>
      <c r="Q11" s="1342"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3"/>
      <c r="Q12" s="1342"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3"/>
      <c r="Q13" s="1342">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3"/>
      <c r="Q14" s="1342">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5" t="s">
        <v>1691</v>
      </c>
      <c r="Q15" s="1351" t="str">
        <f t="shared" si="6"/>
        <v>居住社区成熟度</v>
      </c>
      <c r="R15" s="705" t="s">
        <v>14</v>
      </c>
      <c r="S15" s="706">
        <f t="shared" si="0"/>
        <v>100</v>
      </c>
      <c r="T15" s="705" t="s">
        <v>14</v>
      </c>
      <c r="U15" s="706">
        <f t="shared" si="1"/>
        <v>100</v>
      </c>
      <c r="V15" s="705" t="s">
        <v>14</v>
      </c>
      <c r="W15" s="706">
        <f t="shared" si="2"/>
        <v>100</v>
      </c>
      <c r="X15" s="1354"/>
      <c r="Y15" s="372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6"/>
      <c r="Q16" s="1351"/>
      <c r="R16" s="705"/>
      <c r="S16" s="706"/>
      <c r="T16" s="705"/>
      <c r="U16" s="706"/>
      <c r="V16" s="705"/>
      <c r="W16" s="706"/>
      <c r="X16" s="1354"/>
      <c r="Y16" s="372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6"/>
      <c r="Q17" s="1351" t="str">
        <f>B17</f>
        <v>商业繁华度</v>
      </c>
      <c r="R17" s="705" t="s">
        <v>14</v>
      </c>
      <c r="S17" s="706">
        <f>F17</f>
        <v>100</v>
      </c>
      <c r="T17" s="705" t="s">
        <v>14</v>
      </c>
      <c r="U17" s="706">
        <f>H17</f>
        <v>100</v>
      </c>
      <c r="V17" s="705" t="s">
        <v>14</v>
      </c>
      <c r="W17" s="706">
        <f>J17</f>
        <v>100</v>
      </c>
      <c r="X17" s="1354"/>
      <c r="Y17" s="372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6"/>
      <c r="Q18" s="1351"/>
      <c r="R18" s="705"/>
      <c r="S18" s="706"/>
      <c r="T18" s="705"/>
      <c r="U18" s="706"/>
      <c r="V18" s="705"/>
      <c r="W18" s="706"/>
      <c r="X18" s="1354"/>
      <c r="Y18" s="372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6"/>
      <c r="Q19" s="1351" t="str">
        <f>B19</f>
        <v>办公集聚程度</v>
      </c>
      <c r="R19" s="705" t="s">
        <v>14</v>
      </c>
      <c r="S19" s="706">
        <f>F19</f>
        <v>100</v>
      </c>
      <c r="T19" s="705" t="s">
        <v>14</v>
      </c>
      <c r="U19" s="706">
        <f>H19</f>
        <v>100</v>
      </c>
      <c r="V19" s="705" t="s">
        <v>14</v>
      </c>
      <c r="W19" s="706">
        <f>J19</f>
        <v>100</v>
      </c>
      <c r="X19" s="1354"/>
      <c r="Y19" s="372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6"/>
      <c r="Q20" s="1351"/>
      <c r="R20" s="705"/>
      <c r="S20" s="706"/>
      <c r="T20" s="705"/>
      <c r="U20" s="706"/>
      <c r="V20" s="705"/>
      <c r="W20" s="706"/>
      <c r="X20" s="1354"/>
      <c r="Y20" s="372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6"/>
      <c r="Q21" s="1351" t="str">
        <f>B21</f>
        <v>交通便捷度</v>
      </c>
      <c r="R21" s="705" t="s">
        <v>14</v>
      </c>
      <c r="S21" s="706">
        <f>F21</f>
        <v>100</v>
      </c>
      <c r="T21" s="705" t="s">
        <v>14</v>
      </c>
      <c r="U21" s="706">
        <f>H21</f>
        <v>100</v>
      </c>
      <c r="V21" s="705" t="s">
        <v>14</v>
      </c>
      <c r="W21" s="706">
        <f>J21</f>
        <v>100</v>
      </c>
      <c r="X21" s="1354"/>
      <c r="Y21" s="372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6"/>
      <c r="Q22" s="1351"/>
      <c r="R22" s="705"/>
      <c r="S22" s="706"/>
      <c r="T22" s="705"/>
      <c r="U22" s="706"/>
      <c r="V22" s="705"/>
      <c r="W22" s="706"/>
      <c r="X22" s="1354"/>
      <c r="Y22" s="372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6"/>
      <c r="Q23" s="1351" t="str">
        <f t="shared" ref="Q23:Q37" si="8">B23</f>
        <v>区域土地利用方向</v>
      </c>
      <c r="R23" s="705" t="s">
        <v>14</v>
      </c>
      <c r="S23" s="706">
        <f>F23</f>
        <v>100</v>
      </c>
      <c r="T23" s="705" t="s">
        <v>14</v>
      </c>
      <c r="U23" s="706">
        <f>H23</f>
        <v>100</v>
      </c>
      <c r="V23" s="705" t="s">
        <v>14</v>
      </c>
      <c r="W23" s="706">
        <f>J23</f>
        <v>100</v>
      </c>
      <c r="X23" s="1354"/>
      <c r="Y23" s="372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6"/>
      <c r="Q24" s="1351"/>
      <c r="R24" s="705"/>
      <c r="S24" s="706"/>
      <c r="T24" s="705"/>
      <c r="U24" s="706"/>
      <c r="V24" s="705"/>
      <c r="W24" s="706"/>
      <c r="X24" s="1354"/>
      <c r="Y24" s="372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6"/>
      <c r="Q25" s="1351" t="str">
        <f t="shared" si="8"/>
        <v>自然及人文环境状况</v>
      </c>
      <c r="R25" s="705" t="s">
        <v>14</v>
      </c>
      <c r="S25" s="706">
        <f>F25</f>
        <v>100</v>
      </c>
      <c r="T25" s="705" t="s">
        <v>14</v>
      </c>
      <c r="U25" s="706">
        <f>H25</f>
        <v>100</v>
      </c>
      <c r="V25" s="705" t="s">
        <v>14</v>
      </c>
      <c r="W25" s="706">
        <f>J25</f>
        <v>100</v>
      </c>
      <c r="X25" s="1354"/>
      <c r="Y25" s="372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6"/>
      <c r="Q26" s="1351"/>
      <c r="R26" s="705"/>
      <c r="S26" s="706"/>
      <c r="T26" s="705"/>
      <c r="U26" s="706"/>
      <c r="V26" s="705"/>
      <c r="W26" s="706"/>
      <c r="X26" s="1354"/>
      <c r="Y26" s="372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6"/>
      <c r="Q27" s="1342" t="str">
        <f t="shared" si="8"/>
        <v>公共配套设施</v>
      </c>
      <c r="R27" s="701" t="s">
        <v>14</v>
      </c>
      <c r="S27" s="702">
        <f>F27</f>
        <v>100</v>
      </c>
      <c r="T27" s="701" t="s">
        <v>14</v>
      </c>
      <c r="U27" s="702">
        <f>H27</f>
        <v>100</v>
      </c>
      <c r="V27" s="701" t="s">
        <v>14</v>
      </c>
      <c r="W27" s="702">
        <f>J27</f>
        <v>100</v>
      </c>
      <c r="X27" s="703"/>
      <c r="Y27" s="372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6"/>
      <c r="Q28" s="1342"/>
      <c r="R28" s="701"/>
      <c r="S28" s="702"/>
      <c r="T28" s="701"/>
      <c r="U28" s="702"/>
      <c r="V28" s="701"/>
      <c r="W28" s="702"/>
      <c r="X28" s="703"/>
      <c r="Y28" s="372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6"/>
      <c r="Q29" s="1342"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6"/>
      <c r="Q30" s="1342"/>
      <c r="R30" s="701"/>
      <c r="S30" s="702"/>
      <c r="T30" s="701"/>
      <c r="U30" s="702"/>
      <c r="V30" s="701"/>
      <c r="W30" s="702"/>
      <c r="X30" s="703"/>
      <c r="Y30" s="372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6"/>
      <c r="Q32" s="1351" t="str">
        <f t="shared" si="8"/>
        <v>毗邻道路的类型与等级</v>
      </c>
      <c r="R32" s="705" t="s">
        <v>14</v>
      </c>
      <c r="S32" s="706">
        <f t="shared" si="10"/>
        <v>100</v>
      </c>
      <c r="T32" s="705" t="s">
        <v>14</v>
      </c>
      <c r="U32" s="706">
        <f t="shared" si="11"/>
        <v>100</v>
      </c>
      <c r="V32" s="705" t="s">
        <v>14</v>
      </c>
      <c r="W32" s="706">
        <f t="shared" si="12"/>
        <v>100</v>
      </c>
      <c r="X32" s="1354"/>
      <c r="Y32" s="372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6"/>
      <c r="Q33" s="1351"/>
      <c r="R33" s="705"/>
      <c r="S33" s="706"/>
      <c r="T33" s="705"/>
      <c r="U33" s="706"/>
      <c r="V33" s="705"/>
      <c r="W33" s="706"/>
      <c r="X33" s="1354"/>
      <c r="Y33" s="372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6"/>
      <c r="Q34" s="1351" t="str">
        <f t="shared" si="8"/>
        <v>土地级别</v>
      </c>
      <c r="R34" s="705" t="s">
        <v>14</v>
      </c>
      <c r="S34" s="706">
        <f t="shared" si="10"/>
        <v>100</v>
      </c>
      <c r="T34" s="705" t="s">
        <v>14</v>
      </c>
      <c r="U34" s="706">
        <f t="shared" si="11"/>
        <v>100</v>
      </c>
      <c r="V34" s="705" t="s">
        <v>14</v>
      </c>
      <c r="W34" s="706">
        <f t="shared" si="12"/>
        <v>100</v>
      </c>
      <c r="X34" s="1354"/>
      <c r="Y34" s="372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6"/>
      <c r="Q35" s="1351">
        <f t="shared" si="8"/>
        <v>111</v>
      </c>
      <c r="R35" s="705" t="s">
        <v>14</v>
      </c>
      <c r="S35" s="706">
        <f t="shared" si="10"/>
        <v>100</v>
      </c>
      <c r="T35" s="705" t="s">
        <v>14</v>
      </c>
      <c r="U35" s="706">
        <f t="shared" si="11"/>
        <v>100</v>
      </c>
      <c r="V35" s="705" t="s">
        <v>14</v>
      </c>
      <c r="W35" s="706">
        <f t="shared" si="12"/>
        <v>100</v>
      </c>
      <c r="X35" s="1354"/>
      <c r="Y35" s="372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9" t="s">
        <v>1696</v>
      </c>
      <c r="Q36" s="1351">
        <f t="shared" si="8"/>
        <v>111</v>
      </c>
      <c r="R36" s="705" t="s">
        <v>14</v>
      </c>
      <c r="S36" s="706">
        <f t="shared" si="10"/>
        <v>100</v>
      </c>
      <c r="T36" s="705" t="s">
        <v>14</v>
      </c>
      <c r="U36" s="706">
        <f t="shared" si="11"/>
        <v>100</v>
      </c>
      <c r="V36" s="705" t="s">
        <v>14</v>
      </c>
      <c r="W36" s="706">
        <f t="shared" si="12"/>
        <v>100</v>
      </c>
      <c r="X36" s="1354"/>
      <c r="Y36" s="373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0"/>
      <c r="Q37" s="1351">
        <f t="shared" si="8"/>
        <v>111</v>
      </c>
      <c r="R37" s="708" t="s">
        <v>14</v>
      </c>
      <c r="S37" s="709">
        <f t="shared" si="10"/>
        <v>100</v>
      </c>
      <c r="T37" s="708" t="s">
        <v>14</v>
      </c>
      <c r="U37" s="709">
        <f t="shared" si="11"/>
        <v>100</v>
      </c>
      <c r="V37" s="708" t="s">
        <v>14</v>
      </c>
      <c r="W37" s="709">
        <f t="shared" si="12"/>
        <v>100</v>
      </c>
      <c r="X37" s="710"/>
      <c r="Y37" s="373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0"/>
      <c r="Q38" s="1351" t="str">
        <f>B38</f>
        <v>宗地面积</v>
      </c>
      <c r="R38" s="705" t="s">
        <v>14</v>
      </c>
      <c r="S38" s="706" t="e">
        <f t="shared" si="10"/>
        <v>#N/A</v>
      </c>
      <c r="T38" s="705" t="s">
        <v>14</v>
      </c>
      <c r="U38" s="706" t="e">
        <f t="shared" si="11"/>
        <v>#N/A</v>
      </c>
      <c r="V38" s="705" t="s">
        <v>14</v>
      </c>
      <c r="W38" s="706" t="e">
        <f t="shared" si="12"/>
        <v>#N/A</v>
      </c>
      <c r="X38" s="1354"/>
      <c r="Y38" s="373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0"/>
      <c r="Q39" s="1351" t="str">
        <f t="shared" ref="Q39:Q45" si="14">B39</f>
        <v>宗地形状</v>
      </c>
      <c r="R39" s="705" t="s">
        <v>14</v>
      </c>
      <c r="S39" s="706">
        <f t="shared" si="10"/>
        <v>100</v>
      </c>
      <c r="T39" s="705" t="s">
        <v>14</v>
      </c>
      <c r="U39" s="706">
        <f t="shared" si="11"/>
        <v>100</v>
      </c>
      <c r="V39" s="705" t="s">
        <v>14</v>
      </c>
      <c r="W39" s="706">
        <f t="shared" si="12"/>
        <v>100</v>
      </c>
      <c r="X39" s="1354"/>
      <c r="Y39" s="373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0"/>
      <c r="Q40" s="1351" t="str">
        <f t="shared" si="14"/>
        <v>临街宽度及深度</v>
      </c>
      <c r="R40" s="705" t="s">
        <v>14</v>
      </c>
      <c r="S40" s="706">
        <f t="shared" si="10"/>
        <v>100</v>
      </c>
      <c r="T40" s="705" t="s">
        <v>14</v>
      </c>
      <c r="U40" s="706">
        <f t="shared" si="11"/>
        <v>100</v>
      </c>
      <c r="V40" s="705" t="s">
        <v>14</v>
      </c>
      <c r="W40" s="706">
        <f t="shared" si="12"/>
        <v>100</v>
      </c>
      <c r="X40" s="1354"/>
      <c r="Y40" s="373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0"/>
      <c r="Q41" s="1351"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0" t="s">
        <v>1696</v>
      </c>
      <c r="Q42" s="1351" t="str">
        <f t="shared" si="14"/>
        <v>工程地质条件</v>
      </c>
      <c r="R42" s="705" t="s">
        <v>14</v>
      </c>
      <c r="S42" s="706">
        <f t="shared" si="10"/>
        <v>100</v>
      </c>
      <c r="T42" s="705" t="s">
        <v>14</v>
      </c>
      <c r="U42" s="706">
        <f t="shared" si="11"/>
        <v>100</v>
      </c>
      <c r="V42" s="705" t="s">
        <v>14</v>
      </c>
      <c r="W42" s="706">
        <f t="shared" si="12"/>
        <v>100</v>
      </c>
      <c r="X42" s="1354"/>
      <c r="Y42" s="373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0"/>
      <c r="Q43" s="1351">
        <f t="shared" si="14"/>
        <v>111</v>
      </c>
      <c r="R43" s="705" t="s">
        <v>14</v>
      </c>
      <c r="S43" s="706">
        <f t="shared" si="10"/>
        <v>100</v>
      </c>
      <c r="T43" s="705" t="s">
        <v>14</v>
      </c>
      <c r="U43" s="706">
        <f t="shared" si="11"/>
        <v>100</v>
      </c>
      <c r="V43" s="705" t="s">
        <v>14</v>
      </c>
      <c r="W43" s="706">
        <f t="shared" si="12"/>
        <v>100</v>
      </c>
      <c r="X43" s="1354"/>
      <c r="Y43" s="373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0"/>
      <c r="Q44" s="1351">
        <f t="shared" si="14"/>
        <v>111</v>
      </c>
      <c r="R44" s="705" t="s">
        <v>14</v>
      </c>
      <c r="S44" s="706">
        <f t="shared" si="10"/>
        <v>100</v>
      </c>
      <c r="T44" s="705" t="s">
        <v>14</v>
      </c>
      <c r="U44" s="706">
        <f t="shared" si="11"/>
        <v>100</v>
      </c>
      <c r="V44" s="705" t="s">
        <v>14</v>
      </c>
      <c r="W44" s="706">
        <f t="shared" si="12"/>
        <v>100</v>
      </c>
      <c r="X44" s="1354"/>
      <c r="Y44" s="373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0"/>
      <c r="Q45" s="1351">
        <f t="shared" si="14"/>
        <v>111</v>
      </c>
      <c r="R45" s="708" t="s">
        <v>14</v>
      </c>
      <c r="S45" s="709">
        <f t="shared" si="10"/>
        <v>100</v>
      </c>
      <c r="T45" s="708" t="s">
        <v>14</v>
      </c>
      <c r="U45" s="709">
        <f t="shared" si="11"/>
        <v>100</v>
      </c>
      <c r="V45" s="708" t="s">
        <v>14</v>
      </c>
      <c r="W45" s="709">
        <f t="shared" si="12"/>
        <v>100</v>
      </c>
      <c r="X45" s="710"/>
      <c r="Y45" s="373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6" t="s">
        <v>1887</v>
      </c>
      <c r="H55" s="375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13305.62</v>
      </c>
      <c r="F56" s="886" t="e">
        <f t="shared" ref="F56:F64" si="15">ROUND(B56*E56/10000,0)</f>
        <v>#DIV/0!</v>
      </c>
      <c r="G56" s="3705"/>
      <c r="H56" s="372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13305.62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G53" sqref="G5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3309</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2487</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4"/>
      <c r="M4" s="2715"/>
      <c r="N4" s="2715"/>
      <c r="O4" s="2715"/>
      <c r="P4" s="3710" t="s">
        <v>1775</v>
      </c>
      <c r="Q4" s="3711"/>
      <c r="R4" s="3693" t="s">
        <v>1771</v>
      </c>
      <c r="S4" s="3694"/>
      <c r="T4" s="3693" t="s">
        <v>1772</v>
      </c>
      <c r="U4" s="3694"/>
      <c r="V4" s="3718" t="s">
        <v>1773</v>
      </c>
      <c r="W4" s="3718"/>
      <c r="X4" s="1354"/>
      <c r="Y4" s="3693" t="s">
        <v>1775</v>
      </c>
      <c r="Z4" s="3694"/>
      <c r="AA4" s="3688" t="s">
        <v>1771</v>
      </c>
      <c r="AB4" s="3689" t="s">
        <v>1772</v>
      </c>
      <c r="AC4" s="3688" t="s">
        <v>1773</v>
      </c>
    </row>
    <row r="5" spans="1:29" ht="15">
      <c r="A5" s="358"/>
      <c r="B5" s="359"/>
      <c r="C5" s="3699" t="s">
        <v>1673</v>
      </c>
      <c r="D5" s="3700"/>
      <c r="E5" s="3697" t="str">
        <f>土地案例!A8</f>
        <v>顺义新城第30街区30-27-02地块M1工业用地国有建设用地使用权出让</v>
      </c>
      <c r="F5" s="3698"/>
      <c r="G5" s="3699" t="str">
        <f>土地案例!A5</f>
        <v>顺义新城3401街区(高丽营镇中关村顺义园三代半产业基地)3-2-4(北区)(3号地A)地块M1工业用地国有建设用地使用权出让</v>
      </c>
      <c r="H5" s="3700"/>
      <c r="I5" s="3699" t="str">
        <f>土地案例!A6</f>
        <v>顺义新城3401街区(高丽营镇中关村科技园区顺义园三代半产业基地)2号地 2-1(东区)地块M1工业用地国有建设用地使用权出让</v>
      </c>
      <c r="J5" s="3700"/>
      <c r="K5" s="559"/>
      <c r="L5" s="2714"/>
      <c r="M5" s="2715"/>
      <c r="N5" s="2715"/>
      <c r="O5" s="2715"/>
      <c r="P5" s="3712"/>
      <c r="Q5" s="3713"/>
      <c r="R5" s="3695"/>
      <c r="S5" s="3696"/>
      <c r="T5" s="3695"/>
      <c r="U5" s="3696"/>
      <c r="V5" s="3718"/>
      <c r="W5" s="3718"/>
      <c r="X5" s="1354"/>
      <c r="Y5" s="3695"/>
      <c r="Z5" s="3696"/>
      <c r="AA5" s="3689"/>
      <c r="AB5" s="3689"/>
      <c r="AC5" s="3689"/>
    </row>
    <row r="6" spans="1:29" ht="15.75" thickBot="1">
      <c r="A6" s="360"/>
      <c r="B6" s="361"/>
      <c r="C6" s="3754" t="s">
        <v>1919</v>
      </c>
      <c r="D6" s="3755"/>
      <c r="E6" s="3756" t="s">
        <v>1919</v>
      </c>
      <c r="F6" s="3757"/>
      <c r="G6" s="3754" t="s">
        <v>1919</v>
      </c>
      <c r="H6" s="3755"/>
      <c r="I6" s="3754" t="s">
        <v>1919</v>
      </c>
      <c r="J6" s="3755"/>
      <c r="K6" s="559" t="s">
        <v>1678</v>
      </c>
      <c r="L6" s="2714"/>
      <c r="M6" s="2715"/>
      <c r="N6" s="2715"/>
      <c r="O6" s="2715"/>
      <c r="P6" s="3714"/>
      <c r="Q6" s="3715"/>
      <c r="R6" s="3695"/>
      <c r="S6" s="3696"/>
      <c r="T6" s="3716"/>
      <c r="U6" s="3717"/>
      <c r="V6" s="3718"/>
      <c r="W6" s="3718"/>
      <c r="X6" s="1354"/>
      <c r="Y6" s="3716"/>
      <c r="Z6" s="3717"/>
      <c r="AA6" s="3690"/>
      <c r="AB6" s="3690"/>
      <c r="AC6" s="3690"/>
    </row>
    <row r="7" spans="1:29" s="108" customFormat="1" ht="15.75" thickBot="1">
      <c r="A7" s="362" t="s">
        <v>1679</v>
      </c>
      <c r="B7" s="363"/>
      <c r="C7" s="364">
        <f>'数据-取费表'!B2</f>
        <v>45483</v>
      </c>
      <c r="D7" s="365">
        <v>100</v>
      </c>
      <c r="E7" s="366">
        <f>土地案例!J8</f>
        <v>44760.333831018521</v>
      </c>
      <c r="F7" s="367">
        <f>SUMIF(65:65,YEAR(E7)&amp;"-"&amp;INT((MONTH(E7)+2)/3),66:66)</f>
        <v>98.399999999999977</v>
      </c>
      <c r="G7" s="1973">
        <f>土地案例!J5</f>
        <v>44832.333831018521</v>
      </c>
      <c r="H7" s="365">
        <f>SUMIF(65:65,YEAR(G7)&amp;"-"&amp;INT((MONTH(G7)+2)/3),66:66)</f>
        <v>98.399999999999977</v>
      </c>
      <c r="I7" s="1973">
        <f>土地案例!J6</f>
        <v>44761.333831018521</v>
      </c>
      <c r="J7" s="365">
        <f>SUMIF(65:65,YEAR(I7)&amp;"-"&amp;INT((MONTH(I7)+2)/3),66:66)</f>
        <v>98.399999999999977</v>
      </c>
      <c r="K7" s="560"/>
      <c r="L7" s="2716"/>
      <c r="M7" s="2717"/>
      <c r="N7" s="2717"/>
      <c r="O7" s="2717"/>
      <c r="P7" s="3691" t="s">
        <v>1680</v>
      </c>
      <c r="Q7" s="3719"/>
      <c r="R7" s="701" t="s">
        <v>14</v>
      </c>
      <c r="S7" s="702">
        <f t="shared" ref="S7:S15" si="0">F7</f>
        <v>98.399999999999977</v>
      </c>
      <c r="T7" s="701" t="s">
        <v>14</v>
      </c>
      <c r="U7" s="702">
        <f t="shared" ref="U7:U15" si="1">H7</f>
        <v>98.399999999999977</v>
      </c>
      <c r="V7" s="701" t="s">
        <v>14</v>
      </c>
      <c r="W7" s="702">
        <f t="shared" ref="W7:W15" si="2">J7</f>
        <v>98.399999999999977</v>
      </c>
      <c r="X7" s="703"/>
      <c r="Y7" s="3691" t="s">
        <v>1680</v>
      </c>
      <c r="Z7" s="3692"/>
      <c r="AA7" s="704">
        <f>D7/F7</f>
        <v>1.0162601626016263</v>
      </c>
      <c r="AB7" s="704">
        <f>D7/H7</f>
        <v>1.0162601626016263</v>
      </c>
      <c r="AC7" s="704">
        <f>D7/J7</f>
        <v>1.0162601626016263</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83">
        <v>50</v>
      </c>
      <c r="D10" s="127">
        <v>100</v>
      </c>
      <c r="E10" s="383">
        <v>50</v>
      </c>
      <c r="F10" s="127">
        <f>ROUND(100/'数据-取费表'!G16,0)</f>
        <v>117</v>
      </c>
      <c r="G10" s="383">
        <v>50</v>
      </c>
      <c r="H10" s="127">
        <f>ROUND(100/'数据-取费表'!G16,0)</f>
        <v>117</v>
      </c>
      <c r="I10" s="383">
        <v>50</v>
      </c>
      <c r="J10" s="127">
        <f>ROUND(100/'数据-取费表'!G16,0)</f>
        <v>117</v>
      </c>
      <c r="K10" s="620"/>
      <c r="L10" s="2718"/>
      <c r="M10" s="2719"/>
      <c r="N10" s="2719"/>
      <c r="O10" s="2772"/>
      <c r="P10" s="3723"/>
      <c r="Q10" s="1342" t="str">
        <f t="shared" si="6"/>
        <v>土地使用年限（年）</v>
      </c>
      <c r="R10" s="701" t="s">
        <v>14</v>
      </c>
      <c r="S10" s="702">
        <f t="shared" si="0"/>
        <v>117</v>
      </c>
      <c r="T10" s="701" t="s">
        <v>14</v>
      </c>
      <c r="U10" s="702">
        <f t="shared" si="1"/>
        <v>117</v>
      </c>
      <c r="V10" s="701" t="s">
        <v>14</v>
      </c>
      <c r="W10" s="702">
        <f t="shared" si="2"/>
        <v>117</v>
      </c>
      <c r="X10" s="703"/>
      <c r="Y10" s="3635"/>
      <c r="Z10" s="52" t="str">
        <f t="shared" si="7"/>
        <v>土地使用年限（年）</v>
      </c>
      <c r="AA10" s="704">
        <f t="shared" si="3"/>
        <v>0.85470085470085466</v>
      </c>
      <c r="AB10" s="704">
        <f t="shared" si="4"/>
        <v>0.85470085470085466</v>
      </c>
      <c r="AC10" s="704">
        <f t="shared" si="5"/>
        <v>0.85470085470085466</v>
      </c>
    </row>
    <row r="11" spans="1:29" ht="15.75" thickBot="1">
      <c r="A11" s="379"/>
      <c r="B11" s="375" t="s">
        <v>1689</v>
      </c>
      <c r="C11" s="380">
        <f>'数据-汇总表'!I7</f>
        <v>0.91</v>
      </c>
      <c r="D11" s="127">
        <v>100</v>
      </c>
      <c r="E11" s="380">
        <v>1.3</v>
      </c>
      <c r="F11" s="127">
        <f>LOOKUP(E11,75:75,76:76)-LOOKUP(C11,75:75,76:76)+100</f>
        <v>103</v>
      </c>
      <c r="G11" s="381">
        <v>1.5</v>
      </c>
      <c r="H11" s="127">
        <f>LOOKUP(G11,75:75,76:76)-LOOKUP(C11,75:75,76:76)+100</f>
        <v>103</v>
      </c>
      <c r="I11" s="380">
        <v>1.5</v>
      </c>
      <c r="J11" s="127">
        <f>LOOKUP(I11,75:75,76:76)-LOOKUP(C11,75:75,76:76)+100</f>
        <v>103</v>
      </c>
      <c r="K11" s="621">
        <v>3</v>
      </c>
      <c r="L11" s="2720"/>
      <c r="M11" s="2715"/>
      <c r="N11" s="2715"/>
      <c r="O11" s="2773"/>
      <c r="P11" s="3723"/>
      <c r="Q11" s="1342" t="str">
        <f t="shared" si="6"/>
        <v>容积率</v>
      </c>
      <c r="R11" s="701" t="s">
        <v>14</v>
      </c>
      <c r="S11" s="702">
        <f t="shared" si="0"/>
        <v>103</v>
      </c>
      <c r="T11" s="701" t="s">
        <v>14</v>
      </c>
      <c r="U11" s="702">
        <f t="shared" si="1"/>
        <v>103</v>
      </c>
      <c r="V11" s="701" t="s">
        <v>14</v>
      </c>
      <c r="W11" s="702">
        <f t="shared" si="2"/>
        <v>103</v>
      </c>
      <c r="X11" s="703"/>
      <c r="Y11" s="3635"/>
      <c r="Z11" s="52" t="str">
        <f t="shared" si="7"/>
        <v>容积率</v>
      </c>
      <c r="AA11" s="704">
        <f t="shared" si="3"/>
        <v>0.970873786407767</v>
      </c>
      <c r="AB11" s="704">
        <f t="shared" si="4"/>
        <v>0.970873786407767</v>
      </c>
      <c r="AC11" s="704">
        <f t="shared" si="5"/>
        <v>0.970873786407767</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3"/>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25" t="s">
        <v>1691</v>
      </c>
      <c r="Q15" s="1351" t="str">
        <f t="shared" si="6"/>
        <v>产业集聚程度</v>
      </c>
      <c r="R15" s="705" t="s">
        <v>14</v>
      </c>
      <c r="S15" s="706">
        <f t="shared" si="0"/>
        <v>100</v>
      </c>
      <c r="T15" s="705" t="s">
        <v>14</v>
      </c>
      <c r="U15" s="706">
        <f t="shared" si="1"/>
        <v>100</v>
      </c>
      <c r="V15" s="705" t="s">
        <v>14</v>
      </c>
      <c r="W15" s="706">
        <f t="shared" si="2"/>
        <v>100</v>
      </c>
      <c r="X15" s="1354"/>
      <c r="Y15" s="3725" t="s">
        <v>1691</v>
      </c>
      <c r="Z15" s="1355" t="str">
        <f t="shared" si="7"/>
        <v>产业集聚程度</v>
      </c>
      <c r="AA15" s="1352">
        <f t="shared" si="3"/>
        <v>1</v>
      </c>
      <c r="AB15" s="1352">
        <f t="shared" si="4"/>
        <v>1</v>
      </c>
      <c r="AC15" s="1352">
        <f t="shared" si="5"/>
        <v>1</v>
      </c>
    </row>
    <row r="16" spans="1:29" ht="15">
      <c r="A16" s="379"/>
      <c r="B16" s="578"/>
      <c r="C16" s="398" t="s">
        <v>3396</v>
      </c>
      <c r="D16" s="399"/>
      <c r="E16" s="398" t="s">
        <v>3396</v>
      </c>
      <c r="F16" s="399"/>
      <c r="G16" s="398" t="s">
        <v>3396</v>
      </c>
      <c r="H16" s="401"/>
      <c r="I16" s="398" t="s">
        <v>3396</v>
      </c>
      <c r="J16" s="399"/>
      <c r="K16" s="620"/>
      <c r="L16" s="2721"/>
      <c r="M16" s="2715"/>
      <c r="N16" s="2715"/>
      <c r="O16" s="2773"/>
      <c r="P16" s="3726"/>
      <c r="Q16" s="1351"/>
      <c r="R16" s="705"/>
      <c r="S16" s="706"/>
      <c r="T16" s="705"/>
      <c r="U16" s="706"/>
      <c r="V16" s="705"/>
      <c r="W16" s="706"/>
      <c r="X16" s="1354"/>
      <c r="Y16" s="372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26"/>
      <c r="Q17" s="1351" t="str">
        <f>B17</f>
        <v>交通便捷度</v>
      </c>
      <c r="R17" s="705" t="s">
        <v>14</v>
      </c>
      <c r="S17" s="706">
        <f>F17</f>
        <v>100</v>
      </c>
      <c r="T17" s="705" t="s">
        <v>14</v>
      </c>
      <c r="U17" s="706">
        <f>H17</f>
        <v>100</v>
      </c>
      <c r="V17" s="705" t="s">
        <v>14</v>
      </c>
      <c r="W17" s="706">
        <f>J17</f>
        <v>100</v>
      </c>
      <c r="X17" s="1354"/>
      <c r="Y17" s="3726"/>
      <c r="Z17" s="1355" t="str">
        <f>Q17</f>
        <v>交通便捷度</v>
      </c>
      <c r="AA17" s="1352">
        <f t="shared" si="3"/>
        <v>1</v>
      </c>
      <c r="AB17" s="1352">
        <f t="shared" si="4"/>
        <v>1</v>
      </c>
      <c r="AC17" s="1352">
        <f t="shared" si="5"/>
        <v>1</v>
      </c>
    </row>
    <row r="18" spans="1:29" ht="15">
      <c r="A18" s="379"/>
      <c r="B18" s="580"/>
      <c r="C18" s="398" t="s">
        <v>3397</v>
      </c>
      <c r="D18" s="399"/>
      <c r="E18" s="398" t="s">
        <v>3397</v>
      </c>
      <c r="F18" s="399"/>
      <c r="G18" s="398" t="s">
        <v>3397</v>
      </c>
      <c r="H18" s="399"/>
      <c r="I18" s="398" t="s">
        <v>3397</v>
      </c>
      <c r="J18" s="399"/>
      <c r="K18" s="620"/>
      <c r="L18" s="2721"/>
      <c r="M18" s="2715"/>
      <c r="N18" s="2715"/>
      <c r="O18" s="2773"/>
      <c r="P18" s="3726"/>
      <c r="Q18" s="1351"/>
      <c r="R18" s="705"/>
      <c r="S18" s="706"/>
      <c r="T18" s="705"/>
      <c r="U18" s="706"/>
      <c r="V18" s="705"/>
      <c r="W18" s="706"/>
      <c r="X18" s="1354"/>
      <c r="Y18" s="372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26"/>
      <c r="Q19" s="1351" t="str">
        <f t="shared" ref="Q19:Q33" si="8">B19</f>
        <v>区域土地利用方向</v>
      </c>
      <c r="R19" s="705" t="s">
        <v>14</v>
      </c>
      <c r="S19" s="706">
        <f>F19</f>
        <v>100</v>
      </c>
      <c r="T19" s="705" t="s">
        <v>14</v>
      </c>
      <c r="U19" s="706">
        <f>H19</f>
        <v>100</v>
      </c>
      <c r="V19" s="705" t="s">
        <v>14</v>
      </c>
      <c r="W19" s="706">
        <f>J19</f>
        <v>100</v>
      </c>
      <c r="X19" s="1354"/>
      <c r="Y19" s="3726"/>
      <c r="Z19" s="1355" t="str">
        <f>Q19</f>
        <v>区域土地利用方向</v>
      </c>
      <c r="AA19" s="1352">
        <f t="shared" si="3"/>
        <v>1</v>
      </c>
      <c r="AB19" s="1352">
        <f t="shared" si="4"/>
        <v>1</v>
      </c>
      <c r="AC19" s="1352">
        <f t="shared" si="5"/>
        <v>1</v>
      </c>
    </row>
    <row r="20" spans="1:29" ht="15">
      <c r="A20" s="358"/>
      <c r="B20" s="580"/>
      <c r="C20" s="398" t="s">
        <v>3396</v>
      </c>
      <c r="D20" s="399"/>
      <c r="E20" s="398" t="s">
        <v>3396</v>
      </c>
      <c r="F20" s="399"/>
      <c r="G20" s="398" t="s">
        <v>3396</v>
      </c>
      <c r="H20" s="399"/>
      <c r="I20" s="398" t="s">
        <v>3396</v>
      </c>
      <c r="J20" s="399"/>
      <c r="K20" s="740"/>
      <c r="L20" s="2721"/>
      <c r="M20" s="2715"/>
      <c r="N20" s="2715"/>
      <c r="O20" s="2773"/>
      <c r="P20" s="3726"/>
      <c r="Q20" s="1351"/>
      <c r="R20" s="705"/>
      <c r="S20" s="706"/>
      <c r="T20" s="705"/>
      <c r="U20" s="706"/>
      <c r="V20" s="705"/>
      <c r="W20" s="706"/>
      <c r="X20" s="1354"/>
      <c r="Y20" s="372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26"/>
      <c r="Q21" s="1351" t="str">
        <f t="shared" si="8"/>
        <v>环境状况</v>
      </c>
      <c r="R21" s="705" t="s">
        <v>14</v>
      </c>
      <c r="S21" s="706">
        <f>F21</f>
        <v>100</v>
      </c>
      <c r="T21" s="705" t="s">
        <v>14</v>
      </c>
      <c r="U21" s="706">
        <f>H21</f>
        <v>100</v>
      </c>
      <c r="V21" s="705" t="s">
        <v>14</v>
      </c>
      <c r="W21" s="706">
        <f>J21</f>
        <v>100</v>
      </c>
      <c r="X21" s="1354"/>
      <c r="Y21" s="3726"/>
      <c r="Z21" s="1355" t="str">
        <f>Q21</f>
        <v>环境状况</v>
      </c>
      <c r="AA21" s="1352">
        <f t="shared" si="3"/>
        <v>1</v>
      </c>
      <c r="AB21" s="1352">
        <f t="shared" si="4"/>
        <v>1</v>
      </c>
      <c r="AC21" s="1352">
        <f t="shared" si="5"/>
        <v>1</v>
      </c>
    </row>
    <row r="22" spans="1:29" ht="15">
      <c r="A22" s="358"/>
      <c r="B22" s="580"/>
      <c r="C22" s="398" t="s">
        <v>3397</v>
      </c>
      <c r="D22" s="399"/>
      <c r="E22" s="398" t="s">
        <v>3397</v>
      </c>
      <c r="F22" s="399"/>
      <c r="G22" s="398" t="s">
        <v>3397</v>
      </c>
      <c r="H22" s="399"/>
      <c r="I22" s="398" t="s">
        <v>3397</v>
      </c>
      <c r="J22" s="399"/>
      <c r="K22" s="620"/>
      <c r="L22" s="2721"/>
      <c r="M22" s="2715"/>
      <c r="N22" s="2715"/>
      <c r="O22" s="2773"/>
      <c r="P22" s="3726"/>
      <c r="Q22" s="1351"/>
      <c r="R22" s="705"/>
      <c r="S22" s="706"/>
      <c r="T22" s="705"/>
      <c r="U22" s="706"/>
      <c r="V22" s="705"/>
      <c r="W22" s="706"/>
      <c r="X22" s="1354"/>
      <c r="Y22" s="372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26"/>
      <c r="Q23" s="1342" t="str">
        <f t="shared" si="8"/>
        <v>公共配套设施</v>
      </c>
      <c r="R23" s="701" t="s">
        <v>14</v>
      </c>
      <c r="S23" s="702">
        <f>F23</f>
        <v>100</v>
      </c>
      <c r="T23" s="701" t="s">
        <v>14</v>
      </c>
      <c r="U23" s="702">
        <f>H23</f>
        <v>100</v>
      </c>
      <c r="V23" s="701" t="s">
        <v>14</v>
      </c>
      <c r="W23" s="702">
        <f>J23</f>
        <v>100</v>
      </c>
      <c r="X23" s="703"/>
      <c r="Y23" s="3726"/>
      <c r="Z23" s="52" t="str">
        <f>Q23</f>
        <v>公共配套设施</v>
      </c>
      <c r="AA23" s="1352">
        <f>D23/F23</f>
        <v>1</v>
      </c>
      <c r="AB23" s="1352">
        <f>D23/H23</f>
        <v>1</v>
      </c>
      <c r="AC23" s="1352">
        <f>D23/J23</f>
        <v>1</v>
      </c>
    </row>
    <row r="24" spans="1:29" s="108" customFormat="1" ht="15">
      <c r="A24" s="597"/>
      <c r="B24" s="580"/>
      <c r="C24" s="1977" t="s">
        <v>3397</v>
      </c>
      <c r="D24" s="399"/>
      <c r="E24" s="1977" t="s">
        <v>3397</v>
      </c>
      <c r="F24" s="399"/>
      <c r="G24" s="1977" t="s">
        <v>3397</v>
      </c>
      <c r="H24" s="399"/>
      <c r="I24" s="1977" t="s">
        <v>3397</v>
      </c>
      <c r="J24" s="399"/>
      <c r="K24" s="620"/>
      <c r="L24" s="2716"/>
      <c r="M24" s="2717"/>
      <c r="N24" s="2717"/>
      <c r="O24" s="2771"/>
      <c r="P24" s="3726"/>
      <c r="Q24" s="1342"/>
      <c r="R24" s="701"/>
      <c r="S24" s="702"/>
      <c r="T24" s="701"/>
      <c r="U24" s="702"/>
      <c r="V24" s="701"/>
      <c r="W24" s="702"/>
      <c r="X24" s="703"/>
      <c r="Y24" s="372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26"/>
      <c r="Q25" s="1342"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2">
        <f>D25/F25</f>
        <v>1</v>
      </c>
      <c r="AB25" s="1352">
        <f>D25/H25</f>
        <v>1</v>
      </c>
      <c r="AC25" s="1352">
        <f>D25/J25</f>
        <v>1</v>
      </c>
    </row>
    <row r="26" spans="1:29" s="108" customFormat="1" ht="15">
      <c r="A26" s="597"/>
      <c r="B26" s="580"/>
      <c r="C26" s="1977" t="s">
        <v>3486</v>
      </c>
      <c r="D26" s="399"/>
      <c r="E26" s="1977" t="s">
        <v>3486</v>
      </c>
      <c r="F26" s="399"/>
      <c r="G26" s="1977" t="s">
        <v>3486</v>
      </c>
      <c r="H26" s="399"/>
      <c r="I26" s="1977" t="s">
        <v>3486</v>
      </c>
      <c r="J26" s="399"/>
      <c r="K26" s="620"/>
      <c r="L26" s="2716"/>
      <c r="M26" s="2717"/>
      <c r="N26" s="2717"/>
      <c r="O26" s="2771"/>
      <c r="P26" s="3726"/>
      <c r="Q26" s="1342"/>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6"/>
      <c r="Q28" s="1351" t="str">
        <f t="shared" si="8"/>
        <v>毗邻道路的类型与等级</v>
      </c>
      <c r="R28" s="705" t="s">
        <v>14</v>
      </c>
      <c r="S28" s="706">
        <f t="shared" si="10"/>
        <v>100</v>
      </c>
      <c r="T28" s="705" t="s">
        <v>14</v>
      </c>
      <c r="U28" s="706">
        <f t="shared" si="11"/>
        <v>100</v>
      </c>
      <c r="V28" s="705" t="s">
        <v>14</v>
      </c>
      <c r="W28" s="706">
        <f t="shared" si="12"/>
        <v>100</v>
      </c>
      <c r="X28" s="1354"/>
      <c r="Y28" s="372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6"/>
      <c r="Q29" s="1351"/>
      <c r="R29" s="705"/>
      <c r="S29" s="706"/>
      <c r="T29" s="705"/>
      <c r="U29" s="706"/>
      <c r="V29" s="705"/>
      <c r="W29" s="706"/>
      <c r="X29" s="1354"/>
      <c r="Y29" s="372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6"/>
      <c r="Q30" s="1351" t="str">
        <f t="shared" si="8"/>
        <v>土地级别</v>
      </c>
      <c r="R30" s="705" t="s">
        <v>14</v>
      </c>
      <c r="S30" s="706">
        <f t="shared" si="10"/>
        <v>100</v>
      </c>
      <c r="T30" s="705" t="s">
        <v>14</v>
      </c>
      <c r="U30" s="706">
        <f t="shared" si="11"/>
        <v>100</v>
      </c>
      <c r="V30" s="705" t="s">
        <v>14</v>
      </c>
      <c r="W30" s="706">
        <f t="shared" si="12"/>
        <v>100</v>
      </c>
      <c r="X30" s="1354"/>
      <c r="Y30" s="372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6"/>
      <c r="Q31" s="1351">
        <f t="shared" si="8"/>
        <v>111</v>
      </c>
      <c r="R31" s="705" t="s">
        <v>14</v>
      </c>
      <c r="S31" s="706">
        <f t="shared" si="10"/>
        <v>100</v>
      </c>
      <c r="T31" s="705" t="s">
        <v>14</v>
      </c>
      <c r="U31" s="706">
        <f t="shared" si="11"/>
        <v>100</v>
      </c>
      <c r="V31" s="705" t="s">
        <v>14</v>
      </c>
      <c r="W31" s="706">
        <f t="shared" si="12"/>
        <v>100</v>
      </c>
      <c r="X31" s="1354"/>
      <c r="Y31" s="372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9" t="s">
        <v>1696</v>
      </c>
      <c r="Q32" s="1351">
        <f t="shared" si="8"/>
        <v>111</v>
      </c>
      <c r="R32" s="705" t="s">
        <v>14</v>
      </c>
      <c r="S32" s="706">
        <f t="shared" si="10"/>
        <v>100</v>
      </c>
      <c r="T32" s="705" t="s">
        <v>14</v>
      </c>
      <c r="U32" s="706">
        <f t="shared" si="11"/>
        <v>100</v>
      </c>
      <c r="V32" s="705" t="s">
        <v>14</v>
      </c>
      <c r="W32" s="706">
        <f t="shared" si="12"/>
        <v>100</v>
      </c>
      <c r="X32" s="1354"/>
      <c r="Y32" s="373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0"/>
      <c r="Q33" s="1351">
        <f t="shared" si="8"/>
        <v>111</v>
      </c>
      <c r="R33" s="708" t="s">
        <v>14</v>
      </c>
      <c r="S33" s="709">
        <f t="shared" si="10"/>
        <v>100</v>
      </c>
      <c r="T33" s="708" t="s">
        <v>14</v>
      </c>
      <c r="U33" s="709">
        <f t="shared" si="11"/>
        <v>100</v>
      </c>
      <c r="V33" s="708" t="s">
        <v>14</v>
      </c>
      <c r="W33" s="709">
        <f t="shared" si="12"/>
        <v>100</v>
      </c>
      <c r="X33" s="710"/>
      <c r="Y33" s="3730"/>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土地案例!D8</f>
        <v>77481.740000000005</v>
      </c>
      <c r="F34" s="418">
        <f>LOOKUP(E34,108:108,109:109)-LOOKUP(C34,108:108,109:109)+100</f>
        <v>98</v>
      </c>
      <c r="G34" s="627">
        <f>土地案例!D5</f>
        <v>40217.370000000003</v>
      </c>
      <c r="H34" s="418">
        <f>LOOKUP(G34,108:108,109:109)-LOOKUP(C34,108:108,109:109)+100</f>
        <v>99</v>
      </c>
      <c r="I34" s="479">
        <f>土地案例!D6</f>
        <v>65024.44</v>
      </c>
      <c r="J34" s="418">
        <f>LOOKUP(I34,108:108,109:109)-LOOKUP(C34,108:108,109:109)+100</f>
        <v>98</v>
      </c>
      <c r="K34" s="562"/>
      <c r="L34" s="2721"/>
      <c r="M34" s="2715"/>
      <c r="N34" s="2715"/>
      <c r="O34" s="2773"/>
      <c r="P34" s="3730"/>
      <c r="Q34" s="1351" t="str">
        <f>B34</f>
        <v>宗地面积</v>
      </c>
      <c r="R34" s="705" t="s">
        <v>14</v>
      </c>
      <c r="S34" s="706">
        <f t="shared" si="10"/>
        <v>98</v>
      </c>
      <c r="T34" s="705" t="s">
        <v>14</v>
      </c>
      <c r="U34" s="706">
        <f t="shared" si="11"/>
        <v>99</v>
      </c>
      <c r="V34" s="705" t="s">
        <v>14</v>
      </c>
      <c r="W34" s="706">
        <f t="shared" si="12"/>
        <v>98</v>
      </c>
      <c r="X34" s="1354"/>
      <c r="Y34" s="3730"/>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3488</v>
      </c>
      <c r="D35" s="386">
        <v>100</v>
      </c>
      <c r="E35" s="1905" t="s">
        <v>3488</v>
      </c>
      <c r="F35" s="386">
        <f>SUMIF(110:110,E35,111:111)-SUMIF(110:110,C35,111:111)+100</f>
        <v>100</v>
      </c>
      <c r="G35" s="1905" t="s">
        <v>3488</v>
      </c>
      <c r="H35" s="386">
        <f>SUMIF(110:110,G35,111:111)-SUMIF(110:110,C35,111:111)+100</f>
        <v>100</v>
      </c>
      <c r="I35" s="1905" t="s">
        <v>3488</v>
      </c>
      <c r="J35" s="386">
        <f>SUMIF(110:110,I35,111:111)-SUMIF(110:110,C35,111:111)+100</f>
        <v>100</v>
      </c>
      <c r="K35" s="561">
        <v>1</v>
      </c>
      <c r="L35" s="2721"/>
      <c r="M35" s="2715"/>
      <c r="N35" s="2715"/>
      <c r="O35" s="2773"/>
      <c r="P35" s="3730"/>
      <c r="Q35" s="1351" t="str">
        <f t="shared" ref="Q35:Q40" si="14">B35</f>
        <v>宗地形状</v>
      </c>
      <c r="R35" s="705" t="s">
        <v>14</v>
      </c>
      <c r="S35" s="706">
        <f t="shared" si="10"/>
        <v>100</v>
      </c>
      <c r="T35" s="705" t="s">
        <v>14</v>
      </c>
      <c r="U35" s="706">
        <f t="shared" si="11"/>
        <v>100</v>
      </c>
      <c r="V35" s="705" t="s">
        <v>14</v>
      </c>
      <c r="W35" s="706">
        <f t="shared" si="12"/>
        <v>100</v>
      </c>
      <c r="X35" s="1354"/>
      <c r="Y35" s="3730"/>
      <c r="Z35" s="1355" t="str">
        <f t="shared" si="13"/>
        <v>宗地形状</v>
      </c>
      <c r="AA35" s="1352">
        <f t="shared" si="3"/>
        <v>1</v>
      </c>
      <c r="AB35" s="1352">
        <f t="shared" si="4"/>
        <v>1</v>
      </c>
      <c r="AC35" s="1352">
        <f t="shared" si="5"/>
        <v>1</v>
      </c>
    </row>
    <row r="36" spans="1:31" s="108" customFormat="1" ht="15">
      <c r="A36" s="424"/>
      <c r="B36" s="375" t="s">
        <v>1877</v>
      </c>
      <c r="C36" s="1979" t="s">
        <v>3496</v>
      </c>
      <c r="D36" s="127">
        <v>100</v>
      </c>
      <c r="E36" s="1979" t="s">
        <v>3498</v>
      </c>
      <c r="F36" s="386">
        <f>SUMIF(112:112,E36,113:113)-SUMIF(112:112,C36,113:113)+100</f>
        <v>99.5</v>
      </c>
      <c r="G36" s="1979" t="s">
        <v>3501</v>
      </c>
      <c r="H36" s="386">
        <f>SUMIF(112:112,G36,113:113)-SUMIF(112:112,C36,113:113)+100</f>
        <v>98.5</v>
      </c>
      <c r="I36" s="1979" t="s">
        <v>3501</v>
      </c>
      <c r="J36" s="386">
        <f>SUMIF(112:112,I36,113:113)-SUMIF(112:112,C36,113:113)+100</f>
        <v>98.5</v>
      </c>
      <c r="K36" s="561">
        <v>0.5</v>
      </c>
      <c r="L36" s="2716"/>
      <c r="M36" s="2717"/>
      <c r="N36" s="2717"/>
      <c r="O36" s="2771"/>
      <c r="P36" s="3730"/>
      <c r="Q36" s="1351" t="str">
        <f t="shared" si="14"/>
        <v>宗地开发程度</v>
      </c>
      <c r="R36" s="701" t="s">
        <v>14</v>
      </c>
      <c r="S36" s="702">
        <f t="shared" si="10"/>
        <v>99.5</v>
      </c>
      <c r="T36" s="701" t="s">
        <v>14</v>
      </c>
      <c r="U36" s="702">
        <f t="shared" si="11"/>
        <v>98.5</v>
      </c>
      <c r="V36" s="701" t="s">
        <v>14</v>
      </c>
      <c r="W36" s="702">
        <f t="shared" si="12"/>
        <v>98.5</v>
      </c>
      <c r="X36" s="703"/>
      <c r="Y36" s="3730"/>
      <c r="Z36" s="52" t="str">
        <f t="shared" si="13"/>
        <v>宗地开发程度</v>
      </c>
      <c r="AA36" s="704">
        <f t="shared" si="3"/>
        <v>1.0050251256281406</v>
      </c>
      <c r="AB36" s="704">
        <f t="shared" si="4"/>
        <v>1.015228426395939</v>
      </c>
      <c r="AC36" s="704">
        <f t="shared" si="5"/>
        <v>1.015228426395939</v>
      </c>
    </row>
    <row r="37" spans="1:31" ht="15">
      <c r="A37" s="423"/>
      <c r="B37" s="375" t="s">
        <v>1878</v>
      </c>
      <c r="C37" s="1905" t="s">
        <v>3396</v>
      </c>
      <c r="D37" s="386">
        <v>100</v>
      </c>
      <c r="E37" s="1905" t="s">
        <v>3396</v>
      </c>
      <c r="F37" s="386">
        <f>SUMIF(114:114,E37,115:115)-SUMIF(114:114,C37,115:115)+100</f>
        <v>100</v>
      </c>
      <c r="G37" s="1905" t="s">
        <v>3396</v>
      </c>
      <c r="H37" s="386">
        <f>SUMIF(114:114,G37,115:115)-SUMIF(114:114,C37,115:115)+100</f>
        <v>100</v>
      </c>
      <c r="I37" s="1905" t="s">
        <v>3396</v>
      </c>
      <c r="J37" s="386">
        <f>SUMIF(114:114,I37,115:115)-SUMIF(114:114,C37,115:115)+100</f>
        <v>100</v>
      </c>
      <c r="K37" s="561">
        <v>1</v>
      </c>
      <c r="L37" s="2721"/>
      <c r="M37" s="2715"/>
      <c r="N37" s="2715"/>
      <c r="O37" s="2773"/>
      <c r="P37" s="3730" t="s">
        <v>1696</v>
      </c>
      <c r="Q37" s="1351" t="str">
        <f t="shared" si="14"/>
        <v>工程地质条件</v>
      </c>
      <c r="R37" s="705" t="s">
        <v>14</v>
      </c>
      <c r="S37" s="706">
        <f t="shared" si="10"/>
        <v>100</v>
      </c>
      <c r="T37" s="705" t="s">
        <v>14</v>
      </c>
      <c r="U37" s="706">
        <f t="shared" si="11"/>
        <v>100</v>
      </c>
      <c r="V37" s="705" t="s">
        <v>14</v>
      </c>
      <c r="W37" s="706">
        <f t="shared" si="12"/>
        <v>100</v>
      </c>
      <c r="X37" s="1354"/>
      <c r="Y37" s="373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0"/>
      <c r="Q38" s="1351">
        <f t="shared" si="14"/>
        <v>111</v>
      </c>
      <c r="R38" s="705" t="s">
        <v>14</v>
      </c>
      <c r="S38" s="706">
        <f t="shared" si="10"/>
        <v>100</v>
      </c>
      <c r="T38" s="705" t="s">
        <v>14</v>
      </c>
      <c r="U38" s="706">
        <f t="shared" si="11"/>
        <v>100</v>
      </c>
      <c r="V38" s="705" t="s">
        <v>14</v>
      </c>
      <c r="W38" s="706">
        <f t="shared" si="12"/>
        <v>100</v>
      </c>
      <c r="X38" s="1354"/>
      <c r="Y38" s="373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0"/>
      <c r="Q39" s="1351">
        <f t="shared" si="14"/>
        <v>111</v>
      </c>
      <c r="R39" s="705" t="s">
        <v>14</v>
      </c>
      <c r="S39" s="706">
        <f t="shared" si="10"/>
        <v>100</v>
      </c>
      <c r="T39" s="705" t="s">
        <v>14</v>
      </c>
      <c r="U39" s="706">
        <f t="shared" si="11"/>
        <v>100</v>
      </c>
      <c r="V39" s="705" t="s">
        <v>14</v>
      </c>
      <c r="W39" s="706">
        <f t="shared" si="12"/>
        <v>100</v>
      </c>
      <c r="X39" s="1354"/>
      <c r="Y39" s="373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0"/>
      <c r="Q40" s="1351">
        <f t="shared" si="14"/>
        <v>111</v>
      </c>
      <c r="R40" s="708" t="s">
        <v>14</v>
      </c>
      <c r="S40" s="709">
        <f t="shared" si="10"/>
        <v>100</v>
      </c>
      <c r="T40" s="708" t="s">
        <v>14</v>
      </c>
      <c r="U40" s="709">
        <f t="shared" si="11"/>
        <v>100</v>
      </c>
      <c r="V40" s="708" t="s">
        <v>14</v>
      </c>
      <c r="W40" s="709">
        <f t="shared" si="12"/>
        <v>100</v>
      </c>
      <c r="X40" s="710"/>
      <c r="Y40" s="3730"/>
      <c r="Z40" s="711">
        <f t="shared" si="13"/>
        <v>111</v>
      </c>
      <c r="AA40" s="1352">
        <f t="shared" si="3"/>
        <v>1</v>
      </c>
      <c r="AB40" s="1352">
        <f t="shared" si="4"/>
        <v>1</v>
      </c>
      <c r="AC40" s="1352">
        <f t="shared" si="5"/>
        <v>1</v>
      </c>
    </row>
    <row r="41" spans="1:31" ht="15">
      <c r="A41" s="430" t="s">
        <v>1844</v>
      </c>
      <c r="B41" s="1981" t="s">
        <v>3480</v>
      </c>
      <c r="C41" s="630" t="s">
        <v>0</v>
      </c>
      <c r="D41" s="432"/>
      <c r="E41" s="433">
        <f>土地案例!R8</f>
        <v>1588</v>
      </c>
      <c r="F41" s="434"/>
      <c r="G41" s="435">
        <f>土地案例!R5</f>
        <v>1875</v>
      </c>
      <c r="H41" s="436"/>
      <c r="I41" s="433">
        <f>土地案例!R6</f>
        <v>1874</v>
      </c>
      <c r="J41" s="436"/>
      <c r="K41" s="714"/>
      <c r="L41" s="2723"/>
      <c r="M41" s="2715"/>
      <c r="N41" s="2715"/>
      <c r="O41" s="2724"/>
      <c r="P41" s="3723" t="str">
        <f>A41</f>
        <v>成交单价</v>
      </c>
      <c r="Q41" s="3723"/>
      <c r="R41" s="3718">
        <f>E41</f>
        <v>1588</v>
      </c>
      <c r="S41" s="3718"/>
      <c r="T41" s="3718">
        <f>G41</f>
        <v>1875</v>
      </c>
      <c r="U41" s="3718"/>
      <c r="V41" s="3718">
        <f>I41</f>
        <v>1874</v>
      </c>
      <c r="W41" s="3718"/>
      <c r="X41" s="690"/>
      <c r="Y41" s="712"/>
      <c r="Z41" s="690"/>
      <c r="AA41" s="690"/>
      <c r="AB41" s="690"/>
      <c r="AC41" s="690"/>
    </row>
    <row r="42" spans="1:31" ht="15.75" thickBot="1">
      <c r="A42" s="437" t="s">
        <v>1793</v>
      </c>
      <c r="B42" s="631"/>
      <c r="C42" s="440">
        <f>R43</f>
        <v>1544</v>
      </c>
      <c r="D42" s="2316" t="s">
        <v>2137</v>
      </c>
      <c r="E42" s="440">
        <f>R42</f>
        <v>1373</v>
      </c>
      <c r="F42" s="2317"/>
      <c r="G42" s="439">
        <f>T42</f>
        <v>1621</v>
      </c>
      <c r="H42" s="2317"/>
      <c r="I42" s="440">
        <f>V42</f>
        <v>1637</v>
      </c>
      <c r="J42" s="2317"/>
      <c r="K42" s="2319">
        <f>F42+H42+J42</f>
        <v>0</v>
      </c>
      <c r="L42" s="2723"/>
      <c r="M42" s="2715"/>
      <c r="N42" s="2715"/>
      <c r="O42" s="2724"/>
      <c r="P42" s="3723" t="str">
        <f>A42</f>
        <v>比较价值（元/平方米）</v>
      </c>
      <c r="Q42" s="3723"/>
      <c r="R42" s="3751">
        <f>ROUND(PRODUCT(R41,AA7:AA40),0)</f>
        <v>1373</v>
      </c>
      <c r="S42" s="3751"/>
      <c r="T42" s="3751">
        <f>ROUND(PRODUCT(T41,AB7:AB40),0)</f>
        <v>1621</v>
      </c>
      <c r="U42" s="3751"/>
      <c r="V42" s="3751">
        <f>ROUND(PRODUCT(V41,AC7:AC40),0)</f>
        <v>1637</v>
      </c>
      <c r="W42" s="3751"/>
      <c r="X42" s="690"/>
      <c r="Y42" s="690"/>
      <c r="Z42" s="690"/>
      <c r="AA42" s="690"/>
      <c r="AB42" s="690"/>
      <c r="AC42" s="690"/>
    </row>
    <row r="43" spans="1:31" ht="15.75" thickBot="1">
      <c r="A43" s="441" t="s">
        <v>1794</v>
      </c>
      <c r="B43" s="442"/>
      <c r="C43" s="443">
        <f>R43</f>
        <v>1544</v>
      </c>
      <c r="D43" s="443"/>
      <c r="E43" s="443"/>
      <c r="F43" s="443"/>
      <c r="G43" s="443"/>
      <c r="H43" s="443"/>
      <c r="I43" s="443"/>
      <c r="J43" s="443"/>
      <c r="K43" s="715"/>
      <c r="L43" s="2723"/>
      <c r="M43" s="2715"/>
      <c r="N43" s="2715"/>
      <c r="O43" s="2724"/>
      <c r="P43" s="3720" t="str">
        <f>A43</f>
        <v>估价对象XX用房的比较价值（楼面单价，元/平方米）</v>
      </c>
      <c r="Q43" s="3721"/>
      <c r="R43" s="3752">
        <f>ROUND(IF(D42="简单平均",AVERAGE(R42:W42),R42*F42+T42*H42+V42*J42),0)</f>
        <v>1544</v>
      </c>
      <c r="S43" s="3752"/>
      <c r="T43" s="3752"/>
      <c r="U43" s="3752"/>
      <c r="V43" s="3752"/>
      <c r="W43" s="375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0.1565914056809905</v>
      </c>
      <c r="F46" s="449" t="str">
        <f>IF(OR(E46&gt;=0.3,E46&lt;=-0.3),"超过30%","")</f>
        <v/>
      </c>
      <c r="G46" s="448">
        <f>IF(G41&lt;G42,G42/G41-1,G41/G42-1)</f>
        <v>0.15669339913633551</v>
      </c>
      <c r="H46" s="449" t="str">
        <f>IF(OR(G46&gt;=0.3,G46&lt;=-0.3),"超过30%","")</f>
        <v/>
      </c>
      <c r="I46" s="448">
        <f>IF(I41&lt;I42,I42/I41-1,I41/I42-1)</f>
        <v>0.14477703115455109</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0.18062636562272405</v>
      </c>
      <c r="F47" s="449" t="str">
        <f>IF(OR(E47&gt;=0.2,E47&lt;=-0.2),"超过20%","")</f>
        <v/>
      </c>
      <c r="G47" s="448">
        <f>IF(G42&lt;I42,I42/G42-1,G42/I42-1)</f>
        <v>9.8704503392967879E-3</v>
      </c>
      <c r="H47" s="449" t="str">
        <f>IF(OR(G47&gt;=0.2,G47&lt;=-0.2),"超过20%","")</f>
        <v/>
      </c>
      <c r="I47" s="448">
        <f>IF(I42&lt;E42,E42/I42-1,I42/E42-1)</f>
        <v>0.19227967953386749</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0.1807304785894206</v>
      </c>
      <c r="F48" s="449" t="str">
        <f>IF(OR(E48&gt;=0.3,E48&lt;=-0.3),"超过30%","")</f>
        <v/>
      </c>
      <c r="G48" s="448">
        <f>IF(G41&lt;I41,I41/G41-1,G41/I41-1)</f>
        <v>5.336179295625243E-4</v>
      </c>
      <c r="H48" s="449" t="str">
        <f>IF(OR(G48&gt;=0.3,G48&lt;=-0.3),"超过30%","")</f>
        <v/>
      </c>
      <c r="I48" s="448">
        <f>IF(I41&lt;E41,E41/I41-1,I41/E41-1)</f>
        <v>0.18010075566750627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6" t="s">
        <v>1887</v>
      </c>
      <c r="H50" s="3753"/>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1544</v>
      </c>
      <c r="C51" s="638">
        <v>1</v>
      </c>
      <c r="D51" s="944">
        <v>1</v>
      </c>
      <c r="E51" s="638">
        <f>'数据-汇总表'!E8+'数据-汇总表'!E9</f>
        <v>13305.62</v>
      </c>
      <c r="F51" s="639">
        <f t="shared" ref="F51:F60" si="15">ROUND(B51*E51/10000,0)</f>
        <v>2054</v>
      </c>
      <c r="G51" s="3705"/>
      <c r="H51" s="372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21428.52</v>
      </c>
      <c r="F61" s="645">
        <f>IF(B41="楼面地价",SUM(F51:F60),ROUND(C43*E61/10000,0))</f>
        <v>3309</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C66-0.2</f>
        <v>99.8</v>
      </c>
      <c r="E66" s="544">
        <f t="shared" ref="E66:O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72" t="s">
        <v>3485</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103</v>
      </c>
      <c r="E76" s="493">
        <f t="shared" ref="E76:M76" si="22">IF($B$41="单位面积地价",D76+$K11,D76-$K11)</f>
        <v>106</v>
      </c>
      <c r="F76" s="493">
        <f t="shared" si="22"/>
        <v>109</v>
      </c>
      <c r="G76" s="493">
        <f t="shared" si="22"/>
        <v>112</v>
      </c>
      <c r="H76" s="493">
        <f t="shared" si="22"/>
        <v>115</v>
      </c>
      <c r="I76" s="493">
        <f t="shared" si="22"/>
        <v>118</v>
      </c>
      <c r="J76" s="493">
        <f t="shared" si="22"/>
        <v>121</v>
      </c>
      <c r="K76" s="493">
        <f t="shared" si="22"/>
        <v>124</v>
      </c>
      <c r="L76" s="493">
        <f t="shared" si="22"/>
        <v>127</v>
      </c>
      <c r="M76" s="493">
        <f t="shared" si="22"/>
        <v>130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0(含)-10000</v>
      </c>
      <c r="D107" s="478" t="str">
        <f t="shared" si="26"/>
        <v>10000(含)-20000</v>
      </c>
      <c r="E107" s="478" t="str">
        <f t="shared" si="26"/>
        <v>20000(含)-40000</v>
      </c>
      <c r="F107" s="478" t="str">
        <f t="shared" si="26"/>
        <v>40000(含)-60000</v>
      </c>
      <c r="G107" s="478" t="str">
        <f t="shared" si="26"/>
        <v>60000(含)-80000</v>
      </c>
      <c r="H107" s="478" t="str">
        <f t="shared" si="26"/>
        <v>80000(含)-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3" t="s">
        <v>3487</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827" t="s">
        <v>3497</v>
      </c>
      <c r="D112" s="3827" t="s">
        <v>3499</v>
      </c>
      <c r="E112" s="3827" t="s">
        <v>3500</v>
      </c>
      <c r="F112" s="3827" t="s">
        <v>3502</v>
      </c>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99.5</v>
      </c>
      <c r="E113" s="493">
        <f t="shared" si="28"/>
        <v>99</v>
      </c>
      <c r="F113" s="493">
        <f t="shared" si="28"/>
        <v>98.5</v>
      </c>
      <c r="G113" s="493">
        <f t="shared" si="28"/>
        <v>98</v>
      </c>
      <c r="H113" s="493">
        <f t="shared" si="28"/>
        <v>97.5</v>
      </c>
      <c r="I113" s="493">
        <f t="shared" si="28"/>
        <v>97</v>
      </c>
      <c r="J113" s="493">
        <f t="shared" si="28"/>
        <v>96.5</v>
      </c>
      <c r="K113" s="493">
        <f t="shared" si="28"/>
        <v>96</v>
      </c>
      <c r="L113" s="493">
        <f t="shared" si="28"/>
        <v>95.5</v>
      </c>
      <c r="M113" s="494">
        <f t="shared" si="28"/>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827" t="s">
        <v>3503</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1" t="s">
        <v>2083</v>
      </c>
      <c r="D1" s="3762"/>
      <c r="E1" s="3762"/>
      <c r="F1" s="3762"/>
      <c r="G1" s="3762"/>
      <c r="H1" s="3762"/>
      <c r="I1" s="3762"/>
      <c r="J1" s="3762"/>
      <c r="K1" s="3762"/>
      <c r="L1" s="3762"/>
      <c r="M1" s="3762"/>
      <c r="N1" s="3762"/>
      <c r="O1" s="3762"/>
      <c r="P1" s="3762"/>
      <c r="Q1" s="3762"/>
      <c r="R1" s="3762"/>
      <c r="S1" s="376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0</v>
      </c>
      <c r="C2" s="2144" t="s">
        <v>2073</v>
      </c>
      <c r="D2" s="2144" t="s">
        <v>2074</v>
      </c>
      <c r="E2" s="2611">
        <f ca="1">SUMIF(E6:E13,"&lt;&gt;#ref!",E6:E13)</f>
        <v>21428.52</v>
      </c>
      <c r="F2" s="2792"/>
      <c r="G2" s="2792"/>
      <c r="H2" s="2792"/>
      <c r="I2" s="2792"/>
      <c r="J2" s="2792"/>
      <c r="K2" s="2792"/>
      <c r="L2" s="2792"/>
      <c r="M2" s="2792"/>
      <c r="N2" s="2792"/>
      <c r="O2" s="2792"/>
      <c r="P2" s="2792"/>
    </row>
    <row r="3" spans="1:16" ht="15.75">
      <c r="A3" s="2144" t="s">
        <v>2075</v>
      </c>
      <c r="B3" s="2601">
        <f ca="1">ROUND(B2*10000/E2,0)</f>
        <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0</v>
      </c>
      <c r="C6" s="2144" t="s">
        <v>2073</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32" sqref="B3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21428.52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0</v>
      </c>
      <c r="C2" s="1998" t="s">
        <v>1934</v>
      </c>
      <c r="D2" s="1999" t="s">
        <v>1935</v>
      </c>
      <c r="E2" s="3421" t="s">
        <v>3</v>
      </c>
      <c r="F2" s="1999" t="s">
        <v>1936</v>
      </c>
      <c r="G2" s="2000" t="str">
        <f>IF(E2="商业",项目基本情况!B37,IF(E2="办公",项目基本情况!C37,IF(E2="住宅",项目基本情况!D37,IF(E2="工业",项目基本情况!E37,项目基本情况!F37))))</f>
        <v>九级</v>
      </c>
      <c r="H2" s="1999" t="s">
        <v>1937</v>
      </c>
      <c r="I2" s="2000" t="str">
        <f>IF(E2="商业",项目基本情况!B38,IF(E2="办公",项目基本情况!C38,IF(E2="住宅",项目基本情况!D38,IF(E2="工业",项目基本情况!E38,项目基本情况!F38))))</f>
        <v>Ⅸ-顺3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0</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0</v>
      </c>
      <c r="C3" s="1998" t="s">
        <v>1940</v>
      </c>
      <c r="D3" s="1999" t="s">
        <v>1941</v>
      </c>
      <c r="E3" s="3419" t="s">
        <v>2482</v>
      </c>
      <c r="F3" s="2003" t="s">
        <v>3395</v>
      </c>
      <c r="G3" s="752">
        <f>IF(F3="宗地容积率",'数据-汇总表'!I4,IF(F3="估价对象容积率",'数据-汇总表'!I6,'数据-汇总表'!I7))</f>
        <v>0.91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930</v>
      </c>
      <c r="D5" s="1338">
        <f>ROUND(C6*C17+C20,0)</f>
        <v>930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930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九级</v>
      </c>
      <c r="Y7" s="1213" t="s">
        <v>1955</v>
      </c>
      <c r="Z7" s="1214">
        <f>G3</f>
        <v>0.91</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8" t="s">
        <v>1959</v>
      </c>
      <c r="X8" s="3769"/>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7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7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5" t="s">
        <v>3257</v>
      </c>
      <c r="B20" s="167" t="s">
        <v>1993</v>
      </c>
      <c r="C20" s="3324">
        <f>ROUND(IF(F21="与级别开发程度一致",0,(G21-E21)/C21),0)</f>
        <v>0</v>
      </c>
      <c r="D20" s="3340" t="s">
        <v>1997</v>
      </c>
      <c r="E20" s="3341"/>
      <c r="F20" s="3781" t="s">
        <v>1994</v>
      </c>
      <c r="G20" s="378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6"/>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45483</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0.873</v>
      </c>
      <c r="D24" s="2059" t="s">
        <v>2006</v>
      </c>
      <c r="E24" s="1334">
        <f>存贷款利率!E24/100</f>
        <v>4.3499999999999997E-2</v>
      </c>
      <c r="F24" s="2059" t="s">
        <v>1998</v>
      </c>
      <c r="G24" s="768">
        <f>SUMIF(M30:Q30,E2,M33:Q33)</f>
        <v>0.05</v>
      </c>
      <c r="H24" s="2059" t="s">
        <v>2007</v>
      </c>
      <c r="I24" s="769">
        <f>SUMIF('数据-取费表'!C6:C15,E2,'数据-取费表'!F6:F15)/COUNTIF('数据-取费表'!C6:C15,E2)</f>
        <v>32.67</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0.1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0.1</v>
      </c>
      <c r="E26" s="752">
        <f>ROUNDDOWN(G3,1)</f>
        <v>0.9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1.0193000000000001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0</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0</v>
      </c>
      <c r="D33" s="2097">
        <f>'数据-汇总表'!D3</f>
        <v>21428.52</v>
      </c>
      <c r="E33" s="773">
        <f>ROUND(C33*D33/10000,0)</f>
        <v>0</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0</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9"/>
      <c r="B37" s="2112" t="s">
        <v>2035</v>
      </c>
      <c r="C37" s="175">
        <f>ROUND(D5*C22*C23*C24*C28*F37,0)</f>
        <v>0</v>
      </c>
      <c r="D37" s="2097"/>
      <c r="E37" s="171">
        <f>ROUND(C37*D37/10000,0)</f>
        <v>0</v>
      </c>
      <c r="F37" s="171">
        <f>SUMIF(修正!A57:A68,G2,修正!B57:B68)</f>
        <v>0.5</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0"/>
      <c r="B38" s="2040" t="s">
        <v>2036</v>
      </c>
      <c r="C38" s="175">
        <f>ROUND(D5*C22*C23*C24*C28*F38,0)</f>
        <v>0</v>
      </c>
      <c r="D38" s="2097"/>
      <c r="E38" s="171">
        <f t="shared" ref="E38:E42" si="4">ROUND(C38*D38/10000,0)</f>
        <v>0</v>
      </c>
      <c r="F38" s="171">
        <f>SUMIF(修正!A57:A68,G2,修正!C57:C68)</f>
        <v>0.2</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0"/>
      <c r="B39" s="2040" t="s">
        <v>3262</v>
      </c>
      <c r="C39" s="175">
        <f>ROUND(D5*C22*C23*C24*C28*F39,0)</f>
        <v>0</v>
      </c>
      <c r="D39" s="2097"/>
      <c r="E39" s="171">
        <f t="shared" si="4"/>
        <v>0</v>
      </c>
      <c r="F39" s="171">
        <f>SUMIF(修正!A57:A68,G2,修正!D57:D68)</f>
        <v>0.2</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0</v>
      </c>
      <c r="D40" s="2097"/>
      <c r="E40" s="171">
        <f t="shared" si="4"/>
        <v>0</v>
      </c>
      <c r="F40" s="175">
        <f>SUMIF(修正!A57:A68,G2,修正!E57:E68)</f>
        <v>0.2</v>
      </c>
      <c r="G40" s="171">
        <f>ROUND(IF(E2="工业",C40*$M$42,C40*$M$41),0)</f>
        <v>0</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1.0193000000000001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3396</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3397</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3273</v>
      </c>
      <c r="B85" s="2133">
        <f>估价对象房地状况!G17</f>
        <v>0</v>
      </c>
      <c r="C85" s="2043" t="s">
        <v>3397</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2066</v>
      </c>
      <c r="B86" s="2133">
        <f>估价对象房地状况!G22</f>
        <v>0</v>
      </c>
      <c r="C86" s="2043" t="s">
        <v>3397</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2058</v>
      </c>
      <c r="B87" s="1325" t="str">
        <f>估价对象房地状况!G19</f>
        <v>估价对象所在区域公共配套设施齐备情况</v>
      </c>
      <c r="C87" s="2043" t="s">
        <v>3507</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2059</v>
      </c>
      <c r="B88" s="1325" t="str">
        <f>估价对象房地状况!G20</f>
        <v>估价对象所在区域基础设施水平</v>
      </c>
      <c r="C88" s="2043" t="s">
        <v>3397</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2056</v>
      </c>
      <c r="B89" s="2135" t="s">
        <v>2070</v>
      </c>
      <c r="C89" s="2043" t="s">
        <v>3396</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2071</v>
      </c>
      <c r="B90" s="2142" t="str">
        <f>估价对象房地状况!G18</f>
        <v>该园区内是否有污染型企业，绿化情况，卫生条件，整体环境状况判断</v>
      </c>
      <c r="C90" s="2043" t="s">
        <v>3397</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7" t="s">
        <v>3297</v>
      </c>
      <c r="B103" s="3777"/>
      <c r="C103" s="3777"/>
      <c r="D103" s="3777"/>
      <c r="E103" s="3777"/>
      <c r="F103" s="3777"/>
      <c r="G103" s="3777"/>
      <c r="H103" s="3777"/>
      <c r="I103" s="3777"/>
      <c r="J103" s="3777"/>
      <c r="K103" s="3389"/>
      <c r="L103" s="3389"/>
      <c r="M103" s="3389"/>
      <c r="N103" s="3389"/>
    </row>
    <row r="104" spans="1:14">
      <c r="A104" s="3778" t="s">
        <v>3298</v>
      </c>
      <c r="B104" s="3778" t="s">
        <v>3299</v>
      </c>
      <c r="C104" s="3390" t="s">
        <v>3300</v>
      </c>
      <c r="D104" s="3391"/>
      <c r="E104" s="3391"/>
      <c r="F104" s="3391"/>
      <c r="G104" s="3391"/>
      <c r="H104" s="3391"/>
      <c r="I104" s="3391"/>
      <c r="J104" s="3392"/>
      <c r="K104" s="3393"/>
      <c r="L104" s="3393"/>
      <c r="M104" s="3393"/>
      <c r="N104" s="3393"/>
    </row>
    <row r="105" spans="1:14">
      <c r="A105" s="3778"/>
      <c r="B105" s="377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5"/>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7" t="s">
        <v>3314</v>
      </c>
      <c r="B113" s="3767"/>
      <c r="C113" s="3767"/>
      <c r="D113" s="3767"/>
      <c r="E113" s="3767"/>
      <c r="F113" s="3767"/>
      <c r="G113" s="3767"/>
      <c r="H113" s="3767"/>
      <c r="I113" s="3767"/>
      <c r="J113" s="376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0.91</v>
      </c>
      <c r="C116" s="3399" t="s">
        <v>3316</v>
      </c>
      <c r="D116" s="3400">
        <f>SUMPRODUCT((A118:A122=F116)*(B117:M117=H116)*B118:M122)</f>
        <v>0.57320000000000004</v>
      </c>
      <c r="E116" s="1999" t="s">
        <v>3317</v>
      </c>
      <c r="F116" s="3401" t="str">
        <f>E2</f>
        <v>工业</v>
      </c>
      <c r="G116" s="1999" t="s">
        <v>3318</v>
      </c>
      <c r="H116" s="3401" t="str">
        <f>G2</f>
        <v>九级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0.98680000000000001</v>
      </c>
      <c r="C118" s="3387">
        <f>B118</f>
        <v>0.98680000000000001</v>
      </c>
      <c r="D118" s="3387">
        <f>ROUND(0.949-0.014*B116,4)</f>
        <v>0.93630000000000002</v>
      </c>
      <c r="E118" s="3387">
        <f>D118</f>
        <v>0.93630000000000002</v>
      </c>
      <c r="F118" s="3387">
        <f>E118</f>
        <v>0.93630000000000002</v>
      </c>
      <c r="G118" s="3387">
        <f>F118</f>
        <v>0.93630000000000002</v>
      </c>
      <c r="H118" s="3387">
        <f>G118</f>
        <v>0.93630000000000002</v>
      </c>
      <c r="I118" s="3387">
        <f>ROUND(0.8486-0.018*B116,4)</f>
        <v>0.83220000000000005</v>
      </c>
      <c r="J118" s="3387">
        <f t="shared" ref="J118:M122" si="36">I118</f>
        <v>0.83220000000000005</v>
      </c>
      <c r="K118" s="3387">
        <f t="shared" si="36"/>
        <v>0.83220000000000005</v>
      </c>
      <c r="L118" s="3387">
        <f t="shared" si="36"/>
        <v>0.83220000000000005</v>
      </c>
      <c r="M118" s="3410">
        <f t="shared" si="36"/>
        <v>0.83220000000000005</v>
      </c>
      <c r="N118" s="3397"/>
    </row>
    <row r="119" spans="1:14">
      <c r="A119" s="3409" t="s">
        <v>3332</v>
      </c>
      <c r="B119" s="3387">
        <f>ROUND(0.993-0.0112*B116,4)</f>
        <v>0.98280000000000001</v>
      </c>
      <c r="C119" s="3387">
        <f>B119</f>
        <v>0.98280000000000001</v>
      </c>
      <c r="D119" s="3387">
        <f>ROUND(0.9415-0.0142*B116,4)</f>
        <v>0.92859999999999998</v>
      </c>
      <c r="E119" s="3387">
        <f t="shared" ref="E119:H120" si="37">D119</f>
        <v>0.92859999999999998</v>
      </c>
      <c r="F119" s="3387">
        <f t="shared" si="37"/>
        <v>0.92859999999999998</v>
      </c>
      <c r="G119" s="3387">
        <f t="shared" si="37"/>
        <v>0.92859999999999998</v>
      </c>
      <c r="H119" s="3387">
        <f t="shared" si="37"/>
        <v>0.92859999999999998</v>
      </c>
      <c r="I119" s="3387">
        <f>ROUND(0.838-0.0182*B116,4)</f>
        <v>0.82140000000000002</v>
      </c>
      <c r="J119" s="3387">
        <f t="shared" si="36"/>
        <v>0.82140000000000002</v>
      </c>
      <c r="K119" s="3387">
        <f t="shared" si="36"/>
        <v>0.82140000000000002</v>
      </c>
      <c r="L119" s="3387">
        <f t="shared" si="36"/>
        <v>0.82140000000000002</v>
      </c>
      <c r="M119" s="3410">
        <f t="shared" si="36"/>
        <v>0.82140000000000002</v>
      </c>
      <c r="N119" s="3397"/>
    </row>
    <row r="120" spans="1:14">
      <c r="A120" s="3409" t="s">
        <v>3333</v>
      </c>
      <c r="B120" s="3387">
        <f>ROUND(0.9448-0.0115*B116,4)</f>
        <v>0.93430000000000002</v>
      </c>
      <c r="C120" s="3387">
        <f>B120</f>
        <v>0.93430000000000002</v>
      </c>
      <c r="D120" s="3387">
        <f>ROUND(0.937-0.0145*B116,4)</f>
        <v>0.92379999999999995</v>
      </c>
      <c r="E120" s="3387">
        <f t="shared" si="37"/>
        <v>0.92379999999999995</v>
      </c>
      <c r="F120" s="3387">
        <f t="shared" si="37"/>
        <v>0.92379999999999995</v>
      </c>
      <c r="G120" s="3387">
        <f t="shared" si="37"/>
        <v>0.92379999999999995</v>
      </c>
      <c r="H120" s="3387">
        <f t="shared" si="37"/>
        <v>0.92379999999999995</v>
      </c>
      <c r="I120" s="3387">
        <f>ROUND(0.7965-0.0185*B116,4)</f>
        <v>0.77969999999999995</v>
      </c>
      <c r="J120" s="3387">
        <f t="shared" si="36"/>
        <v>0.77969999999999995</v>
      </c>
      <c r="K120" s="3387">
        <f t="shared" si="36"/>
        <v>0.77969999999999995</v>
      </c>
      <c r="L120" s="3387">
        <f t="shared" si="36"/>
        <v>0.77969999999999995</v>
      </c>
      <c r="M120" s="3410">
        <f t="shared" si="36"/>
        <v>0.77969999999999995</v>
      </c>
      <c r="N120" s="3397"/>
    </row>
    <row r="121" spans="1:14" ht="13.5" thickBot="1">
      <c r="A121" s="3411" t="s">
        <v>3334</v>
      </c>
      <c r="B121" s="3412">
        <f>ROUND(0.7836-0.012*B116,4)</f>
        <v>0.77270000000000005</v>
      </c>
      <c r="C121" s="3412">
        <f>B121</f>
        <v>0.77270000000000005</v>
      </c>
      <c r="D121" s="3412">
        <f>ROUND(0.753-0.015*B116,4)</f>
        <v>0.73939999999999995</v>
      </c>
      <c r="E121" s="3412">
        <f>D121</f>
        <v>0.73939999999999995</v>
      </c>
      <c r="F121" s="3412">
        <f>E121</f>
        <v>0.73939999999999995</v>
      </c>
      <c r="G121" s="3412">
        <f>ROUND(0.6612-0.018*B116,4)</f>
        <v>0.64480000000000004</v>
      </c>
      <c r="H121" s="3412">
        <f>G121</f>
        <v>0.64480000000000004</v>
      </c>
      <c r="I121" s="3412">
        <f>ROUND(0.5905-0.019*B116,4)</f>
        <v>0.57320000000000004</v>
      </c>
      <c r="J121" s="3412">
        <f t="shared" si="36"/>
        <v>0.57320000000000004</v>
      </c>
      <c r="K121" s="3412">
        <f t="shared" si="36"/>
        <v>0.57320000000000004</v>
      </c>
      <c r="L121" s="3412">
        <f t="shared" si="36"/>
        <v>0.57320000000000004</v>
      </c>
      <c r="M121" s="3413">
        <f t="shared" si="36"/>
        <v>0.57320000000000004</v>
      </c>
      <c r="N121" s="3397"/>
    </row>
    <row r="122" spans="1:14">
      <c r="A122" s="3414" t="s">
        <v>2615</v>
      </c>
      <c r="B122" s="3387">
        <f>ROUND(0.9404-0.0106*B116,4)</f>
        <v>0.93079999999999996</v>
      </c>
      <c r="C122" s="3387">
        <f>B122</f>
        <v>0.93079999999999996</v>
      </c>
      <c r="D122" s="3387">
        <f>ROUND(0.8955-0.0135*B116,4)</f>
        <v>0.88319999999999999</v>
      </c>
      <c r="E122" s="3387">
        <f t="shared" ref="E122:H122" si="38">D122</f>
        <v>0.88319999999999999</v>
      </c>
      <c r="F122" s="3387">
        <f t="shared" si="38"/>
        <v>0.88319999999999999</v>
      </c>
      <c r="G122" s="3387">
        <f t="shared" si="38"/>
        <v>0.88319999999999999</v>
      </c>
      <c r="H122" s="3387">
        <f t="shared" si="38"/>
        <v>0.88319999999999999</v>
      </c>
      <c r="I122" s="3387">
        <f>ROUND(0.7632-0.0166*B116,4)</f>
        <v>0.74809999999999999</v>
      </c>
      <c r="J122" s="3387">
        <f t="shared" si="36"/>
        <v>0.74809999999999999</v>
      </c>
      <c r="K122" s="3387">
        <f t="shared" si="36"/>
        <v>0.74809999999999999</v>
      </c>
      <c r="L122" s="3387">
        <f t="shared" si="36"/>
        <v>0.74809999999999999</v>
      </c>
      <c r="M122" s="3410">
        <f t="shared" si="36"/>
        <v>0.74809999999999999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0" t="s">
        <v>2610</v>
      </c>
      <c r="B20" s="3783" t="s">
        <v>2631</v>
      </c>
      <c r="C20" s="3102" t="s">
        <v>2442</v>
      </c>
      <c r="D20" s="3103"/>
      <c r="E20" s="3104">
        <v>1</v>
      </c>
      <c r="F20" s="3105" t="s">
        <v>2443</v>
      </c>
      <c r="G20" s="3105"/>
    </row>
    <row r="21" spans="1:13" ht="19.5" customHeight="1">
      <c r="A21" s="3791"/>
      <c r="B21" s="3784"/>
      <c r="C21" s="3106" t="s">
        <v>2444</v>
      </c>
      <c r="D21" s="3107"/>
      <c r="E21" s="3108">
        <v>1</v>
      </c>
      <c r="F21" s="3105" t="s">
        <v>2445</v>
      </c>
      <c r="G21" s="3105"/>
    </row>
    <row r="22" spans="1:13" ht="19.5" customHeight="1">
      <c r="A22" s="3791"/>
      <c r="B22" s="3784"/>
      <c r="C22" s="3106" t="s">
        <v>2446</v>
      </c>
      <c r="D22" s="3107"/>
      <c r="E22" s="3108">
        <v>0.9</v>
      </c>
      <c r="F22" s="3105" t="s">
        <v>2447</v>
      </c>
      <c r="G22" s="3105"/>
    </row>
    <row r="23" spans="1:13" ht="19.5" customHeight="1">
      <c r="A23" s="3791"/>
      <c r="B23" s="3784"/>
      <c r="C23" s="3106" t="s">
        <v>2448</v>
      </c>
      <c r="D23" s="3107"/>
      <c r="E23" s="3108">
        <v>0.9</v>
      </c>
      <c r="F23" s="3105" t="s">
        <v>2449</v>
      </c>
      <c r="G23" s="3105"/>
    </row>
    <row r="24" spans="1:13" ht="19.5" customHeight="1">
      <c r="A24" s="3791"/>
      <c r="B24" s="3784"/>
      <c r="C24" s="3106" t="s">
        <v>2450</v>
      </c>
      <c r="D24" s="3107"/>
      <c r="E24" s="3108">
        <v>0.8</v>
      </c>
      <c r="F24" s="3105" t="s">
        <v>2451</v>
      </c>
      <c r="G24" s="3105"/>
    </row>
    <row r="25" spans="1:13" ht="19.5" customHeight="1" thickBot="1">
      <c r="A25" s="3792"/>
      <c r="B25" s="378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6" t="s">
        <v>2634</v>
      </c>
      <c r="B27" s="3783" t="s">
        <v>2615</v>
      </c>
      <c r="C27" s="3102" t="s">
        <v>2455</v>
      </c>
      <c r="D27" s="3103"/>
      <c r="E27" s="3104">
        <v>1</v>
      </c>
      <c r="F27" s="3105" t="s">
        <v>2456</v>
      </c>
      <c r="G27" s="3105"/>
    </row>
    <row r="28" spans="1:13" ht="19.5" customHeight="1">
      <c r="A28" s="3787"/>
      <c r="B28" s="3784"/>
      <c r="C28" s="3106" t="s">
        <v>2457</v>
      </c>
      <c r="D28" s="3107"/>
      <c r="E28" s="3108">
        <v>1</v>
      </c>
      <c r="F28" s="3105" t="s">
        <v>2458</v>
      </c>
      <c r="G28" s="3105"/>
    </row>
    <row r="29" spans="1:13" ht="19.5" customHeight="1">
      <c r="A29" s="3787"/>
      <c r="B29" s="3784"/>
      <c r="C29" s="3106" t="s">
        <v>2459</v>
      </c>
      <c r="D29" s="3107"/>
      <c r="E29" s="3108">
        <v>0.8</v>
      </c>
      <c r="F29" s="3105" t="s">
        <v>2460</v>
      </c>
      <c r="G29" s="3105"/>
    </row>
    <row r="30" spans="1:13" ht="19.5" customHeight="1">
      <c r="A30" s="3787"/>
      <c r="B30" s="3784"/>
      <c r="C30" s="3106" t="s">
        <v>2461</v>
      </c>
      <c r="D30" s="3107"/>
      <c r="E30" s="3108">
        <v>0.8</v>
      </c>
      <c r="F30" s="3105" t="s">
        <v>2462</v>
      </c>
      <c r="G30" s="3105"/>
    </row>
    <row r="31" spans="1:13" ht="19.5" customHeight="1">
      <c r="A31" s="3787"/>
      <c r="B31" s="3784"/>
      <c r="C31" s="3106" t="s">
        <v>2463</v>
      </c>
      <c r="D31" s="3107"/>
      <c r="E31" s="3108">
        <v>0.8</v>
      </c>
      <c r="F31" s="3105" t="s">
        <v>2464</v>
      </c>
      <c r="G31" s="3105"/>
    </row>
    <row r="32" spans="1:13" ht="19.5" customHeight="1">
      <c r="A32" s="3787"/>
      <c r="B32" s="3784"/>
      <c r="C32" s="3106" t="s">
        <v>2465</v>
      </c>
      <c r="D32" s="3107"/>
      <c r="E32" s="3108">
        <v>0.7</v>
      </c>
      <c r="F32" s="3105" t="s">
        <v>2466</v>
      </c>
      <c r="G32" s="3105"/>
    </row>
    <row r="33" spans="1:7" ht="19.5" customHeight="1">
      <c r="A33" s="3787"/>
      <c r="B33" s="3784"/>
      <c r="C33" s="3106" t="s">
        <v>2467</v>
      </c>
      <c r="D33" s="3107"/>
      <c r="E33" s="3108">
        <v>0.8</v>
      </c>
      <c r="F33" s="3105" t="s">
        <v>2468</v>
      </c>
      <c r="G33" s="3105"/>
    </row>
    <row r="34" spans="1:7" ht="19.5" customHeight="1">
      <c r="A34" s="3787"/>
      <c r="B34" s="3784"/>
      <c r="C34" s="3106" t="s">
        <v>2469</v>
      </c>
      <c r="D34" s="3107"/>
      <c r="E34" s="3108">
        <v>0.6</v>
      </c>
      <c r="F34" s="3105" t="s">
        <v>2470</v>
      </c>
      <c r="G34" s="3105"/>
    </row>
    <row r="35" spans="1:7" ht="19.5" customHeight="1">
      <c r="A35" s="3787"/>
      <c r="B35" s="3784"/>
      <c r="C35" s="3106" t="s">
        <v>2471</v>
      </c>
      <c r="D35" s="3107"/>
      <c r="E35" s="3108">
        <v>0.2</v>
      </c>
      <c r="F35" s="3105" t="s">
        <v>2472</v>
      </c>
      <c r="G35" s="3105"/>
    </row>
    <row r="36" spans="1:7" ht="19.5" customHeight="1">
      <c r="A36" s="3787"/>
      <c r="B36" s="3784"/>
      <c r="C36" s="3106" t="s">
        <v>2473</v>
      </c>
      <c r="D36" s="3107"/>
      <c r="E36" s="3108">
        <v>0.2</v>
      </c>
      <c r="F36" s="3105" t="s">
        <v>2474</v>
      </c>
      <c r="G36" s="3105"/>
    </row>
    <row r="37" spans="1:7" ht="19.5" customHeight="1">
      <c r="A37" s="3787"/>
      <c r="B37" s="3789" t="s">
        <v>2635</v>
      </c>
      <c r="C37" s="3106" t="s">
        <v>2475</v>
      </c>
      <c r="D37" s="3107"/>
      <c r="E37" s="3108">
        <v>0.6</v>
      </c>
      <c r="F37" s="3105" t="s">
        <v>2476</v>
      </c>
      <c r="G37" s="3105"/>
    </row>
    <row r="38" spans="1:7" ht="19.5" customHeight="1">
      <c r="A38" s="3787"/>
      <c r="B38" s="3784"/>
      <c r="C38" s="3106" t="s">
        <v>2477</v>
      </c>
      <c r="D38" s="3107"/>
      <c r="E38" s="3108">
        <v>0.6</v>
      </c>
      <c r="F38" s="3105" t="s">
        <v>2478</v>
      </c>
      <c r="G38" s="3105"/>
    </row>
    <row r="39" spans="1:7" ht="19.5" customHeight="1" thickBot="1">
      <c r="A39" s="3788"/>
      <c r="B39" s="378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0" t="s">
        <v>2613</v>
      </c>
      <c r="B41" s="3783" t="s">
        <v>2637</v>
      </c>
      <c r="C41" s="3102" t="s">
        <v>2482</v>
      </c>
      <c r="D41" s="3103"/>
      <c r="E41" s="3104">
        <v>1</v>
      </c>
      <c r="F41" s="3105" t="s">
        <v>2483</v>
      </c>
      <c r="G41" s="3105"/>
    </row>
    <row r="42" spans="1:7" ht="19.5" customHeight="1">
      <c r="A42" s="3791"/>
      <c r="B42" s="3784"/>
      <c r="C42" s="3106" t="s">
        <v>2484</v>
      </c>
      <c r="D42" s="3107"/>
      <c r="E42" s="3108">
        <v>1</v>
      </c>
      <c r="F42" s="3105" t="s">
        <v>2485</v>
      </c>
      <c r="G42" s="3105"/>
    </row>
    <row r="43" spans="1:7" ht="19.5" customHeight="1">
      <c r="A43" s="3791"/>
      <c r="B43" s="3793"/>
      <c r="C43" s="3106" t="s">
        <v>2486</v>
      </c>
      <c r="D43" s="3107"/>
      <c r="E43" s="3108">
        <v>1.5</v>
      </c>
      <c r="F43" s="3105" t="s">
        <v>2487</v>
      </c>
      <c r="G43" s="3105"/>
    </row>
    <row r="44" spans="1:7" ht="19.5" customHeight="1">
      <c r="A44" s="3791"/>
      <c r="B44" s="3117" t="s">
        <v>2638</v>
      </c>
      <c r="C44" s="3106" t="s">
        <v>2639</v>
      </c>
      <c r="D44" s="3107"/>
      <c r="E44" s="3108">
        <v>2</v>
      </c>
      <c r="F44" s="3105" t="s">
        <v>2488</v>
      </c>
      <c r="G44" s="3105"/>
    </row>
    <row r="45" spans="1:7" ht="19.5" customHeight="1">
      <c r="A45" s="3791"/>
      <c r="B45" s="3789" t="s">
        <v>2640</v>
      </c>
      <c r="C45" s="3106" t="s">
        <v>2489</v>
      </c>
      <c r="D45" s="3107"/>
      <c r="E45" s="3108">
        <v>1</v>
      </c>
      <c r="F45" s="3105" t="s">
        <v>2490</v>
      </c>
      <c r="G45" s="3105"/>
    </row>
    <row r="46" spans="1:7" ht="19.5" customHeight="1">
      <c r="A46" s="3791"/>
      <c r="B46" s="3784"/>
      <c r="C46" s="3106" t="s">
        <v>2491</v>
      </c>
      <c r="D46" s="3107"/>
      <c r="E46" s="3108">
        <v>1</v>
      </c>
      <c r="F46" s="3105" t="s">
        <v>2492</v>
      </c>
      <c r="G46" s="3105"/>
    </row>
    <row r="47" spans="1:7" ht="19.5" customHeight="1">
      <c r="A47" s="3791"/>
      <c r="B47" s="3784"/>
      <c r="C47" s="3106" t="s">
        <v>2493</v>
      </c>
      <c r="D47" s="3107"/>
      <c r="E47" s="3108">
        <v>1</v>
      </c>
      <c r="F47" s="3105" t="s">
        <v>2494</v>
      </c>
      <c r="G47" s="3105"/>
    </row>
    <row r="48" spans="1:7" ht="19.5" customHeight="1">
      <c r="A48" s="3791"/>
      <c r="B48" s="3784"/>
      <c r="C48" s="3106" t="s">
        <v>2495</v>
      </c>
      <c r="D48" s="3107"/>
      <c r="E48" s="3108">
        <v>1</v>
      </c>
      <c r="F48" s="3105" t="s">
        <v>2496</v>
      </c>
      <c r="G48" s="3105"/>
    </row>
    <row r="49" spans="1:7" ht="19.5" customHeight="1">
      <c r="A49" s="3791"/>
      <c r="B49" s="3784"/>
      <c r="C49" s="3106" t="s">
        <v>2497</v>
      </c>
      <c r="D49" s="3107"/>
      <c r="E49" s="3108">
        <v>1</v>
      </c>
      <c r="F49" s="3105" t="s">
        <v>2498</v>
      </c>
      <c r="G49" s="3105"/>
    </row>
    <row r="50" spans="1:7" ht="19.5" customHeight="1">
      <c r="A50" s="3791"/>
      <c r="B50" s="3784"/>
      <c r="C50" s="3106" t="s">
        <v>2499</v>
      </c>
      <c r="D50" s="3107"/>
      <c r="E50" s="3108">
        <v>1</v>
      </c>
      <c r="F50" s="3105" t="s">
        <v>2500</v>
      </c>
      <c r="G50" s="3105"/>
    </row>
    <row r="51" spans="1:7" ht="19.5" customHeight="1" thickBot="1">
      <c r="A51" s="3792"/>
      <c r="B51" s="378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9" t="s">
        <v>2654</v>
      </c>
      <c r="C73" s="3091" t="s">
        <v>2655</v>
      </c>
      <c r="D73" s="3091" t="s">
        <v>2656</v>
      </c>
      <c r="E73" s="3117">
        <v>0.2</v>
      </c>
      <c r="F73" s="3117">
        <v>25</v>
      </c>
    </row>
    <row r="74" spans="1:7" ht="24">
      <c r="A74" s="3117">
        <v>2</v>
      </c>
      <c r="B74" s="3784"/>
      <c r="C74" s="3091" t="s">
        <v>2657</v>
      </c>
      <c r="D74" s="3091" t="s">
        <v>2658</v>
      </c>
      <c r="E74" s="3117">
        <v>0.2</v>
      </c>
      <c r="F74" s="3117">
        <v>25</v>
      </c>
    </row>
    <row r="75" spans="1:7" ht="24">
      <c r="A75" s="3117">
        <v>3</v>
      </c>
      <c r="B75" s="3784"/>
      <c r="C75" s="3091" t="s">
        <v>2659</v>
      </c>
      <c r="D75" s="3091" t="s">
        <v>2660</v>
      </c>
      <c r="E75" s="3117">
        <v>0.2</v>
      </c>
      <c r="F75" s="3117">
        <v>25</v>
      </c>
    </row>
    <row r="76" spans="1:7" ht="13.5">
      <c r="A76" s="3117">
        <v>4</v>
      </c>
      <c r="B76" s="3784"/>
      <c r="C76" s="3091" t="s">
        <v>2661</v>
      </c>
      <c r="D76" s="3091" t="s">
        <v>2662</v>
      </c>
      <c r="E76" s="3117">
        <v>0.15</v>
      </c>
      <c r="F76" s="3117">
        <v>20</v>
      </c>
    </row>
    <row r="77" spans="1:7" ht="24">
      <c r="A77" s="3117">
        <v>5</v>
      </c>
      <c r="B77" s="3784"/>
      <c r="C77" s="3091" t="s">
        <v>2663</v>
      </c>
      <c r="D77" s="3091" t="s">
        <v>2664</v>
      </c>
      <c r="E77" s="3117">
        <v>0.15</v>
      </c>
      <c r="F77" s="3117">
        <v>20</v>
      </c>
    </row>
    <row r="78" spans="1:7" ht="24">
      <c r="A78" s="3117">
        <v>6</v>
      </c>
      <c r="B78" s="3784"/>
      <c r="C78" s="3091" t="s">
        <v>2665</v>
      </c>
      <c r="D78" s="3091" t="s">
        <v>2666</v>
      </c>
      <c r="E78" s="3117">
        <v>0.15</v>
      </c>
      <c r="F78" s="3117">
        <v>20</v>
      </c>
    </row>
    <row r="79" spans="1:7" ht="24">
      <c r="A79" s="3117">
        <v>7</v>
      </c>
      <c r="B79" s="3784"/>
      <c r="C79" s="3091" t="s">
        <v>2667</v>
      </c>
      <c r="D79" s="3091" t="s">
        <v>2668</v>
      </c>
      <c r="E79" s="3117">
        <v>0.15</v>
      </c>
      <c r="F79" s="3117">
        <v>20</v>
      </c>
    </row>
    <row r="80" spans="1:7" ht="24">
      <c r="A80" s="3117">
        <v>8</v>
      </c>
      <c r="B80" s="3784"/>
      <c r="C80" s="3091" t="s">
        <v>2669</v>
      </c>
      <c r="D80" s="3091" t="s">
        <v>2670</v>
      </c>
      <c r="E80" s="3117">
        <v>0.1</v>
      </c>
      <c r="F80" s="3117">
        <v>15</v>
      </c>
    </row>
    <row r="81" spans="1:6" ht="24">
      <c r="A81" s="3117">
        <v>9</v>
      </c>
      <c r="B81" s="3784"/>
      <c r="C81" s="3091" t="s">
        <v>2671</v>
      </c>
      <c r="D81" s="3091" t="s">
        <v>2672</v>
      </c>
      <c r="E81" s="3117">
        <v>0.1</v>
      </c>
      <c r="F81" s="3117">
        <v>15</v>
      </c>
    </row>
    <row r="82" spans="1:6" ht="24">
      <c r="A82" s="3117">
        <v>10</v>
      </c>
      <c r="B82" s="3784"/>
      <c r="C82" s="3091" t="s">
        <v>2673</v>
      </c>
      <c r="D82" s="3091" t="s">
        <v>2674</v>
      </c>
      <c r="E82" s="3117">
        <v>0.1</v>
      </c>
      <c r="F82" s="3117">
        <v>15</v>
      </c>
    </row>
    <row r="83" spans="1:6" ht="24">
      <c r="A83" s="3117">
        <v>11</v>
      </c>
      <c r="B83" s="3784"/>
      <c r="C83" s="3091" t="s">
        <v>2675</v>
      </c>
      <c r="D83" s="3091" t="s">
        <v>2676</v>
      </c>
      <c r="E83" s="3117">
        <v>0.1</v>
      </c>
      <c r="F83" s="3117">
        <v>15</v>
      </c>
    </row>
    <row r="84" spans="1:6" ht="24">
      <c r="A84" s="3117">
        <v>12</v>
      </c>
      <c r="B84" s="3784"/>
      <c r="C84" s="3091" t="s">
        <v>2677</v>
      </c>
      <c r="D84" s="3091" t="s">
        <v>2678</v>
      </c>
      <c r="E84" s="3117">
        <v>0.1</v>
      </c>
      <c r="F84" s="3117">
        <v>15</v>
      </c>
    </row>
    <row r="85" spans="1:6" ht="13.5">
      <c r="A85" s="3117">
        <v>13</v>
      </c>
      <c r="B85" s="3784"/>
      <c r="C85" s="3091" t="s">
        <v>2679</v>
      </c>
      <c r="D85" s="3091" t="s">
        <v>2680</v>
      </c>
      <c r="E85" s="3117">
        <v>0.1</v>
      </c>
      <c r="F85" s="3117">
        <v>15</v>
      </c>
    </row>
    <row r="86" spans="1:6" ht="13.5">
      <c r="A86" s="3117">
        <v>14</v>
      </c>
      <c r="B86" s="3784"/>
      <c r="C86" s="3091" t="s">
        <v>2681</v>
      </c>
      <c r="D86" s="3091" t="s">
        <v>2682</v>
      </c>
      <c r="E86" s="3117">
        <v>0.1</v>
      </c>
      <c r="F86" s="3117">
        <v>15</v>
      </c>
    </row>
    <row r="87" spans="1:6" ht="13.5">
      <c r="A87" s="3117">
        <v>15</v>
      </c>
      <c r="B87" s="3784"/>
      <c r="C87" s="3091" t="s">
        <v>2683</v>
      </c>
      <c r="D87" s="3091" t="s">
        <v>2684</v>
      </c>
      <c r="E87" s="3117">
        <v>0.1</v>
      </c>
      <c r="F87" s="3117">
        <v>15</v>
      </c>
    </row>
    <row r="88" spans="1:6" ht="24">
      <c r="A88" s="3117">
        <v>16</v>
      </c>
      <c r="B88" s="3784"/>
      <c r="C88" s="3091" t="s">
        <v>2685</v>
      </c>
      <c r="D88" s="3091" t="s">
        <v>2686</v>
      </c>
      <c r="E88" s="3117">
        <v>0.1</v>
      </c>
      <c r="F88" s="3117">
        <v>15</v>
      </c>
    </row>
    <row r="89" spans="1:6" ht="24">
      <c r="A89" s="3117">
        <v>17</v>
      </c>
      <c r="B89" s="3793"/>
      <c r="C89" s="3091" t="s">
        <v>2687</v>
      </c>
      <c r="D89" s="3091" t="s">
        <v>2688</v>
      </c>
      <c r="E89" s="3117">
        <v>0.1</v>
      </c>
      <c r="F89" s="3117">
        <v>15</v>
      </c>
    </row>
    <row r="90" spans="1:6" ht="13.5">
      <c r="A90" s="3117">
        <v>18</v>
      </c>
      <c r="B90" s="3789" t="s">
        <v>2689</v>
      </c>
      <c r="C90" s="3091" t="s">
        <v>2690</v>
      </c>
      <c r="D90" s="3091" t="s">
        <v>2691</v>
      </c>
      <c r="E90" s="3117">
        <v>0.2</v>
      </c>
      <c r="F90" s="3117">
        <v>25</v>
      </c>
    </row>
    <row r="91" spans="1:6" ht="24">
      <c r="A91" s="3117">
        <v>19</v>
      </c>
      <c r="B91" s="3784"/>
      <c r="C91" s="3091" t="s">
        <v>2692</v>
      </c>
      <c r="D91" s="3091" t="s">
        <v>2693</v>
      </c>
      <c r="E91" s="3117">
        <v>0.2</v>
      </c>
      <c r="F91" s="3117">
        <v>25</v>
      </c>
    </row>
    <row r="92" spans="1:6" ht="13.5">
      <c r="A92" s="3117">
        <v>20</v>
      </c>
      <c r="B92" s="3784"/>
      <c r="C92" s="3091" t="s">
        <v>2694</v>
      </c>
      <c r="D92" s="3091" t="s">
        <v>2695</v>
      </c>
      <c r="E92" s="3117">
        <v>0.15</v>
      </c>
      <c r="F92" s="3117">
        <v>20</v>
      </c>
    </row>
    <row r="93" spans="1:6" ht="13.5">
      <c r="A93" s="3117">
        <v>21</v>
      </c>
      <c r="B93" s="3784"/>
      <c r="C93" s="3091" t="s">
        <v>2696</v>
      </c>
      <c r="D93" s="3091" t="s">
        <v>2697</v>
      </c>
      <c r="E93" s="3117">
        <v>0.15</v>
      </c>
      <c r="F93" s="3117">
        <v>20</v>
      </c>
    </row>
    <row r="94" spans="1:6" ht="13.5">
      <c r="A94" s="3117">
        <v>22</v>
      </c>
      <c r="B94" s="3784"/>
      <c r="C94" s="3091" t="s">
        <v>2698</v>
      </c>
      <c r="D94" s="3091" t="s">
        <v>2699</v>
      </c>
      <c r="E94" s="3117">
        <v>0.15</v>
      </c>
      <c r="F94" s="3117">
        <v>20</v>
      </c>
    </row>
    <row r="95" spans="1:6" ht="36">
      <c r="A95" s="3117">
        <v>23</v>
      </c>
      <c r="B95" s="3784"/>
      <c r="C95" s="3091" t="s">
        <v>2700</v>
      </c>
      <c r="D95" s="3091" t="s">
        <v>2701</v>
      </c>
      <c r="E95" s="3117">
        <v>0.15</v>
      </c>
      <c r="F95" s="3117">
        <v>20</v>
      </c>
    </row>
    <row r="96" spans="1:6" ht="13.5">
      <c r="A96" s="3117">
        <v>24</v>
      </c>
      <c r="B96" s="3784"/>
      <c r="C96" s="3091" t="s">
        <v>2702</v>
      </c>
      <c r="D96" s="3091" t="s">
        <v>2703</v>
      </c>
      <c r="E96" s="3117">
        <v>0.1</v>
      </c>
      <c r="F96" s="3117">
        <v>15</v>
      </c>
    </row>
    <row r="97" spans="1:6" ht="13.5">
      <c r="A97" s="3117">
        <v>25</v>
      </c>
      <c r="B97" s="3784"/>
      <c r="C97" s="3091" t="s">
        <v>2704</v>
      </c>
      <c r="D97" s="3091" t="s">
        <v>2705</v>
      </c>
      <c r="E97" s="3117">
        <v>0.1</v>
      </c>
      <c r="F97" s="3117">
        <v>15</v>
      </c>
    </row>
    <row r="98" spans="1:6" ht="24">
      <c r="A98" s="3117">
        <v>26</v>
      </c>
      <c r="B98" s="3784"/>
      <c r="C98" s="3091" t="s">
        <v>2706</v>
      </c>
      <c r="D98" s="3091" t="s">
        <v>2707</v>
      </c>
      <c r="E98" s="3117">
        <v>0.1</v>
      </c>
      <c r="F98" s="3117">
        <v>15</v>
      </c>
    </row>
    <row r="99" spans="1:6" ht="24">
      <c r="A99" s="3117">
        <v>27</v>
      </c>
      <c r="B99" s="3784"/>
      <c r="C99" s="3091" t="s">
        <v>2708</v>
      </c>
      <c r="D99" s="3091" t="s">
        <v>2709</v>
      </c>
      <c r="E99" s="3117">
        <v>0.1</v>
      </c>
      <c r="F99" s="3117">
        <v>15</v>
      </c>
    </row>
    <row r="100" spans="1:6" ht="13.5">
      <c r="A100" s="3117">
        <v>28</v>
      </c>
      <c r="B100" s="3784"/>
      <c r="C100" s="3091" t="s">
        <v>2710</v>
      </c>
      <c r="D100" s="3091" t="s">
        <v>2711</v>
      </c>
      <c r="E100" s="3117">
        <v>0.1</v>
      </c>
      <c r="F100" s="3117">
        <v>15</v>
      </c>
    </row>
    <row r="101" spans="1:6" ht="13.5">
      <c r="A101" s="3117">
        <v>29</v>
      </c>
      <c r="B101" s="3784"/>
      <c r="C101" s="3091" t="s">
        <v>2712</v>
      </c>
      <c r="D101" s="3091" t="s">
        <v>2713</v>
      </c>
      <c r="E101" s="3117">
        <v>0.1</v>
      </c>
      <c r="F101" s="3117">
        <v>15</v>
      </c>
    </row>
    <row r="102" spans="1:6" ht="13.5">
      <c r="A102" s="3117">
        <v>30</v>
      </c>
      <c r="B102" s="3784"/>
      <c r="C102" s="3091" t="s">
        <v>2714</v>
      </c>
      <c r="D102" s="3091" t="s">
        <v>2715</v>
      </c>
      <c r="E102" s="3117">
        <v>0.1</v>
      </c>
      <c r="F102" s="3117">
        <v>15</v>
      </c>
    </row>
    <row r="103" spans="1:6" ht="24">
      <c r="A103" s="3117">
        <v>31</v>
      </c>
      <c r="B103" s="3784"/>
      <c r="C103" s="3091" t="s">
        <v>2716</v>
      </c>
      <c r="D103" s="3091" t="s">
        <v>2717</v>
      </c>
      <c r="E103" s="3117">
        <v>0.1</v>
      </c>
      <c r="F103" s="3117">
        <v>15</v>
      </c>
    </row>
    <row r="104" spans="1:6" ht="24">
      <c r="A104" s="3117">
        <v>32</v>
      </c>
      <c r="B104" s="3784"/>
      <c r="C104" s="3091" t="s">
        <v>2718</v>
      </c>
      <c r="D104" s="3091" t="s">
        <v>2719</v>
      </c>
      <c r="E104" s="3117">
        <v>0.1</v>
      </c>
      <c r="F104" s="3117">
        <v>15</v>
      </c>
    </row>
    <row r="105" spans="1:6" ht="24">
      <c r="A105" s="3117">
        <v>33</v>
      </c>
      <c r="B105" s="3784"/>
      <c r="C105" s="3091" t="s">
        <v>2720</v>
      </c>
      <c r="D105" s="3091" t="s">
        <v>2721</v>
      </c>
      <c r="E105" s="3117">
        <v>0.1</v>
      </c>
      <c r="F105" s="3117">
        <v>15</v>
      </c>
    </row>
    <row r="106" spans="1:6" ht="24">
      <c r="A106" s="3117">
        <v>34</v>
      </c>
      <c r="B106" s="3793"/>
      <c r="C106" s="3091" t="s">
        <v>2722</v>
      </c>
      <c r="D106" s="3091" t="s">
        <v>2723</v>
      </c>
      <c r="E106" s="3117">
        <v>0.1</v>
      </c>
      <c r="F106" s="3117">
        <v>15</v>
      </c>
    </row>
    <row r="107" spans="1:6" ht="24">
      <c r="A107" s="3117">
        <v>35</v>
      </c>
      <c r="B107" s="3789" t="s">
        <v>2724</v>
      </c>
      <c r="C107" s="3117" t="s">
        <v>2725</v>
      </c>
      <c r="D107" s="3091" t="s">
        <v>2726</v>
      </c>
      <c r="E107" s="3117">
        <v>0.15</v>
      </c>
      <c r="F107" s="3117">
        <v>20</v>
      </c>
    </row>
    <row r="108" spans="1:6" ht="13.5">
      <c r="A108" s="3117">
        <v>36</v>
      </c>
      <c r="B108" s="3784"/>
      <c r="C108" s="3117" t="s">
        <v>2727</v>
      </c>
      <c r="D108" s="3091" t="s">
        <v>2728</v>
      </c>
      <c r="E108" s="3117">
        <v>0.15</v>
      </c>
      <c r="F108" s="3117">
        <v>20</v>
      </c>
    </row>
    <row r="109" spans="1:6" ht="13.5">
      <c r="A109" s="3117">
        <v>37</v>
      </c>
      <c r="B109" s="3784"/>
      <c r="C109" s="3117" t="s">
        <v>2729</v>
      </c>
      <c r="D109" s="3091" t="s">
        <v>2730</v>
      </c>
      <c r="E109" s="3117">
        <v>0.15</v>
      </c>
      <c r="F109" s="3117">
        <v>20</v>
      </c>
    </row>
    <row r="110" spans="1:6" ht="13.5">
      <c r="A110" s="3117">
        <v>38</v>
      </c>
      <c r="B110" s="3784"/>
      <c r="C110" s="3117" t="s">
        <v>2731</v>
      </c>
      <c r="D110" s="3091" t="s">
        <v>2732</v>
      </c>
      <c r="E110" s="3117">
        <v>0.1</v>
      </c>
      <c r="F110" s="3117">
        <v>15</v>
      </c>
    </row>
    <row r="111" spans="1:6" ht="24">
      <c r="A111" s="3117">
        <v>39</v>
      </c>
      <c r="B111" s="3784"/>
      <c r="C111" s="3117" t="s">
        <v>2733</v>
      </c>
      <c r="D111" s="3091" t="s">
        <v>2734</v>
      </c>
      <c r="E111" s="3117">
        <v>0.1</v>
      </c>
      <c r="F111" s="3117">
        <v>15</v>
      </c>
    </row>
    <row r="112" spans="1:6" ht="24">
      <c r="A112" s="3117">
        <v>40</v>
      </c>
      <c r="B112" s="3793"/>
      <c r="C112" s="3117" t="s">
        <v>2735</v>
      </c>
      <c r="D112" s="3091" t="s">
        <v>2736</v>
      </c>
      <c r="E112" s="3117">
        <v>0.1</v>
      </c>
      <c r="F112" s="3117">
        <v>15</v>
      </c>
    </row>
    <row r="113" spans="1:6" ht="13.5">
      <c r="A113" s="3117">
        <v>41</v>
      </c>
      <c r="B113" s="3794" t="s">
        <v>2737</v>
      </c>
      <c r="C113" s="3117" t="s">
        <v>2738</v>
      </c>
      <c r="D113" s="3091" t="s">
        <v>2739</v>
      </c>
      <c r="E113" s="3117">
        <v>0.1</v>
      </c>
      <c r="F113" s="3117">
        <v>15</v>
      </c>
    </row>
    <row r="114" spans="1:6" ht="13.5">
      <c r="A114" s="3117">
        <v>42</v>
      </c>
      <c r="B114" s="3794"/>
      <c r="C114" s="3117" t="s">
        <v>2740</v>
      </c>
      <c r="D114" s="3091" t="s">
        <v>2741</v>
      </c>
      <c r="E114" s="3117">
        <v>0.1</v>
      </c>
      <c r="F114" s="3117">
        <v>15</v>
      </c>
    </row>
    <row r="115" spans="1:6" ht="24">
      <c r="A115" s="3117">
        <v>43</v>
      </c>
      <c r="B115" s="3794"/>
      <c r="C115" s="3117" t="s">
        <v>2742</v>
      </c>
      <c r="D115" s="3091" t="s">
        <v>2743</v>
      </c>
      <c r="E115" s="3117">
        <v>0.1</v>
      </c>
      <c r="F115" s="3117">
        <v>15</v>
      </c>
    </row>
    <row r="116" spans="1:6" ht="13.5">
      <c r="A116" s="3117">
        <v>44</v>
      </c>
      <c r="B116" s="3789" t="s">
        <v>2744</v>
      </c>
      <c r="C116" s="3117" t="s">
        <v>2745</v>
      </c>
      <c r="D116" s="3091" t="s">
        <v>2746</v>
      </c>
      <c r="E116" s="3117">
        <v>0.1</v>
      </c>
      <c r="F116" s="3117">
        <v>15</v>
      </c>
    </row>
    <row r="117" spans="1:6" ht="24">
      <c r="A117" s="3117">
        <v>45</v>
      </c>
      <c r="B117" s="3793"/>
      <c r="C117" s="3091" t="s">
        <v>2747</v>
      </c>
      <c r="D117" s="3091" t="s">
        <v>2748</v>
      </c>
      <c r="E117" s="3117">
        <v>0.1</v>
      </c>
      <c r="F117" s="3117">
        <v>15</v>
      </c>
    </row>
    <row r="118" spans="1:6" ht="24">
      <c r="A118" s="3117">
        <v>46</v>
      </c>
      <c r="B118" s="3789" t="s">
        <v>2749</v>
      </c>
      <c r="C118" s="3117" t="s">
        <v>2750</v>
      </c>
      <c r="D118" s="3091" t="s">
        <v>2751</v>
      </c>
      <c r="E118" s="3117">
        <v>0.1</v>
      </c>
      <c r="F118" s="3117">
        <v>15</v>
      </c>
    </row>
    <row r="119" spans="1:6" ht="24">
      <c r="A119" s="3117">
        <v>47</v>
      </c>
      <c r="B119" s="3793"/>
      <c r="C119" s="3117" t="s">
        <v>2752</v>
      </c>
      <c r="D119" s="3091" t="s">
        <v>2753</v>
      </c>
      <c r="E119" s="3117">
        <v>0.1</v>
      </c>
      <c r="F119" s="3117">
        <v>15</v>
      </c>
    </row>
    <row r="120" spans="1:6" ht="13.5">
      <c r="A120" s="3117">
        <v>48</v>
      </c>
      <c r="B120" s="3789" t="s">
        <v>2754</v>
      </c>
      <c r="C120" s="3117" t="s">
        <v>2755</v>
      </c>
      <c r="D120" s="3091" t="s">
        <v>2756</v>
      </c>
      <c r="E120" s="3117">
        <v>0.1</v>
      </c>
      <c r="F120" s="3117">
        <v>15</v>
      </c>
    </row>
    <row r="121" spans="1:6" ht="13.5">
      <c r="A121" s="3117">
        <v>49</v>
      </c>
      <c r="B121" s="3793"/>
      <c r="C121" s="3117" t="s">
        <v>2757</v>
      </c>
      <c r="D121" s="3091" t="s">
        <v>2758</v>
      </c>
      <c r="E121" s="3117">
        <v>0.1</v>
      </c>
      <c r="F121" s="3117">
        <v>15</v>
      </c>
    </row>
    <row r="122" spans="1:6" ht="24">
      <c r="A122" s="3117">
        <v>50</v>
      </c>
      <c r="B122" s="3794" t="s">
        <v>2759</v>
      </c>
      <c r="C122" s="3117" t="s">
        <v>2760</v>
      </c>
      <c r="D122" s="3091" t="s">
        <v>2761</v>
      </c>
      <c r="E122" s="3117">
        <v>0.1</v>
      </c>
      <c r="F122" s="3117">
        <v>15</v>
      </c>
    </row>
    <row r="123" spans="1:6" ht="24">
      <c r="A123" s="3117">
        <v>51</v>
      </c>
      <c r="B123" s="3794"/>
      <c r="C123" s="3117" t="s">
        <v>2762</v>
      </c>
      <c r="D123" s="3091" t="s">
        <v>2763</v>
      </c>
      <c r="E123" s="3117">
        <v>0.1</v>
      </c>
      <c r="F123" s="3117">
        <v>15</v>
      </c>
    </row>
    <row r="124" spans="1:6" ht="24">
      <c r="A124" s="3117">
        <v>52</v>
      </c>
      <c r="B124" s="3794" t="s">
        <v>2764</v>
      </c>
      <c r="C124" s="3117" t="s">
        <v>2765</v>
      </c>
      <c r="D124" s="3091" t="s">
        <v>2766</v>
      </c>
      <c r="E124" s="3117">
        <v>0.1</v>
      </c>
      <c r="F124" s="3117">
        <v>15</v>
      </c>
    </row>
    <row r="125" spans="1:6" ht="24">
      <c r="A125" s="3117">
        <v>53</v>
      </c>
      <c r="B125" s="379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94" t="s">
        <v>2772</v>
      </c>
      <c r="C127" s="3117" t="s">
        <v>2773</v>
      </c>
      <c r="D127" s="3091" t="s">
        <v>2774</v>
      </c>
      <c r="E127" s="3117">
        <v>0.1</v>
      </c>
      <c r="F127" s="3117">
        <v>15</v>
      </c>
    </row>
    <row r="128" spans="1:6" ht="13.5">
      <c r="A128" s="3117">
        <v>56</v>
      </c>
      <c r="B128" s="3794"/>
      <c r="C128" s="3117" t="s">
        <v>2775</v>
      </c>
      <c r="D128" s="3091" t="s">
        <v>2776</v>
      </c>
      <c r="E128" s="3117">
        <v>0.1</v>
      </c>
      <c r="F128" s="3117">
        <v>15</v>
      </c>
    </row>
    <row r="129" spans="1:6" ht="24">
      <c r="A129" s="3117">
        <v>57</v>
      </c>
      <c r="B129" s="3794"/>
      <c r="C129" s="3117" t="s">
        <v>2777</v>
      </c>
      <c r="D129" s="3091" t="s">
        <v>2778</v>
      </c>
      <c r="E129" s="3117">
        <v>0.1</v>
      </c>
      <c r="F129" s="3117">
        <v>15</v>
      </c>
    </row>
    <row r="130" spans="1:6" ht="24">
      <c r="A130" s="3117">
        <v>58</v>
      </c>
      <c r="B130" s="3794" t="s">
        <v>2779</v>
      </c>
      <c r="C130" s="3117" t="s">
        <v>2780</v>
      </c>
      <c r="D130" s="3091" t="s">
        <v>2781</v>
      </c>
      <c r="E130" s="3117">
        <v>0.1</v>
      </c>
      <c r="F130" s="3117">
        <v>15</v>
      </c>
    </row>
    <row r="131" spans="1:6" ht="13.5">
      <c r="A131" s="3117">
        <v>59</v>
      </c>
      <c r="B131" s="3794"/>
      <c r="C131" s="3117" t="s">
        <v>2782</v>
      </c>
      <c r="D131" s="3091" t="s">
        <v>2783</v>
      </c>
      <c r="E131" s="3117">
        <v>0.1</v>
      </c>
      <c r="F131" s="3117">
        <v>15</v>
      </c>
    </row>
    <row r="132" spans="1:6" ht="13.5">
      <c r="A132" s="3117">
        <v>60</v>
      </c>
      <c r="B132" s="3789" t="s">
        <v>2784</v>
      </c>
      <c r="C132" s="3117" t="s">
        <v>2785</v>
      </c>
      <c r="D132" s="3091" t="s">
        <v>2786</v>
      </c>
      <c r="E132" s="3117">
        <v>0.1</v>
      </c>
      <c r="F132" s="3117">
        <v>15</v>
      </c>
    </row>
    <row r="133" spans="1:6" ht="13.5">
      <c r="A133" s="3117">
        <v>61</v>
      </c>
      <c r="B133" s="379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94" t="s">
        <v>2792</v>
      </c>
      <c r="C135" s="3117" t="s">
        <v>2793</v>
      </c>
      <c r="D135" s="3091" t="s">
        <v>2794</v>
      </c>
      <c r="E135" s="3117">
        <v>0.1</v>
      </c>
      <c r="F135" s="3117">
        <v>15</v>
      </c>
    </row>
    <row r="136" spans="1:6" ht="13.5">
      <c r="A136" s="3117">
        <v>64</v>
      </c>
      <c r="B136" s="379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30272</v>
      </c>
      <c r="C2" s="2" t="s">
        <v>106</v>
      </c>
      <c r="D2" s="199"/>
      <c r="E2" s="199"/>
      <c r="F2" s="199"/>
      <c r="G2" s="199"/>
    </row>
    <row r="3" spans="1:7" s="200" customFormat="1" ht="18" customHeight="1" thickBot="1">
      <c r="A3" s="203" t="s">
        <v>58</v>
      </c>
      <c r="B3" s="204">
        <f ca="1">ROUND(B2*10000/'数据-汇总表'!E3,0)</f>
        <v>22751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727</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120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77</v>
      </c>
      <c r="D42" s="238"/>
      <c r="E42" s="238"/>
      <c r="F42" s="239"/>
      <c r="G42" s="3659" t="s">
        <v>94</v>
      </c>
    </row>
    <row r="43" spans="1:7" ht="13.5" customHeight="1">
      <c r="A43" s="780" t="s">
        <v>347</v>
      </c>
      <c r="B43" s="215" t="s">
        <v>426</v>
      </c>
      <c r="C43" s="238">
        <f ca="1">ROUND(IF('数据-取费表'!B22&lt;=1,C39*F22*'数据-取费表'!B21/2,C39*(POWER((1+F22),'数据-取费表'!B21/2)-1)),0)</f>
        <v>2</v>
      </c>
      <c r="D43" s="238"/>
      <c r="E43" s="238"/>
      <c r="F43" s="239"/>
      <c r="G43" s="3660"/>
    </row>
    <row r="44" spans="1:7" ht="13.5" customHeight="1">
      <c r="A44" s="780" t="s">
        <v>348</v>
      </c>
      <c r="B44" s="215" t="s">
        <v>428</v>
      </c>
      <c r="C44" s="238">
        <f ca="1">ROUND(IF('数据-取费表'!B22&lt;=1,C40*F22*'数据-取费表'!B21/2,C40*(POWER((1+F22),'数据-取费表'!B21/2)-1)),4)</f>
        <v>2.9999999999999997E-4</v>
      </c>
      <c r="D44" s="238"/>
      <c r="E44" s="238"/>
      <c r="F44" s="239"/>
      <c r="G44" s="3661"/>
    </row>
    <row r="45" spans="1:7" s="214" customFormat="1" ht="13.5" customHeight="1">
      <c r="A45" s="777" t="s">
        <v>341</v>
      </c>
      <c r="B45" s="244" t="s">
        <v>85</v>
      </c>
      <c r="C45" s="245">
        <f>C46</f>
        <v>455</v>
      </c>
      <c r="D45" s="235">
        <f>C47</f>
        <v>2E-3</v>
      </c>
      <c r="E45" s="236" t="s">
        <v>102</v>
      </c>
      <c r="F45" s="246"/>
      <c r="G45" s="247" t="s">
        <v>434</v>
      </c>
    </row>
    <row r="46" spans="1:7" s="214" customFormat="1" ht="13.5" customHeight="1">
      <c r="A46" s="780" t="s">
        <v>349</v>
      </c>
      <c r="B46" s="248" t="s">
        <v>427</v>
      </c>
      <c r="C46" s="249">
        <f>ROUND((C33+C39)*F27,0)</f>
        <v>455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5491</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4173</v>
      </c>
      <c r="D51" s="232"/>
      <c r="E51" s="232"/>
      <c r="F51" s="264"/>
      <c r="G51" s="234" t="s">
        <v>37</v>
      </c>
    </row>
    <row r="52" spans="1:7" s="208" customFormat="1" ht="16.5" thickBot="1">
      <c r="A52" s="265" t="s">
        <v>38</v>
      </c>
      <c r="B52" s="266"/>
      <c r="C52" s="267">
        <f ca="1">C31+C51</f>
        <v>30272</v>
      </c>
      <c r="D52" s="266"/>
      <c r="E52" s="266"/>
      <c r="F52" s="266"/>
      <c r="G52" s="268"/>
    </row>
    <row r="55" spans="1:7" ht="15">
      <c r="B55" s="270" t="s">
        <v>39</v>
      </c>
      <c r="C55" s="271"/>
    </row>
    <row r="56" spans="1:7">
      <c r="B56" s="273" t="s">
        <v>40</v>
      </c>
      <c r="C56" s="274">
        <f ca="1">ROUND(C51/C52,3)</f>
        <v>0.13800000000000001</v>
      </c>
    </row>
    <row r="57" spans="1:7">
      <c r="B57" s="273" t="s">
        <v>41</v>
      </c>
      <c r="C57" s="275">
        <f ca="1">1-C56</f>
        <v>0.86199999999999999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50">
        <f ca="1">结果表!H101</f>
        <v>8571</v>
      </c>
      <c r="E5" s="1490"/>
    </row>
    <row r="6" spans="1:5" ht="15.75">
      <c r="A6" s="1490"/>
      <c r="B6" s="3478"/>
      <c r="C6" s="1493" t="s">
        <v>911</v>
      </c>
      <c r="D6" s="850" t="str">
        <f ca="1">NUMBERSTRING(INT(D5*10000),2)&amp;"元整"</f>
        <v>捌仟伍佰柒拾壹万元整</v>
      </c>
      <c r="E6" s="1490"/>
    </row>
    <row r="7" spans="1:5" ht="15.75">
      <c r="A7" s="1490"/>
      <c r="B7" s="3483"/>
      <c r="C7" s="1494" t="s">
        <v>912</v>
      </c>
      <c r="D7" s="851">
        <f ca="1">结果表!H102</f>
        <v>6442</v>
      </c>
      <c r="E7" s="1490"/>
    </row>
    <row r="8" spans="1:5" ht="15.75">
      <c r="A8" s="1490"/>
      <c r="B8" s="3484" t="str">
        <f>结果表!E103</f>
        <v>2.估价师知悉的法定优先受偿款</v>
      </c>
      <c r="C8" s="1495" t="s">
        <v>913</v>
      </c>
      <c r="D8" s="851">
        <f>结果表!H103</f>
        <v>0</v>
      </c>
      <c r="E8" s="1490"/>
    </row>
    <row r="9" spans="1:5" ht="15.75">
      <c r="A9" s="1490"/>
      <c r="B9" s="348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7" t="str">
        <f>结果表!E107</f>
        <v>3.房地产抵押价值</v>
      </c>
      <c r="C13" s="1498" t="s">
        <v>910</v>
      </c>
      <c r="D13" s="853">
        <f ca="1">结果表!H107</f>
        <v>8571</v>
      </c>
      <c r="E13" s="1490"/>
    </row>
    <row r="14" spans="1:5" ht="15.75">
      <c r="A14" s="1490"/>
      <c r="B14" s="3478"/>
      <c r="C14" s="1493" t="s">
        <v>911</v>
      </c>
      <c r="D14" s="850" t="str">
        <f ca="1">NUMBERSTRING(INT(D13*10000),2)&amp;"元整"</f>
        <v>捌仟伍佰柒拾壹万元整</v>
      </c>
      <c r="E14" s="1490"/>
    </row>
    <row r="15" spans="1:5" ht="15">
      <c r="A15" s="1490"/>
      <c r="B15" s="3483"/>
      <c r="C15" s="1494" t="s">
        <v>921</v>
      </c>
      <c r="D15" s="859">
        <f ca="1">结果表!H108</f>
        <v>6442</v>
      </c>
      <c r="E15" s="1490"/>
    </row>
    <row r="16" spans="1:5" ht="15">
      <c r="A16" s="1490"/>
      <c r="B16" s="3484" t="str">
        <f>结果表!E109</f>
        <v>——</v>
      </c>
      <c r="C16" s="1498" t="s">
        <v>922</v>
      </c>
      <c r="D16" s="1499" t="str">
        <f>结果表!H109</f>
        <v>——</v>
      </c>
      <c r="E16" s="1490"/>
    </row>
    <row r="17" spans="1:5" ht="15.75">
      <c r="A17" s="1490"/>
      <c r="B17" s="3485"/>
      <c r="C17" s="1493" t="s">
        <v>923</v>
      </c>
      <c r="D17" s="850" t="e">
        <f>NUMBERSTRING(INT(D16*10000),2)&amp;"元整"</f>
        <v>#VALUE!</v>
      </c>
      <c r="E17" s="1490"/>
    </row>
    <row r="18" spans="1:5" ht="15">
      <c r="A18" s="1490"/>
      <c r="B18" s="3486"/>
      <c r="C18" s="1494" t="s">
        <v>912</v>
      </c>
      <c r="D18" s="859" t="str">
        <f>结果表!H110</f>
        <v>——</v>
      </c>
      <c r="E18" s="1490"/>
    </row>
    <row r="19" spans="1:5" ht="15.75">
      <c r="A19" s="1490"/>
      <c r="B19" s="3477" t="str">
        <f>结果表!E111</f>
        <v>——</v>
      </c>
      <c r="C19" s="1498" t="s">
        <v>910</v>
      </c>
      <c r="D19" s="851" t="str">
        <f>结果表!H111</f>
        <v>——</v>
      </c>
      <c r="E19" s="1490"/>
    </row>
    <row r="20" spans="1:5" ht="15.75">
      <c r="A20" s="1490"/>
      <c r="B20" s="3478"/>
      <c r="C20" s="1493" t="s">
        <v>923</v>
      </c>
      <c r="D20" s="850" t="e">
        <f>NUMBERSTRING(INT(D19*10000),2)&amp;"元整"</f>
        <v>#VALUE!</v>
      </c>
      <c r="E20" s="1490"/>
    </row>
    <row r="21" spans="1:5" ht="15.75" thickBot="1">
      <c r="A21" s="1490"/>
      <c r="B21" s="347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7" t="s">
        <v>2842</v>
      </c>
      <c r="B1" s="3797"/>
      <c r="C1" s="3797"/>
      <c r="D1" s="3797"/>
      <c r="E1" s="3797"/>
      <c r="F1" s="3797"/>
      <c r="G1" s="3798"/>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5"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6"/>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9" t="s">
        <v>3184</v>
      </c>
      <c r="B1" s="3799"/>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0" t="s">
        <v>3235</v>
      </c>
      <c r="B1" s="3800"/>
      <c r="C1" s="3800"/>
      <c r="D1" s="3800"/>
      <c r="E1" s="3800"/>
      <c r="F1" s="3801"/>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20">
        <f>基准地价修正!G23</f>
        <v>45483</v>
      </c>
      <c r="B1" s="3209" t="s">
        <v>3374</v>
      </c>
      <c r="C1" s="3210"/>
      <c r="D1" s="3210"/>
      <c r="E1" s="3210"/>
      <c r="F1" s="3210"/>
      <c r="G1" s="3210"/>
      <c r="H1" s="3210"/>
      <c r="I1" s="3210"/>
      <c r="J1" s="3164"/>
      <c r="K1" s="3210" t="s">
        <v>454</v>
      </c>
      <c r="L1" s="3210"/>
      <c r="M1" s="3210"/>
      <c r="N1" s="3210"/>
      <c r="O1" s="3210"/>
      <c r="P1" s="3210"/>
      <c r="Q1" s="3164"/>
      <c r="R1" s="3802" t="s">
        <v>456</v>
      </c>
      <c r="S1" s="3803"/>
      <c r="T1" s="3803"/>
      <c r="U1" s="3803"/>
      <c r="V1" s="3803"/>
      <c r="W1" s="3803"/>
      <c r="X1" s="3164"/>
      <c r="Y1" s="3802" t="s">
        <v>457</v>
      </c>
      <c r="Z1" s="3803"/>
      <c r="AA1" s="3803"/>
      <c r="AB1" s="3803"/>
      <c r="AC1" s="3803"/>
      <c r="AD1" s="380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0.68</v>
      </c>
      <c r="E3" s="3150">
        <f t="shared" ref="E3:H3" si="0">ROUND(AVERAGEIF(E4:E18,"&lt;&gt;0"),2)</f>
        <v>0.4</v>
      </c>
      <c r="F3" s="3150">
        <f t="shared" si="0"/>
        <v>0.17</v>
      </c>
      <c r="G3" s="3150">
        <f t="shared" si="0"/>
        <v>0.74</v>
      </c>
      <c r="H3" s="3150">
        <f t="shared" si="0"/>
        <v>0.62</v>
      </c>
      <c r="I3" s="3150">
        <f>F3</f>
        <v>0.17</v>
      </c>
      <c r="J3" s="3151"/>
      <c r="K3" s="3152">
        <f>ROUND(AVERAGEIF(K4:K18,"&lt;&gt;0"),4)</f>
        <v>6.7999999999999996E-3</v>
      </c>
      <c r="L3" s="3153">
        <f t="shared" ref="L3:O3" si="1">ROUND(AVERAGEIF(L4:L18,"&lt;&gt;0"),4)</f>
        <v>4.0000000000000001E-3</v>
      </c>
      <c r="M3" s="3153">
        <f t="shared" si="1"/>
        <v>1.6999999999999999E-3</v>
      </c>
      <c r="N3" s="3153">
        <f t="shared" si="1"/>
        <v>7.4000000000000003E-3</v>
      </c>
      <c r="O3" s="3153">
        <f t="shared" si="1"/>
        <v>6.1999999999999998E-3</v>
      </c>
      <c r="P3" s="3153">
        <f>M3</f>
        <v>1.6999999999999999E-3</v>
      </c>
      <c r="Q3" s="3151"/>
      <c r="R3" s="3154">
        <f>ROUND(SUMPRODUCT(PRODUCT(1+K4:K18)),4)</f>
        <v>1.0916999999999999</v>
      </c>
      <c r="S3" s="3155">
        <f t="shared" ref="S3:V3" si="2">ROUND(SUMPRODUCT(PRODUCT(1+L4:L18)),4)</f>
        <v>1.0537000000000001</v>
      </c>
      <c r="T3" s="3155">
        <f t="shared" si="2"/>
        <v>1.0224</v>
      </c>
      <c r="U3" s="3155">
        <f t="shared" si="2"/>
        <v>1.1008</v>
      </c>
      <c r="V3" s="3155">
        <f t="shared" si="2"/>
        <v>1.0843</v>
      </c>
      <c r="W3" s="3154">
        <f>T3</f>
        <v>1.0224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1.0811999999999999</v>
      </c>
      <c r="S5" s="3182">
        <f>ROUND(IF(项目基本情况!$B$8="出让",SUMPRODUCT(PRODUCT(1+L5:$L$18)),SUMPRODUCT(PRODUCT(1+L5:$L$17))),4)</f>
        <v>1.052</v>
      </c>
      <c r="T5" s="3182">
        <f>ROUND(IF(项目基本情况!$B$8="出让",SUMPRODUCT(PRODUCT(1+M5:$M$18)),SUMPRODUCT(PRODUCT(1+M5:$M$17))),4)</f>
        <v>1.0249999999999999</v>
      </c>
      <c r="U5" s="3182">
        <f>ROUND(IF(项目基本情况!$B$8="出让",SUMPRODUCT(PRODUCT(1+N5:$N$18)),SUMPRODUCT(PRODUCT(1+N5:$N$17))),4)</f>
        <v>1.0888</v>
      </c>
      <c r="V5" s="3182">
        <f>ROUND(IF(项目基本情况!$B$8="出让",SUMPRODUCT(PRODUCT(1+O5:$O$18)),SUMPRODUCT(PRODUCT(1+O5:$O$17))),4)</f>
        <v>1.0804</v>
      </c>
      <c r="W5" s="3182">
        <f>T5</f>
        <v>1.0249999999999999</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94" customFormat="1" ht="12.75">
      <c r="A6" s="3185" t="s">
        <v>3380</v>
      </c>
      <c r="B6" s="3186">
        <v>2024</v>
      </c>
      <c r="C6" s="3187">
        <v>1</v>
      </c>
      <c r="D6" s="3188">
        <v>0.08</v>
      </c>
      <c r="E6" s="3188">
        <v>0.46</v>
      </c>
      <c r="F6" s="3188">
        <v>-0.16</v>
      </c>
      <c r="G6" s="3188">
        <v>0.26</v>
      </c>
      <c r="H6" s="3189">
        <v>0.59</v>
      </c>
      <c r="I6" s="3190">
        <v>0</v>
      </c>
      <c r="J6" s="3191"/>
      <c r="K6" s="3192">
        <f t="shared" ref="K6" si="8">D6/100</f>
        <v>8.0000000000000004E-4</v>
      </c>
      <c r="L6" s="3193">
        <f t="shared" ref="L6" si="9">E6/100</f>
        <v>4.5999999999999999E-3</v>
      </c>
      <c r="M6" s="3193">
        <f t="shared" ref="M6" si="10">F6/100</f>
        <v>-1.6000000000000001E-3</v>
      </c>
      <c r="N6" s="3193">
        <f t="shared" ref="N6" si="11">G6/100</f>
        <v>2.5999999999999999E-3</v>
      </c>
      <c r="O6" s="3193">
        <f t="shared" ref="O6" si="12">H6/100</f>
        <v>5.8999999999999999E-3</v>
      </c>
      <c r="P6" s="3193">
        <f t="shared" ref="P6" si="13">M6</f>
        <v>-1.6000000000000001E-3</v>
      </c>
      <c r="Q6" s="3191"/>
      <c r="R6" s="3191">
        <f>ROUND(IF(项目基本情况!$B$8="出让",SUMPRODUCT(PRODUCT(1+K6:$K$18)),SUMPRODUCT(PRODUCT(1+K6:$K$17))),4)</f>
        <v>1.0811999999999999</v>
      </c>
      <c r="S6" s="3191">
        <f>ROUND(IF(项目基本情况!$B$8="出让",SUMPRODUCT(PRODUCT(1+L6:$L$18)),SUMPRODUCT(PRODUCT(1+L6:$L$17))),4)</f>
        <v>1.052</v>
      </c>
      <c r="T6" s="3191">
        <f>ROUND(IF(项目基本情况!$B$8="出让",SUMPRODUCT(PRODUCT(1+M6:$M$18)),SUMPRODUCT(PRODUCT(1+M6:$M$17))),4)</f>
        <v>1.0249999999999999</v>
      </c>
      <c r="U6" s="3191">
        <f>ROUND(IF(项目基本情况!$B$8="出让",SUMPRODUCT(PRODUCT(1+N6:$N$18)),SUMPRODUCT(PRODUCT(1+N6:$N$17))),4)</f>
        <v>1.0888</v>
      </c>
      <c r="V6" s="3191">
        <f>ROUND(IF(项目基本情况!$B$8="出让",SUMPRODUCT(PRODUCT(1+O6:$O$18)),SUMPRODUCT(PRODUCT(1+O6:$O$17))),4)</f>
        <v>1.0804</v>
      </c>
      <c r="W6" s="3191">
        <f t="shared" ref="W6" si="14">T6</f>
        <v>1.0249999999999999</v>
      </c>
      <c r="X6" s="3191"/>
      <c r="Y6" s="3193"/>
      <c r="Z6" s="3193"/>
      <c r="AA6" s="3193"/>
      <c r="AB6" s="3193"/>
      <c r="AC6" s="3193"/>
      <c r="AD6" s="3193"/>
    </row>
    <row r="7" spans="1:30" s="3184" customFormat="1" ht="12.75">
      <c r="A7" s="3175" t="s">
        <v>3381</v>
      </c>
      <c r="B7" s="3176">
        <v>2023</v>
      </c>
      <c r="C7" s="3177">
        <v>4</v>
      </c>
      <c r="D7" s="3178">
        <v>0.19</v>
      </c>
      <c r="E7" s="3178">
        <v>0.24</v>
      </c>
      <c r="F7" s="3178">
        <v>-0.16</v>
      </c>
      <c r="G7" s="3178">
        <v>0.17</v>
      </c>
      <c r="H7" s="3195">
        <v>0.61</v>
      </c>
      <c r="I7" s="3179">
        <f>F7</f>
        <v>-0.16</v>
      </c>
      <c r="J7" s="3180"/>
      <c r="K7" s="3181">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80"/>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0"/>
      <c r="Y7" s="3183"/>
      <c r="Z7" s="3183"/>
      <c r="AA7" s="3183"/>
      <c r="AB7" s="3183"/>
      <c r="AC7" s="3183"/>
      <c r="AD7" s="318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2" t="s">
        <v>2830</v>
      </c>
      <c r="S23" s="3803"/>
      <c r="T23" s="3803"/>
      <c r="U23" s="3803"/>
      <c r="V23" s="3803"/>
      <c r="W23" s="3803"/>
      <c r="X23" s="3164"/>
      <c r="Y23" s="3802" t="s">
        <v>2831</v>
      </c>
      <c r="Z23" s="3803"/>
      <c r="AA23" s="3803"/>
      <c r="AB23" s="3803"/>
      <c r="AC23" s="3803"/>
      <c r="AD23" s="3803"/>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0.38</v>
      </c>
      <c r="F25" s="3150">
        <f t="shared" si="32"/>
        <v>0.28999999999999998</v>
      </c>
      <c r="G25" s="3150">
        <f t="shared" si="32"/>
        <v>0.56999999999999995</v>
      </c>
      <c r="H25" s="3150"/>
      <c r="I25" s="3150">
        <f>F25</f>
        <v>0.28999999999999998</v>
      </c>
      <c r="J25" s="3151"/>
      <c r="K25" s="3152"/>
      <c r="L25" s="3153">
        <f t="shared" ref="L25:N25" si="33">ROUND(AVERAGEIF(L26:L40,"&lt;&gt;0"),4)</f>
        <v>3.8E-3</v>
      </c>
      <c r="M25" s="3153">
        <f t="shared" si="33"/>
        <v>2.8999999999999998E-3</v>
      </c>
      <c r="N25" s="3153">
        <f t="shared" si="33"/>
        <v>5.7000000000000002E-3</v>
      </c>
      <c r="O25" s="3153"/>
      <c r="P25" s="3153">
        <f>M25</f>
        <v>2.8999999999999998E-3</v>
      </c>
      <c r="Q25" s="3151"/>
      <c r="R25" s="3154"/>
      <c r="S25" s="3155">
        <f>ROUND(SUMPRODUCT(PRODUCT(1+L26:L40)),4)</f>
        <v>1.0502</v>
      </c>
      <c r="T25" s="3155">
        <f t="shared" ref="T25:U25" si="34">ROUND(SUMPRODUCT(PRODUCT(1+M26:M40)),4)</f>
        <v>1.0387999999999999</v>
      </c>
      <c r="U25" s="3155">
        <f t="shared" si="34"/>
        <v>1.0763</v>
      </c>
      <c r="V25" s="3155"/>
      <c r="W25" s="3154">
        <f>T25</f>
        <v>1.0387999999999999</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1.0465</v>
      </c>
      <c r="T27" s="3182">
        <f>ROUND(IF(项目基本情况!$B$8="出让",SUMPRODUCT(PRODUCT(1+M27:M$40)),SUMPRODUCT(PRODUCT(1+M27:M$39))),4)</f>
        <v>1.0338000000000001</v>
      </c>
      <c r="U27" s="3182">
        <f>ROUND(IF(项目基本情况!$B$8="出让",SUMPRODUCT(PRODUCT(1+N27:N$40)),SUMPRODUCT(PRODUCT(1+N27:N$39))),4)</f>
        <v>1.0659000000000001</v>
      </c>
      <c r="V27" s="3182"/>
      <c r="W27" s="3182">
        <f>T27</f>
        <v>1.0338000000000001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94" customFormat="1" ht="12.75">
      <c r="A28" s="3185" t="s">
        <v>3380</v>
      </c>
      <c r="B28" s="3186">
        <v>2024</v>
      </c>
      <c r="C28" s="3187">
        <v>1</v>
      </c>
      <c r="D28" s="3188"/>
      <c r="E28" s="3188">
        <v>0.25</v>
      </c>
      <c r="F28" s="3188">
        <v>0.4</v>
      </c>
      <c r="G28" s="3188">
        <v>-0.63</v>
      </c>
      <c r="H28" s="3189"/>
      <c r="I28" s="3190">
        <f t="shared" ref="I28:I29" si="38">F28</f>
        <v>0.4</v>
      </c>
      <c r="J28" s="3191"/>
      <c r="K28" s="3192"/>
      <c r="L28" s="3193">
        <f t="shared" ref="L28" si="39">E28/100</f>
        <v>2.5000000000000001E-3</v>
      </c>
      <c r="M28" s="3193">
        <f t="shared" ref="M28" si="40">F28/100</f>
        <v>4.0000000000000001E-3</v>
      </c>
      <c r="N28" s="3193">
        <f t="shared" ref="N28" si="41">G28/100</f>
        <v>-6.3E-3</v>
      </c>
      <c r="O28" s="3193"/>
      <c r="P28" s="3193">
        <f t="shared" ref="P28" si="42">M28</f>
        <v>4.0000000000000001E-3</v>
      </c>
      <c r="Q28" s="3191"/>
      <c r="R28" s="3191"/>
      <c r="S28" s="3191">
        <f>ROUND(IF(项目基本情况!$B$8="出让",SUMPRODUCT(PRODUCT(1+L28:L$40)),SUMPRODUCT(PRODUCT(1+L28:L$39))),4)</f>
        <v>1.0465</v>
      </c>
      <c r="T28" s="3191">
        <f>ROUND(IF(项目基本情况!$B$8="出让",SUMPRODUCT(PRODUCT(1+M28:M$40)),SUMPRODUCT(PRODUCT(1+M28:M$39))),4)</f>
        <v>1.0338000000000001</v>
      </c>
      <c r="U28" s="3191">
        <f>ROUND(IF(项目基本情况!$B$8="出让",SUMPRODUCT(PRODUCT(1+N28:N$40)),SUMPRODUCT(PRODUCT(1+N28:N$39))),4)</f>
        <v>1.0659000000000001</v>
      </c>
      <c r="V28" s="3191"/>
      <c r="W28" s="3191">
        <f t="shared" ref="W28" si="43">T28</f>
        <v>1.0338000000000001</v>
      </c>
      <c r="X28" s="3191"/>
      <c r="Y28" s="3193"/>
      <c r="Z28" s="3214"/>
      <c r="AA28" s="3215"/>
      <c r="AB28" s="3193"/>
      <c r="AC28" s="3216"/>
      <c r="AD28" s="3193"/>
    </row>
    <row r="29" spans="1:30" s="3184" customFormat="1" ht="12.75">
      <c r="A29" s="3175" t="s">
        <v>3382</v>
      </c>
      <c r="B29" s="3176">
        <v>2023</v>
      </c>
      <c r="C29" s="3177">
        <v>4</v>
      </c>
      <c r="D29" s="3178"/>
      <c r="E29" s="3178">
        <v>7.0000000000000007E-2</v>
      </c>
      <c r="F29" s="3178">
        <v>0.09</v>
      </c>
      <c r="G29" s="3178">
        <v>0.03</v>
      </c>
      <c r="H29" s="3195"/>
      <c r="I29" s="3179">
        <f t="shared" si="38"/>
        <v>0.09</v>
      </c>
      <c r="J29" s="3180"/>
      <c r="K29" s="3181"/>
      <c r="L29" s="3171">
        <f t="shared" si="37"/>
        <v>7.000000000000001E-4</v>
      </c>
      <c r="M29" s="3171">
        <f t="shared" si="37"/>
        <v>8.9999999999999998E-4</v>
      </c>
      <c r="N29" s="3171">
        <f t="shared" si="37"/>
        <v>2.9999999999999997E-4</v>
      </c>
      <c r="O29" s="3171"/>
      <c r="P29" s="3171">
        <f t="shared" ref="P29" si="44">M29</f>
        <v>8.9999999999999998E-4</v>
      </c>
      <c r="Q29" s="3180"/>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0"/>
      <c r="Y29" s="3183"/>
      <c r="Z29" s="3211"/>
      <c r="AA29" s="3213"/>
      <c r="AB29" s="3183"/>
      <c r="AC29" s="3212"/>
      <c r="AD29" s="318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45483</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3"/>
  <sheetViews>
    <sheetView workbookViewId="0">
      <selection activeCell="T8" sqref="T8"/>
    </sheetView>
  </sheetViews>
  <sheetFormatPr defaultRowHeight="13.5"/>
  <cols>
    <col min="1" max="2" width="20" style="3448" customWidth="1"/>
    <col min="3" max="3" width="10.75" style="3448" customWidth="1"/>
    <col min="4" max="4" width="14.375" style="3448" customWidth="1"/>
    <col min="5" max="5" width="13.5" style="3448" customWidth="1"/>
    <col min="6" max="6" width="20" style="3448" hidden="1" customWidth="1"/>
    <col min="7" max="7" width="10.125" style="3448" customWidth="1"/>
    <col min="8" max="8" width="20" style="3448" hidden="1" customWidth="1"/>
    <col min="9" max="9" width="11.5" style="3448" customWidth="1"/>
    <col min="10" max="10" width="13.125" style="3448" customWidth="1"/>
    <col min="11" max="11" width="20" style="3448" hidden="1" customWidth="1"/>
    <col min="12" max="12" width="20" style="3448" customWidth="1"/>
    <col min="13" max="13" width="20" style="3448" hidden="1" customWidth="1"/>
    <col min="14" max="14" width="12.875" style="3448" customWidth="1"/>
    <col min="15" max="15" width="13.5" style="3448" customWidth="1"/>
    <col min="16" max="16" width="7.75" style="3448" customWidth="1"/>
    <col min="17" max="17" width="20" style="3448" customWidth="1"/>
    <col min="18" max="16384" width="9" style="3448"/>
  </cols>
  <sheetData>
    <row r="1" spans="1:20">
      <c r="A1" s="3448" t="s">
        <v>3404</v>
      </c>
      <c r="B1" s="3448" t="s">
        <v>3405</v>
      </c>
      <c r="C1" s="3448" t="s">
        <v>3406</v>
      </c>
      <c r="D1" s="3448" t="s">
        <v>3407</v>
      </c>
      <c r="E1" s="3448" t="s">
        <v>3408</v>
      </c>
      <c r="F1" s="3448" t="s">
        <v>3409</v>
      </c>
      <c r="G1" s="3448" t="s">
        <v>3410</v>
      </c>
      <c r="H1" s="3448" t="s">
        <v>3411</v>
      </c>
      <c r="I1" s="3448" t="s">
        <v>3412</v>
      </c>
      <c r="J1" s="3448" t="s">
        <v>3413</v>
      </c>
      <c r="K1" s="3448" t="s">
        <v>3414</v>
      </c>
      <c r="L1" s="3448" t="s">
        <v>3415</v>
      </c>
      <c r="M1" s="3448" t="s">
        <v>3416</v>
      </c>
      <c r="N1" s="3448" t="s">
        <v>3417</v>
      </c>
      <c r="O1" s="3448" t="s">
        <v>3418</v>
      </c>
      <c r="P1" s="3448" t="s">
        <v>3419</v>
      </c>
    </row>
    <row r="2" spans="1:20">
      <c r="A2" s="3448" t="s">
        <v>3420</v>
      </c>
      <c r="B2" s="3448" t="s">
        <v>3421</v>
      </c>
      <c r="C2" s="3448" t="s">
        <v>2482</v>
      </c>
      <c r="D2" s="3448">
        <v>20720.099999999999</v>
      </c>
      <c r="E2" s="3448">
        <v>31080.15</v>
      </c>
      <c r="F2" s="3448">
        <v>1.5</v>
      </c>
      <c r="G2" s="3448">
        <v>1.5</v>
      </c>
      <c r="H2" s="3448" t="s">
        <v>3422</v>
      </c>
      <c r="I2" s="3448" t="s">
        <v>3423</v>
      </c>
      <c r="J2" s="3449">
        <v>45404.333831018521</v>
      </c>
      <c r="K2" s="3448" t="s">
        <v>3424</v>
      </c>
      <c r="L2" s="3448" t="s">
        <v>3425</v>
      </c>
      <c r="M2" s="3448">
        <v>4477.83</v>
      </c>
      <c r="N2" s="3448">
        <v>4477.83</v>
      </c>
      <c r="O2" s="3448">
        <v>1441</v>
      </c>
      <c r="P2" s="3448" t="s">
        <v>3426</v>
      </c>
    </row>
    <row r="3" spans="1:20">
      <c r="A3" s="3448" t="s">
        <v>3427</v>
      </c>
      <c r="B3" s="3448" t="s">
        <v>3428</v>
      </c>
      <c r="C3" s="3448" t="s">
        <v>2482</v>
      </c>
      <c r="D3" s="3448">
        <v>94169.78</v>
      </c>
      <c r="E3" s="3448">
        <v>141254.67000000001</v>
      </c>
      <c r="F3" s="3448">
        <v>1.5</v>
      </c>
      <c r="G3" s="3448">
        <v>1.5</v>
      </c>
      <c r="H3" s="3448" t="s">
        <v>3422</v>
      </c>
      <c r="I3" s="3448" t="s">
        <v>3429</v>
      </c>
      <c r="J3" s="3449">
        <v>45098.333831018521</v>
      </c>
      <c r="K3" s="3448" t="s">
        <v>3424</v>
      </c>
      <c r="L3" s="3448" t="s">
        <v>3430</v>
      </c>
      <c r="M3" s="3448">
        <v>15396.76</v>
      </c>
      <c r="N3" s="3448">
        <v>15396.76</v>
      </c>
      <c r="O3" s="3448">
        <v>1090</v>
      </c>
      <c r="P3" s="3448" t="s">
        <v>3426</v>
      </c>
    </row>
    <row r="4" spans="1:20">
      <c r="A4" s="3448" t="s">
        <v>3431</v>
      </c>
      <c r="B4" s="3448" t="s">
        <v>3432</v>
      </c>
      <c r="C4" s="3448" t="s">
        <v>2482</v>
      </c>
      <c r="D4" s="3448">
        <v>84245.85</v>
      </c>
      <c r="E4" s="3448">
        <v>84245.85</v>
      </c>
      <c r="F4" s="3448" t="s">
        <v>3433</v>
      </c>
      <c r="G4" s="3448">
        <v>1</v>
      </c>
      <c r="H4" s="3448" t="s">
        <v>3422</v>
      </c>
      <c r="I4" s="3448" t="s">
        <v>3434</v>
      </c>
      <c r="J4" s="3449">
        <v>44931.333831018521</v>
      </c>
      <c r="K4" s="3448" t="s">
        <v>3424</v>
      </c>
      <c r="L4" s="3448" t="s">
        <v>3435</v>
      </c>
      <c r="M4" s="3448">
        <v>23049.66</v>
      </c>
      <c r="N4" s="3448">
        <v>23049.66</v>
      </c>
      <c r="O4" s="3448">
        <v>2736</v>
      </c>
      <c r="P4" s="3448" t="s">
        <v>3436</v>
      </c>
      <c r="R4" s="3471" t="s">
        <v>3483</v>
      </c>
      <c r="S4" s="3471" t="s">
        <v>3484</v>
      </c>
    </row>
    <row r="5" spans="1:20" s="3450" customFormat="1">
      <c r="A5" s="3450" t="s">
        <v>3437</v>
      </c>
      <c r="B5" s="3450" t="s">
        <v>3438</v>
      </c>
      <c r="C5" s="3450" t="s">
        <v>2482</v>
      </c>
      <c r="D5" s="3450">
        <v>40217.370000000003</v>
      </c>
      <c r="E5" s="3450">
        <v>60326.05</v>
      </c>
      <c r="F5" s="3450" t="s">
        <v>3439</v>
      </c>
      <c r="G5" s="3450">
        <v>1.5</v>
      </c>
      <c r="H5" s="3450" t="s">
        <v>3422</v>
      </c>
      <c r="I5" s="3450" t="s">
        <v>3423</v>
      </c>
      <c r="J5" s="3451">
        <v>44832.333831018521</v>
      </c>
      <c r="K5" s="3450" t="s">
        <v>3424</v>
      </c>
      <c r="L5" s="3450" t="s">
        <v>3440</v>
      </c>
      <c r="M5" s="3450">
        <v>4964.83</v>
      </c>
      <c r="N5" s="3450">
        <v>4964.83</v>
      </c>
      <c r="O5" s="3450">
        <v>823</v>
      </c>
      <c r="P5" s="3450" t="s">
        <v>3426</v>
      </c>
      <c r="Q5" s="3450">
        <f>ROUND(N5/D5*10000,0)</f>
        <v>1234</v>
      </c>
      <c r="R5" s="3450">
        <f>ROUND(Q5/J22,0)</f>
        <v>1875</v>
      </c>
      <c r="S5" s="3450">
        <f>ROUND(O5/J22,0)</f>
        <v>1251</v>
      </c>
      <c r="T5" s="3828" t="s">
        <v>3504</v>
      </c>
    </row>
    <row r="6" spans="1:20" s="3450" customFormat="1">
      <c r="A6" s="3450" t="s">
        <v>3441</v>
      </c>
      <c r="B6" s="3450" t="s">
        <v>3438</v>
      </c>
      <c r="C6" s="3450" t="s">
        <v>2482</v>
      </c>
      <c r="D6" s="3450">
        <v>65024.44</v>
      </c>
      <c r="E6" s="3450">
        <v>97536.66</v>
      </c>
      <c r="F6" s="3450" t="s">
        <v>3439</v>
      </c>
      <c r="G6" s="3450">
        <v>1.5</v>
      </c>
      <c r="H6" s="3450" t="s">
        <v>3422</v>
      </c>
      <c r="I6" s="3450" t="s">
        <v>3423</v>
      </c>
      <c r="J6" s="3451">
        <v>44761.333831018521</v>
      </c>
      <c r="K6" s="3450" t="s">
        <v>3424</v>
      </c>
      <c r="L6" s="3450" t="s">
        <v>3442</v>
      </c>
      <c r="M6" s="3450">
        <v>8017.51</v>
      </c>
      <c r="N6" s="3450">
        <v>8017.51</v>
      </c>
      <c r="O6" s="3450">
        <v>822</v>
      </c>
      <c r="P6" s="3450">
        <v>20</v>
      </c>
      <c r="Q6" s="3450">
        <f t="shared" ref="Q6:Q8" si="0">ROUND(N6/D6*10000,0)</f>
        <v>1233</v>
      </c>
      <c r="R6" s="3450">
        <f>ROUND(Q6/J22,0)</f>
        <v>1874</v>
      </c>
      <c r="S6" s="3450">
        <f>ROUND(O6/J22,0)</f>
        <v>1249</v>
      </c>
      <c r="T6" s="3828" t="s">
        <v>3505</v>
      </c>
    </row>
    <row r="7" spans="1:20" s="3450" customFormat="1">
      <c r="A7" s="3450" t="s">
        <v>3443</v>
      </c>
      <c r="B7" s="3450" t="s">
        <v>3438</v>
      </c>
      <c r="C7" s="3450" t="s">
        <v>2482</v>
      </c>
      <c r="D7" s="3450">
        <v>26650.41</v>
      </c>
      <c r="E7" s="3450">
        <v>39975.61</v>
      </c>
      <c r="F7" s="3450" t="s">
        <v>3439</v>
      </c>
      <c r="G7" s="3450">
        <v>1.5</v>
      </c>
      <c r="H7" s="3450" t="s">
        <v>3422</v>
      </c>
      <c r="I7" s="3450" t="s">
        <v>3423</v>
      </c>
      <c r="J7" s="3451">
        <v>44760.333831018521</v>
      </c>
      <c r="K7" s="3450" t="s">
        <v>3424</v>
      </c>
      <c r="L7" s="3450" t="s">
        <v>3444</v>
      </c>
      <c r="M7" s="3450">
        <v>3258.01</v>
      </c>
      <c r="N7" s="3450">
        <v>3258.01</v>
      </c>
      <c r="O7" s="3450">
        <v>815</v>
      </c>
      <c r="P7" s="3450">
        <v>20</v>
      </c>
      <c r="Q7" s="3450">
        <f t="shared" si="0"/>
        <v>1222</v>
      </c>
      <c r="R7" s="3450">
        <f>ROUND(Q7/J22,0)</f>
        <v>1857</v>
      </c>
      <c r="S7" s="3450">
        <f>ROUND(O7/J22,0)</f>
        <v>1239</v>
      </c>
    </row>
    <row r="8" spans="1:20" s="3450" customFormat="1">
      <c r="A8" s="3450" t="s">
        <v>3445</v>
      </c>
      <c r="B8" s="3450" t="s">
        <v>3446</v>
      </c>
      <c r="C8" s="3450" t="s">
        <v>2482</v>
      </c>
      <c r="D8" s="3450">
        <v>77481.740000000005</v>
      </c>
      <c r="E8" s="3450">
        <v>100726.26</v>
      </c>
      <c r="F8" s="3450" t="s">
        <v>3447</v>
      </c>
      <c r="G8" s="3450">
        <v>1.3</v>
      </c>
      <c r="H8" s="3450" t="s">
        <v>3422</v>
      </c>
      <c r="I8" s="3450" t="s">
        <v>3423</v>
      </c>
      <c r="J8" s="3451">
        <v>44760.333831018521</v>
      </c>
      <c r="K8" s="3450" t="s">
        <v>3424</v>
      </c>
      <c r="L8" s="3450" t="s">
        <v>3448</v>
      </c>
      <c r="M8" s="3450">
        <v>8098.39</v>
      </c>
      <c r="N8" s="3450">
        <v>8098.39</v>
      </c>
      <c r="O8" s="3450">
        <v>804</v>
      </c>
      <c r="P8" s="3450" t="s">
        <v>3426</v>
      </c>
      <c r="Q8" s="3450">
        <f t="shared" si="0"/>
        <v>1045</v>
      </c>
      <c r="R8" s="3450">
        <f>ROUND(Q8/J22,0)</f>
        <v>1588</v>
      </c>
      <c r="S8" s="3450">
        <f>ROUND(O8/J22,0)</f>
        <v>1222</v>
      </c>
      <c r="T8" s="3828" t="s">
        <v>3506</v>
      </c>
    </row>
    <row r="9" spans="1:20">
      <c r="A9" s="3448" t="s">
        <v>3449</v>
      </c>
      <c r="B9" s="3448" t="s">
        <v>3450</v>
      </c>
      <c r="C9" s="3448" t="s">
        <v>2482</v>
      </c>
      <c r="D9" s="3448">
        <v>48135.07</v>
      </c>
      <c r="E9" s="3448">
        <v>48135.07</v>
      </c>
      <c r="F9" s="3448" t="s">
        <v>3433</v>
      </c>
      <c r="G9" s="3448">
        <v>1</v>
      </c>
      <c r="H9" s="3448" t="s">
        <v>3422</v>
      </c>
      <c r="I9" s="3448" t="s">
        <v>3451</v>
      </c>
      <c r="J9" s="3449">
        <v>44714.333831018521</v>
      </c>
      <c r="K9" s="3448" t="s">
        <v>3424</v>
      </c>
      <c r="L9" s="3448" t="s">
        <v>3452</v>
      </c>
      <c r="M9" s="3448">
        <v>12487.17</v>
      </c>
      <c r="N9" s="3448">
        <v>12487.17</v>
      </c>
      <c r="O9" s="3448">
        <v>2594</v>
      </c>
      <c r="P9" s="3448" t="s">
        <v>3453</v>
      </c>
    </row>
    <row r="10" spans="1:20">
      <c r="A10" s="3448" t="s">
        <v>3454</v>
      </c>
      <c r="B10" s="3448" t="s">
        <v>3455</v>
      </c>
      <c r="C10" s="3448" t="s">
        <v>2482</v>
      </c>
      <c r="D10" s="3448">
        <v>13991.5</v>
      </c>
      <c r="E10" s="3448">
        <v>22386</v>
      </c>
      <c r="F10" s="3448" t="s">
        <v>3456</v>
      </c>
      <c r="G10" s="3448">
        <v>1.6</v>
      </c>
      <c r="H10" s="3448" t="s">
        <v>3422</v>
      </c>
      <c r="I10" s="3448" t="s">
        <v>3423</v>
      </c>
      <c r="J10" s="3449">
        <v>44446.333831018521</v>
      </c>
      <c r="K10" s="3448" t="s">
        <v>3424</v>
      </c>
      <c r="L10" s="3448" t="s">
        <v>3457</v>
      </c>
      <c r="M10" s="3448">
        <v>1811.03</v>
      </c>
      <c r="N10" s="3448">
        <v>1811.03</v>
      </c>
      <c r="O10" s="3448">
        <v>809</v>
      </c>
      <c r="P10" s="3448" t="s">
        <v>3426</v>
      </c>
    </row>
    <row r="11" spans="1:20">
      <c r="A11" s="3448" t="s">
        <v>3458</v>
      </c>
      <c r="B11" s="3448" t="s">
        <v>3459</v>
      </c>
      <c r="C11" s="3448" t="s">
        <v>2482</v>
      </c>
      <c r="D11" s="3448">
        <v>16627.21</v>
      </c>
      <c r="E11" s="3448">
        <v>29928.97</v>
      </c>
      <c r="F11" s="3448" t="s">
        <v>3460</v>
      </c>
      <c r="G11" s="3448">
        <v>1.8</v>
      </c>
      <c r="H11" s="3448" t="s">
        <v>3422</v>
      </c>
      <c r="I11" s="3448" t="s">
        <v>3423</v>
      </c>
      <c r="J11" s="3449">
        <v>44446.333831018521</v>
      </c>
      <c r="K11" s="3448" t="s">
        <v>3424</v>
      </c>
      <c r="L11" s="3448" t="s">
        <v>3461</v>
      </c>
      <c r="M11" s="3448">
        <v>5111.87</v>
      </c>
      <c r="N11" s="3448">
        <v>5111.87</v>
      </c>
      <c r="O11" s="3448">
        <v>1708</v>
      </c>
      <c r="P11" s="3448" t="s">
        <v>3426</v>
      </c>
    </row>
    <row r="12" spans="1:20">
      <c r="A12" s="3448" t="s">
        <v>3462</v>
      </c>
      <c r="B12" s="3448" t="s">
        <v>3463</v>
      </c>
      <c r="C12" s="3448" t="s">
        <v>2482</v>
      </c>
      <c r="D12" s="3448">
        <v>100000</v>
      </c>
      <c r="E12" s="3448">
        <v>200000</v>
      </c>
      <c r="F12" s="3448" t="s">
        <v>3464</v>
      </c>
      <c r="G12" s="3448">
        <v>2</v>
      </c>
      <c r="H12" s="3448" t="s">
        <v>3422</v>
      </c>
      <c r="I12" s="3448" t="s">
        <v>3465</v>
      </c>
      <c r="J12" s="3449">
        <v>44307.333831018521</v>
      </c>
      <c r="K12" s="3448" t="s">
        <v>3424</v>
      </c>
      <c r="L12" s="3448" t="s">
        <v>3466</v>
      </c>
      <c r="M12" s="3448">
        <v>13020</v>
      </c>
      <c r="N12" s="3448">
        <v>13020</v>
      </c>
      <c r="O12" s="3448">
        <v>651</v>
      </c>
      <c r="P12" s="3448" t="s">
        <v>3426</v>
      </c>
    </row>
    <row r="13" spans="1:20">
      <c r="A13" s="3448" t="s">
        <v>3467</v>
      </c>
      <c r="B13" s="3448" t="s">
        <v>3468</v>
      </c>
      <c r="C13" s="3448" t="s">
        <v>2482</v>
      </c>
      <c r="D13" s="3448">
        <v>19340</v>
      </c>
      <c r="E13" s="3448">
        <v>34812</v>
      </c>
      <c r="F13" s="3448" t="s">
        <v>3469</v>
      </c>
      <c r="G13" s="3448">
        <v>1.8</v>
      </c>
      <c r="H13" s="3448" t="s">
        <v>3422</v>
      </c>
      <c r="I13" s="3448" t="s">
        <v>3470</v>
      </c>
      <c r="J13" s="3449">
        <v>43873.333831018521</v>
      </c>
      <c r="K13" s="3448" t="s">
        <v>3424</v>
      </c>
      <c r="L13" s="3448" t="s">
        <v>3471</v>
      </c>
      <c r="M13" s="3448">
        <v>5764.87</v>
      </c>
      <c r="N13" s="3448">
        <v>5764.87</v>
      </c>
      <c r="O13" s="3448">
        <v>1656</v>
      </c>
      <c r="P13" s="3448" t="s">
        <v>3426</v>
      </c>
    </row>
    <row r="14" spans="1:20">
      <c r="A14" s="3448" t="s">
        <v>3472</v>
      </c>
      <c r="B14" s="3448" t="s">
        <v>3468</v>
      </c>
      <c r="C14" s="3448" t="s">
        <v>2482</v>
      </c>
      <c r="D14" s="3448">
        <v>16697.47</v>
      </c>
      <c r="E14" s="3448">
        <v>30055</v>
      </c>
      <c r="F14" s="3448">
        <v>1.8</v>
      </c>
      <c r="G14" s="3448">
        <v>1.8</v>
      </c>
      <c r="H14" s="3448" t="s">
        <v>3422</v>
      </c>
      <c r="I14" s="3448" t="s">
        <v>3473</v>
      </c>
      <c r="J14" s="3449">
        <v>43662.333831018521</v>
      </c>
      <c r="K14" s="3448" t="s">
        <v>3424</v>
      </c>
      <c r="L14" s="3448" t="s">
        <v>3474</v>
      </c>
      <c r="M14" s="3448">
        <v>4977.1099999999997</v>
      </c>
      <c r="N14" s="3448">
        <v>4977.1099999999997</v>
      </c>
      <c r="O14" s="3448">
        <v>1656</v>
      </c>
      <c r="P14" s="3448">
        <v>20</v>
      </c>
    </row>
    <row r="15" spans="1:20">
      <c r="A15" s="3448" t="s">
        <v>3475</v>
      </c>
      <c r="B15" s="3448" t="s">
        <v>3476</v>
      </c>
      <c r="C15" s="3448" t="s">
        <v>2482</v>
      </c>
      <c r="D15" s="3448">
        <v>46618.33</v>
      </c>
      <c r="E15" s="3448">
        <v>93237</v>
      </c>
      <c r="F15" s="3448">
        <v>2</v>
      </c>
      <c r="G15" s="3448">
        <v>0</v>
      </c>
      <c r="H15" s="3448" t="s">
        <v>3422</v>
      </c>
      <c r="I15" s="3448" t="s">
        <v>3473</v>
      </c>
      <c r="J15" s="3449">
        <v>43577.333831018521</v>
      </c>
      <c r="K15" s="3448" t="s">
        <v>3424</v>
      </c>
      <c r="L15" s="3448" t="s">
        <v>3477</v>
      </c>
      <c r="M15" s="3448">
        <v>16204.59</v>
      </c>
      <c r="N15" s="3448">
        <v>16204.59</v>
      </c>
      <c r="O15" s="3448">
        <v>1738</v>
      </c>
      <c r="P15" s="3448">
        <v>20</v>
      </c>
    </row>
    <row r="16" spans="1:20">
      <c r="A16" s="3448" t="s">
        <v>3478</v>
      </c>
      <c r="B16" s="3448" t="s">
        <v>3468</v>
      </c>
      <c r="C16" s="3448" t="s">
        <v>2482</v>
      </c>
      <c r="D16" s="3448">
        <v>8700</v>
      </c>
      <c r="E16" s="3448">
        <v>15660</v>
      </c>
      <c r="F16" s="3448">
        <v>1.8</v>
      </c>
      <c r="G16" s="3448">
        <v>1.8</v>
      </c>
      <c r="H16" s="3448" t="s">
        <v>3422</v>
      </c>
      <c r="I16" s="3448" t="s">
        <v>3473</v>
      </c>
      <c r="J16" s="3449">
        <v>43577.333831018521</v>
      </c>
      <c r="K16" s="3448" t="s">
        <v>3424</v>
      </c>
      <c r="L16" s="3448" t="s">
        <v>3479</v>
      </c>
      <c r="M16" s="3448">
        <v>2593.3000000000002</v>
      </c>
      <c r="N16" s="3448">
        <v>2593.3000000000002</v>
      </c>
      <c r="O16" s="3448">
        <v>1656</v>
      </c>
      <c r="P16" s="3448">
        <v>20</v>
      </c>
    </row>
    <row r="18" spans="2:10" ht="14.25" thickBot="1"/>
    <row r="19" spans="2:10" ht="14.25" thickBot="1">
      <c r="B19" s="3452" t="s">
        <v>2510</v>
      </c>
      <c r="C19" s="3453"/>
      <c r="D19" s="3454"/>
      <c r="E19" s="3454"/>
      <c r="F19" s="3454"/>
      <c r="G19" s="3454"/>
      <c r="H19" s="3454"/>
    </row>
    <row r="20" spans="2:10" ht="14.25" thickBot="1">
      <c r="B20" s="3815" t="s">
        <v>2511</v>
      </c>
      <c r="C20" s="3816"/>
      <c r="D20" s="3455"/>
      <c r="E20" s="3456" t="s">
        <v>2509</v>
      </c>
      <c r="F20" s="3455"/>
      <c r="G20" s="3457" t="s">
        <v>2508</v>
      </c>
      <c r="H20" s="3458"/>
    </row>
    <row r="21" spans="2:10" ht="14.25">
      <c r="B21" s="3459" t="s">
        <v>2512</v>
      </c>
      <c r="C21" s="3460">
        <v>50</v>
      </c>
      <c r="D21" s="3461" t="s">
        <v>3481</v>
      </c>
      <c r="E21" s="3462">
        <v>4.4999999999999998E-2</v>
      </c>
      <c r="F21" s="3461" t="s">
        <v>2514</v>
      </c>
      <c r="G21" s="3463">
        <f>1-(1/(POWER(1+E21,C21)))</f>
        <v>0.88929035003434787</v>
      </c>
      <c r="H21" s="3458"/>
    </row>
    <row r="22" spans="2:10" ht="15" thickBot="1">
      <c r="B22" s="3464" t="s">
        <v>2515</v>
      </c>
      <c r="C22" s="3465">
        <v>20</v>
      </c>
      <c r="D22" s="3466" t="s">
        <v>3482</v>
      </c>
      <c r="E22" s="3467">
        <f>E21</f>
        <v>4.4999999999999998E-2</v>
      </c>
      <c r="F22" s="3466" t="s">
        <v>2517</v>
      </c>
      <c r="G22" s="3468">
        <f>1-(1/(POWER(1+E22,C22)))</f>
        <v>0.58535714031541541</v>
      </c>
      <c r="H22" s="3458">
        <f>ROUND(G22/G21,3)</f>
        <v>0.65800000000000003</v>
      </c>
      <c r="J22" s="3458">
        <f>ROUND(G22/G21,3)</f>
        <v>0.65800000000000003</v>
      </c>
    </row>
    <row r="23" spans="2:10" ht="14.25">
      <c r="B23" s="3469"/>
      <c r="C23" s="3470"/>
      <c r="D23" s="3470"/>
      <c r="E23" s="3470"/>
      <c r="F23" s="3470"/>
      <c r="G23" s="3470"/>
      <c r="H23" s="3458"/>
    </row>
  </sheetData>
  <mergeCells count="1">
    <mergeCell ref="B20:C20"/>
  </mergeCells>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8" sqref="R3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
  <sheetViews>
    <sheetView workbookViewId="0">
      <selection activeCell="G4" sqref="G4"/>
    </sheetView>
  </sheetViews>
  <sheetFormatPr defaultRowHeight="13.5"/>
  <cols>
    <col min="2" max="2" width="13.75" customWidth="1"/>
    <col min="6" max="6" width="9.875" customWidth="1"/>
  </cols>
  <sheetData>
    <row r="2" spans="2:10" ht="20.100000000000001" customHeight="1">
      <c r="B2" s="3817" t="s">
        <v>3490</v>
      </c>
      <c r="C2" s="3817" t="s">
        <v>3491</v>
      </c>
      <c r="D2" s="3819" t="s">
        <v>1446</v>
      </c>
      <c r="E2" s="3823"/>
      <c r="F2" s="3824"/>
      <c r="G2" s="3819" t="s">
        <v>1447</v>
      </c>
      <c r="H2" s="3820"/>
      <c r="I2" s="3821" t="s">
        <v>1448</v>
      </c>
      <c r="J2" s="3822"/>
    </row>
    <row r="3" spans="2:10" ht="20.100000000000001" customHeight="1">
      <c r="B3" s="3818"/>
      <c r="C3" s="3818"/>
      <c r="D3" s="3474" t="s">
        <v>1449</v>
      </c>
      <c r="E3" s="3474" t="s">
        <v>1450</v>
      </c>
      <c r="F3" s="3475" t="s">
        <v>3492</v>
      </c>
      <c r="G3" s="3474" t="s">
        <v>1449</v>
      </c>
      <c r="H3" s="3474" t="s">
        <v>1451</v>
      </c>
      <c r="I3" s="3474" t="s">
        <v>1449</v>
      </c>
      <c r="J3" s="3474" t="s">
        <v>1451</v>
      </c>
    </row>
    <row r="4" spans="2:10" ht="20.100000000000001" customHeight="1">
      <c r="B4" s="3474">
        <v>13305.62</v>
      </c>
      <c r="C4" s="3474">
        <v>21428.52</v>
      </c>
      <c r="D4" s="3474">
        <v>4230</v>
      </c>
      <c r="E4" s="3474">
        <v>3179</v>
      </c>
      <c r="F4" s="3474">
        <f>ROUND(D4*10000/C4,0)</f>
        <v>1974</v>
      </c>
      <c r="G4" s="3474">
        <v>4315</v>
      </c>
      <c r="H4" s="3474">
        <v>3243</v>
      </c>
      <c r="I4" s="3474">
        <v>8545</v>
      </c>
      <c r="J4" s="3474">
        <v>6422</v>
      </c>
    </row>
  </sheetData>
  <mergeCells count="5">
    <mergeCell ref="B2:B3"/>
    <mergeCell ref="C2:C3"/>
    <mergeCell ref="G2:H2"/>
    <mergeCell ref="I2:J2"/>
    <mergeCell ref="D2:F2"/>
  </mergeCells>
  <phoneticPr fontId="134"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4483</v>
      </c>
      <c r="E4" s="854">
        <f ca="1">结果表!E118</f>
        <v>3370</v>
      </c>
      <c r="F4" s="854">
        <f ca="1">结果表!F118</f>
        <v>4088</v>
      </c>
      <c r="G4" s="854">
        <f ca="1">结果表!G118</f>
        <v>3072</v>
      </c>
      <c r="H4" s="854">
        <f ca="1">结果表!H118</f>
        <v>8571</v>
      </c>
      <c r="I4" s="854">
        <f ca="1">结果表!I118</f>
        <v>6442</v>
      </c>
    </row>
    <row r="5" spans="1:9" ht="30" customHeight="1">
      <c r="A5" s="3489" t="s">
        <v>927</v>
      </c>
      <c r="B5" s="3489"/>
      <c r="C5" s="3489"/>
      <c r="D5" s="3489" t="str">
        <f ca="1">结果表!D119</f>
        <v>肆仟肆佰捌拾叁万元整</v>
      </c>
      <c r="E5" s="3489"/>
      <c r="F5" s="3489" t="str">
        <f ca="1">结果表!F119</f>
        <v>肆仟零捌拾捌万元整</v>
      </c>
      <c r="G5" s="3489"/>
      <c r="H5" s="3489" t="str">
        <f ca="1">结果表!H119</f>
        <v>捌仟伍佰柒拾壹万元整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8571</v>
      </c>
      <c r="E8" s="3490"/>
      <c r="F8" s="3490"/>
      <c r="G8" s="3490"/>
      <c r="H8" s="3490"/>
      <c r="I8" s="3490"/>
    </row>
    <row r="9" spans="1:9" ht="15">
      <c r="A9" s="3489" t="s">
        <v>927</v>
      </c>
      <c r="B9" s="3489"/>
      <c r="C9" s="3489"/>
      <c r="D9" s="3489" t="str">
        <f ca="1">结果表!D123</f>
        <v>捌仟伍佰柒拾壹万元整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6" t="s">
        <v>949</v>
      </c>
      <c r="B1" s="3496"/>
      <c r="C1" s="3496"/>
      <c r="D1" s="3496"/>
    </row>
    <row r="2" spans="1:4" ht="18">
      <c r="A2" s="3497" t="s">
        <v>933</v>
      </c>
      <c r="B2" s="3497"/>
      <c r="C2" s="3497"/>
      <c r="D2" s="34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497" t="s">
        <v>939</v>
      </c>
      <c r="B6" s="3497"/>
      <c r="C6" s="3497"/>
      <c r="D6" s="349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45518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3" t="s">
        <v>2159</v>
      </c>
      <c r="B17" s="3513"/>
      <c r="C17" s="3513"/>
      <c r="D17" s="3513"/>
      <c r="E17" s="3513"/>
      <c r="F17" s="3513"/>
      <c r="G17" s="3513"/>
      <c r="H17" s="3513"/>
    </row>
    <row r="18" spans="1:8" ht="24" customHeight="1">
      <c r="A18" s="3514" t="s">
        <v>2160</v>
      </c>
      <c r="B18" s="3514"/>
      <c r="C18" s="3514"/>
      <c r="D18" s="2342"/>
      <c r="E18" s="3515" t="s">
        <v>2161</v>
      </c>
      <c r="F18" s="3514"/>
      <c r="G18" s="351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2024-08-14T11:29:40Z</dcterms:modified>
</cp:coreProperties>
</file>