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60" yWindow="90" windowWidth="14565" windowHeight="1314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剩余法-待开发" sheetId="12"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Sheet2" sheetId="69" r:id="rId42"/>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7">'剩余法-现房'!$A$1:$K$32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3" i="39" l="1"/>
  <c r="F73" i="39" s="1"/>
  <c r="G73" i="39" s="1"/>
  <c r="H73" i="39" s="1"/>
  <c r="I73" i="39" s="1"/>
  <c r="J73" i="39" s="1"/>
  <c r="K73" i="39" s="1"/>
  <c r="L73" i="39" s="1"/>
  <c r="M73" i="39" s="1"/>
  <c r="N73" i="39" s="1"/>
  <c r="D73" i="39"/>
  <c r="E120" i="39" l="1"/>
  <c r="F120" i="39" s="1"/>
  <c r="G120" i="39" s="1"/>
  <c r="D120" i="39"/>
  <c r="I48" i="39"/>
  <c r="G48" i="39"/>
  <c r="E48" i="39"/>
  <c r="N8" i="1"/>
  <c r="I13" i="3"/>
  <c r="E104" i="21" l="1"/>
  <c r="F104" i="21" s="1"/>
  <c r="G104" i="21" s="1"/>
  <c r="H104" i="21" s="1"/>
  <c r="D104" i="21"/>
  <c r="E103" i="21"/>
  <c r="F103" i="21" s="1"/>
  <c r="G103" i="21" s="1"/>
  <c r="H103" i="21" s="1"/>
  <c r="D103" i="21"/>
  <c r="E119" i="39" l="1"/>
  <c r="F119" i="39" s="1"/>
  <c r="G119" i="39" s="1"/>
  <c r="D119" i="39"/>
  <c r="I40" i="39"/>
  <c r="G40" i="39"/>
  <c r="E40" i="39"/>
  <c r="C40" i="39"/>
  <c r="I9" i="39"/>
  <c r="G9" i="39"/>
  <c r="E9" i="39"/>
  <c r="I7" i="39"/>
  <c r="G7" i="39"/>
  <c r="E7" i="39"/>
  <c r="G20" i="6"/>
  <c r="E20" i="46" l="1"/>
  <c r="AH5" i="59" l="1"/>
  <c r="AG5" i="59"/>
  <c r="AE5" i="59"/>
  <c r="AF5" i="59" s="1"/>
  <c r="AD5" i="59"/>
  <c r="Q5" i="59"/>
  <c r="P5" i="59"/>
  <c r="O5" i="59"/>
  <c r="N5" i="59"/>
  <c r="AH6" i="59" l="1"/>
  <c r="AG6" i="59"/>
  <c r="AE6" i="59"/>
  <c r="AF6" i="59" s="1"/>
  <c r="AD6" i="59"/>
  <c r="Q6" i="59"/>
  <c r="P6" i="59"/>
  <c r="O6" i="59"/>
  <c r="N6" i="59"/>
  <c r="AH7" i="59" l="1"/>
  <c r="AG7" i="59"/>
  <c r="AE7" i="59"/>
  <c r="AF7" i="59" s="1"/>
  <c r="AD7" i="59"/>
  <c r="Q7" i="59"/>
  <c r="AB6" i="59" s="1"/>
  <c r="P7" i="59"/>
  <c r="AA6" i="59" s="1"/>
  <c r="O7" i="59"/>
  <c r="Y6" i="59" s="1"/>
  <c r="Z6" i="59" s="1"/>
  <c r="N7" i="59"/>
  <c r="X5" i="59" s="1"/>
  <c r="X6" i="59" l="1"/>
  <c r="AA5" i="59"/>
  <c r="AB5" i="59"/>
  <c r="Y5" i="59"/>
  <c r="Z5" i="59" s="1"/>
  <c r="C16" i="11"/>
  <c r="C15" i="11"/>
  <c r="C14" i="11"/>
  <c r="C9" i="11"/>
  <c r="C8" i="11"/>
  <c r="K36" i="36" l="1"/>
  <c r="K38" i="35"/>
  <c r="K42" i="37"/>
  <c r="K49" i="34"/>
  <c r="K48" i="33" l="1"/>
  <c r="K48" i="21"/>
  <c r="K44" i="40" l="1"/>
  <c r="K49" i="39"/>
  <c r="E77" i="9"/>
  <c r="F77" i="9"/>
  <c r="AH8" i="59" l="1"/>
  <c r="AG8" i="59"/>
  <c r="AE8" i="59"/>
  <c r="AF8" i="59" s="1"/>
  <c r="AD8" i="59"/>
  <c r="Q8" i="59"/>
  <c r="AB7" i="59" s="1"/>
  <c r="P8" i="59"/>
  <c r="AA7" i="59" s="1"/>
  <c r="O8" i="59"/>
  <c r="Y7" i="59" s="1"/>
  <c r="Z7" i="59" s="1"/>
  <c r="N8" i="59"/>
  <c r="X7" i="59" s="1"/>
  <c r="A21" i="31" l="1"/>
  <c r="C109" i="9" l="1"/>
  <c r="V10" i="59" l="1"/>
  <c r="U10" i="59"/>
  <c r="T10" i="59"/>
  <c r="S10" i="59"/>
  <c r="AH9" i="59" l="1"/>
  <c r="AG9" i="59"/>
  <c r="AE9" i="59"/>
  <c r="AF9" i="59" s="1"/>
  <c r="AD9" i="59"/>
  <c r="Q9" i="59"/>
  <c r="AB8" i="59" s="1"/>
  <c r="P9" i="59"/>
  <c r="AA8" i="59" s="1"/>
  <c r="O9" i="59"/>
  <c r="Y8" i="59" s="1"/>
  <c r="Z8" i="59" s="1"/>
  <c r="N9" i="59"/>
  <c r="X8" i="59" s="1"/>
  <c r="Q11" i="59" l="1"/>
  <c r="AB11" i="59"/>
  <c r="P11" i="59"/>
  <c r="AA11" i="59"/>
  <c r="O11" i="59"/>
  <c r="Y11" i="59"/>
  <c r="Z11" i="59" s="1"/>
  <c r="N11" i="59"/>
  <c r="X11" i="59"/>
  <c r="X10" i="59"/>
  <c r="AH10" i="59"/>
  <c r="AG10" i="59"/>
  <c r="AE10" i="59"/>
  <c r="AF10" i="59" s="1"/>
  <c r="AD10" i="59"/>
  <c r="Q10" i="59"/>
  <c r="AB9" i="59" s="1"/>
  <c r="P10" i="59"/>
  <c r="AA9" i="59" s="1"/>
  <c r="O10" i="59"/>
  <c r="N10" i="59"/>
  <c r="F11" i="59"/>
  <c r="F10" i="59"/>
  <c r="F9" i="59" s="1"/>
  <c r="F8" i="59" s="1"/>
  <c r="F7" i="59" s="1"/>
  <c r="F6" i="59" s="1"/>
  <c r="E11" i="59"/>
  <c r="C11" i="59"/>
  <c r="C10" i="59"/>
  <c r="C9" i="59" s="1"/>
  <c r="B11" i="59"/>
  <c r="AH11" i="59"/>
  <c r="AG11" i="59"/>
  <c r="AE11" i="59"/>
  <c r="AF11" i="59"/>
  <c r="AD11" i="59"/>
  <c r="Q12" i="59"/>
  <c r="Q13" i="59"/>
  <c r="P12" i="59"/>
  <c r="P13" i="59"/>
  <c r="O12" i="59"/>
  <c r="O13" i="59"/>
  <c r="N12" i="59"/>
  <c r="N13" i="59"/>
  <c r="F13" i="59"/>
  <c r="F12" i="59"/>
  <c r="E13" i="59"/>
  <c r="E12" i="59"/>
  <c r="C13" i="59"/>
  <c r="C12" i="59"/>
  <c r="D11" i="59"/>
  <c r="B13" i="59"/>
  <c r="B12" i="59"/>
  <c r="AH12" i="59"/>
  <c r="AG12" i="59"/>
  <c r="AE12" i="59"/>
  <c r="AF12" i="59"/>
  <c r="AD12" i="59"/>
  <c r="F25" i="12"/>
  <c r="AH13" i="59"/>
  <c r="AG13" i="59"/>
  <c r="AE13" i="59"/>
  <c r="AF13" i="59"/>
  <c r="AD13" i="59"/>
  <c r="AB12" i="59"/>
  <c r="AA12" i="59"/>
  <c r="Y12" i="59"/>
  <c r="X12" i="59"/>
  <c r="M15" i="49"/>
  <c r="L15" i="49"/>
  <c r="K15" i="49"/>
  <c r="J15" i="49"/>
  <c r="I15" i="49"/>
  <c r="H15" i="49"/>
  <c r="G15" i="49"/>
  <c r="F15" i="49"/>
  <c r="E15" i="49"/>
  <c r="D15" i="49"/>
  <c r="C15" i="49"/>
  <c r="B15" i="49"/>
  <c r="AH14" i="59"/>
  <c r="AG14" i="59"/>
  <c r="AF14" i="59"/>
  <c r="AE14" i="59"/>
  <c r="AD14" i="59"/>
  <c r="Q14" i="59"/>
  <c r="P14" i="59"/>
  <c r="O14" i="59"/>
  <c r="N14" i="59"/>
  <c r="L3" i="59"/>
  <c r="AH3" i="59" s="1"/>
  <c r="K3" i="59"/>
  <c r="AG3" i="59" s="1"/>
  <c r="J3" i="59"/>
  <c r="AE3" i="59" s="1"/>
  <c r="AF3" i="59" s="1"/>
  <c r="I3" i="59"/>
  <c r="AD3" i="59" s="1"/>
  <c r="AH15" i="59"/>
  <c r="AG15" i="59"/>
  <c r="AE15" i="59"/>
  <c r="AF15" i="59"/>
  <c r="AD15" i="59"/>
  <c r="Q15" i="59"/>
  <c r="Q16" i="59"/>
  <c r="P15" i="59"/>
  <c r="P16" i="59"/>
  <c r="AA15" i="59"/>
  <c r="O15" i="59"/>
  <c r="O16" i="59"/>
  <c r="N15" i="59"/>
  <c r="N16" i="59"/>
  <c r="X15" i="59"/>
  <c r="AH16" i="59"/>
  <c r="AG16" i="59"/>
  <c r="AE16" i="59"/>
  <c r="AF16" i="59"/>
  <c r="AD16" i="59"/>
  <c r="Q17" i="59"/>
  <c r="P17" i="59"/>
  <c r="O17" i="59"/>
  <c r="N17" i="59"/>
  <c r="M19" i="46"/>
  <c r="J50" i="15"/>
  <c r="J51" i="15" s="1"/>
  <c r="D19" i="59"/>
  <c r="AH17" i="59"/>
  <c r="AG17" i="59"/>
  <c r="AE17" i="59"/>
  <c r="AF17" i="59"/>
  <c r="AD17" i="59"/>
  <c r="AE18" i="59"/>
  <c r="AF18" i="59"/>
  <c r="AG18" i="59"/>
  <c r="AH18" i="59"/>
  <c r="AD18" i="59"/>
  <c r="Q18" i="59"/>
  <c r="AB17" i="59"/>
  <c r="P18" i="59"/>
  <c r="AA17" i="59"/>
  <c r="O18" i="59"/>
  <c r="Y17" i="59"/>
  <c r="Z17" i="59"/>
  <c r="N18" i="59"/>
  <c r="X17" i="59"/>
  <c r="N19" i="59"/>
  <c r="Q19" i="59"/>
  <c r="P19" i="59"/>
  <c r="O19" i="59"/>
  <c r="K59" i="15"/>
  <c r="P62" i="15" s="1"/>
  <c r="P75" i="15"/>
  <c r="Q74" i="44"/>
  <c r="Q61" i="44"/>
  <c r="Q60" i="44"/>
  <c r="Q53" i="44"/>
  <c r="J51" i="44"/>
  <c r="J52" i="44"/>
  <c r="M48" i="44"/>
  <c r="A16" i="55"/>
  <c r="A15" i="55"/>
  <c r="B66" i="63"/>
  <c r="A14" i="55"/>
  <c r="A11" i="55"/>
  <c r="A10" i="55"/>
  <c r="B61" i="63"/>
  <c r="A9" i="55"/>
  <c r="B60" i="63"/>
  <c r="A8" i="55"/>
  <c r="A6" i="54"/>
  <c r="A8" i="54"/>
  <c r="A7" i="54"/>
  <c r="A28" i="51"/>
  <c r="A27" i="51"/>
  <c r="B20" i="63" s="1"/>
  <c r="Q20" i="59"/>
  <c r="AB18" i="59"/>
  <c r="O20" i="59"/>
  <c r="Y18" i="59"/>
  <c r="Z18" i="59"/>
  <c r="N21" i="59"/>
  <c r="O21" i="59"/>
  <c r="P21" i="59"/>
  <c r="Q21" i="59"/>
  <c r="N20" i="59"/>
  <c r="X18" i="59"/>
  <c r="P20" i="59"/>
  <c r="B22" i="59"/>
  <c r="C22" i="59"/>
  <c r="D22" i="59"/>
  <c r="E22" i="59"/>
  <c r="F22" i="59"/>
  <c r="K75" i="9"/>
  <c r="K6" i="4"/>
  <c r="O76" i="9"/>
  <c r="L76" i="9"/>
  <c r="K76" i="9"/>
  <c r="B22" i="31"/>
  <c r="E15" i="66"/>
  <c r="F15" i="66"/>
  <c r="E16" i="66"/>
  <c r="F16" i="66"/>
  <c r="E17" i="66"/>
  <c r="F17" i="66"/>
  <c r="E18" i="66"/>
  <c r="F18" i="66"/>
  <c r="E19" i="66"/>
  <c r="F19" i="66"/>
  <c r="E20" i="66"/>
  <c r="F20" i="66"/>
  <c r="E21" i="66"/>
  <c r="F21" i="66"/>
  <c r="E22" i="66"/>
  <c r="F22" i="66"/>
  <c r="E23" i="66"/>
  <c r="F23" i="66"/>
  <c r="B3" i="66"/>
  <c r="V22" i="59"/>
  <c r="U22" i="59"/>
  <c r="T22" i="59"/>
  <c r="S22" i="59"/>
  <c r="B21" i="59"/>
  <c r="B20" i="59"/>
  <c r="B18" i="59"/>
  <c r="B17" i="59"/>
  <c r="B16" i="59"/>
  <c r="E21" i="59"/>
  <c r="E20" i="59"/>
  <c r="E18" i="59"/>
  <c r="E17" i="59"/>
  <c r="E16" i="59"/>
  <c r="E15" i="59"/>
  <c r="E14" i="59"/>
  <c r="C21" i="59"/>
  <c r="F21" i="59"/>
  <c r="F20" i="59"/>
  <c r="F18" i="59"/>
  <c r="V18" i="59"/>
  <c r="U18" i="59"/>
  <c r="S18" i="59"/>
  <c r="D21" i="59"/>
  <c r="C20"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D20" i="59"/>
  <c r="S2" i="31"/>
  <c r="M2" i="31"/>
  <c r="N2" i="31"/>
  <c r="O2" i="31"/>
  <c r="P2" i="31"/>
  <c r="Q2" i="31"/>
  <c r="R2" i="31"/>
  <c r="C18" i="59"/>
  <c r="C17" i="59"/>
  <c r="C3" i="65"/>
  <c r="C1" i="65"/>
  <c r="N1" i="65" s="1"/>
  <c r="T18" i="59"/>
  <c r="D18"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2" i="59"/>
  <c r="P22" i="59"/>
  <c r="O22" i="59"/>
  <c r="N22" i="59"/>
  <c r="D83" i="59"/>
  <c r="F82" i="59"/>
  <c r="E82" i="59"/>
  <c r="E81" i="59"/>
  <c r="E80" i="59"/>
  <c r="C82" i="59"/>
  <c r="D82" i="59"/>
  <c r="B82" i="59"/>
  <c r="F81" i="59"/>
  <c r="F80" i="59"/>
  <c r="B81" i="59"/>
  <c r="B80" i="59"/>
  <c r="D79" i="59"/>
  <c r="F78" i="59"/>
  <c r="E78" i="59"/>
  <c r="E77" i="59"/>
  <c r="E76" i="59"/>
  <c r="C78" i="59"/>
  <c r="D78" i="59"/>
  <c r="B78" i="59"/>
  <c r="F77" i="59"/>
  <c r="F76" i="59"/>
  <c r="B77" i="59"/>
  <c r="B76" i="59"/>
  <c r="D75" i="59"/>
  <c r="Q74" i="59"/>
  <c r="P74" i="59"/>
  <c r="O74" i="59"/>
  <c r="N74" i="59"/>
  <c r="F74" i="59"/>
  <c r="V74" i="59"/>
  <c r="E74" i="59"/>
  <c r="U74" i="59"/>
  <c r="C74" i="59"/>
  <c r="T74" i="59"/>
  <c r="B74" i="59"/>
  <c r="S74" i="59"/>
  <c r="Q73" i="59"/>
  <c r="P73" i="59"/>
  <c r="O73" i="59"/>
  <c r="N73" i="59"/>
  <c r="F73" i="59"/>
  <c r="F72" i="59"/>
  <c r="B73" i="59"/>
  <c r="B72" i="59"/>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F62" i="59"/>
  <c r="V62" i="59"/>
  <c r="E62" i="59"/>
  <c r="E61" i="59"/>
  <c r="P61" i="59"/>
  <c r="C62" i="59"/>
  <c r="B62" i="59"/>
  <c r="N62" i="59"/>
  <c r="F61" i="59"/>
  <c r="F60" i="59"/>
  <c r="Q60" i="59"/>
  <c r="B61" i="59"/>
  <c r="Q59" i="59"/>
  <c r="D59" i="59"/>
  <c r="Q58" i="59"/>
  <c r="P58" i="59"/>
  <c r="O58" i="59"/>
  <c r="N58" i="59"/>
  <c r="Q57" i="59"/>
  <c r="P57" i="59"/>
  <c r="O57" i="59"/>
  <c r="N57" i="59"/>
  <c r="Q56" i="59"/>
  <c r="P56" i="59"/>
  <c r="O56" i="59"/>
  <c r="N56" i="59"/>
  <c r="Q55" i="59"/>
  <c r="F56" i="59"/>
  <c r="P55" i="59"/>
  <c r="E56" i="59"/>
  <c r="E57" i="59"/>
  <c r="E58" i="59"/>
  <c r="U58" i="59"/>
  <c r="O55" i="59"/>
  <c r="C56" i="59"/>
  <c r="N55" i="59"/>
  <c r="B56" i="59"/>
  <c r="B57" i="59"/>
  <c r="B58" i="59"/>
  <c r="S58"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O43" i="59"/>
  <c r="C44" i="59"/>
  <c r="N43" i="59"/>
  <c r="B44" i="59"/>
  <c r="D43" i="59"/>
  <c r="T42" i="59"/>
  <c r="Q42" i="59"/>
  <c r="P42" i="59"/>
  <c r="O42" i="59"/>
  <c r="N42" i="59"/>
  <c r="D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AB33" i="59"/>
  <c r="P33" i="59"/>
  <c r="O33" i="59"/>
  <c r="Y33" i="59"/>
  <c r="Z33" i="59"/>
  <c r="N33" i="59"/>
  <c r="X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O23" i="59"/>
  <c r="C24" i="59"/>
  <c r="N23" i="59"/>
  <c r="B24" i="59"/>
  <c r="D23" i="59"/>
  <c r="X3" i="59"/>
  <c r="X19" i="59"/>
  <c r="X20" i="59"/>
  <c r="X21" i="59"/>
  <c r="X22" i="59"/>
  <c r="AA3" i="59"/>
  <c r="AA19" i="59"/>
  <c r="AA20" i="59"/>
  <c r="AA21" i="59"/>
  <c r="AA22" i="59"/>
  <c r="Y19" i="59"/>
  <c r="Z19" i="59"/>
  <c r="Y20" i="59"/>
  <c r="Z20" i="59"/>
  <c r="Y21" i="59"/>
  <c r="Z21" i="59"/>
  <c r="Y22" i="59"/>
  <c r="Z22" i="59"/>
  <c r="AB22" i="59"/>
  <c r="AB3" i="59"/>
  <c r="AB19" i="59"/>
  <c r="AB20" i="59"/>
  <c r="AB21" i="59"/>
  <c r="B25" i="59"/>
  <c r="B26" i="59"/>
  <c r="S26" i="59"/>
  <c r="E24" i="59"/>
  <c r="E25" i="59"/>
  <c r="E26" i="59"/>
  <c r="U26" i="59"/>
  <c r="B45" i="59"/>
  <c r="B46" i="59"/>
  <c r="S46" i="59"/>
  <c r="E45" i="59"/>
  <c r="E46" i="59"/>
  <c r="U46" i="59"/>
  <c r="S62" i="59"/>
  <c r="Z32" i="59"/>
  <c r="AA33" i="59"/>
  <c r="F25" i="59"/>
  <c r="F26" i="59"/>
  <c r="V26" i="59"/>
  <c r="F29" i="59"/>
  <c r="F30" i="59"/>
  <c r="V30" i="59"/>
  <c r="F33" i="59"/>
  <c r="F34" i="59"/>
  <c r="V34" i="59"/>
  <c r="F37" i="59"/>
  <c r="F38" i="59"/>
  <c r="V38" i="59"/>
  <c r="F41" i="59"/>
  <c r="F42" i="59"/>
  <c r="V42" i="59"/>
  <c r="F49" i="59"/>
  <c r="F50" i="59"/>
  <c r="V50" i="59"/>
  <c r="F53" i="59"/>
  <c r="F54" i="59"/>
  <c r="V54" i="59"/>
  <c r="F57" i="59"/>
  <c r="F58" i="59"/>
  <c r="V58" i="59"/>
  <c r="C25" i="59"/>
  <c r="D24" i="59"/>
  <c r="C33" i="59"/>
  <c r="D32" i="59"/>
  <c r="C37" i="59"/>
  <c r="D36" i="59"/>
  <c r="C41" i="59"/>
  <c r="D41" i="59"/>
  <c r="D40" i="59"/>
  <c r="C45" i="59"/>
  <c r="D44" i="59"/>
  <c r="C49" i="59"/>
  <c r="D48" i="59"/>
  <c r="C53" i="59"/>
  <c r="D52" i="59"/>
  <c r="C57" i="59"/>
  <c r="D56" i="59"/>
  <c r="C29" i="59"/>
  <c r="D28" i="59"/>
  <c r="E60" i="59"/>
  <c r="N61" i="59"/>
  <c r="B60" i="59"/>
  <c r="Q61" i="59"/>
  <c r="T62" i="59"/>
  <c r="O62" i="59"/>
  <c r="D62" i="59"/>
  <c r="C61" i="59"/>
  <c r="P62" i="59"/>
  <c r="U62" i="59"/>
  <c r="Q62" i="59"/>
  <c r="C65" i="59"/>
  <c r="E65" i="59"/>
  <c r="E64" i="59"/>
  <c r="D66" i="59"/>
  <c r="C69" i="59"/>
  <c r="E69" i="59"/>
  <c r="E68" i="59"/>
  <c r="D70" i="59"/>
  <c r="C73" i="59"/>
  <c r="E73" i="59"/>
  <c r="E72" i="59"/>
  <c r="D74" i="59"/>
  <c r="C77" i="59"/>
  <c r="C81" i="59"/>
  <c r="U16" i="4"/>
  <c r="S16" i="4"/>
  <c r="Q16" i="4"/>
  <c r="O16" i="4"/>
  <c r="M16" i="4"/>
  <c r="K16" i="4"/>
  <c r="P59" i="59"/>
  <c r="P60" i="59"/>
  <c r="D81" i="59"/>
  <c r="C80" i="59"/>
  <c r="D80" i="59"/>
  <c r="D73" i="59"/>
  <c r="C72" i="59"/>
  <c r="D72" i="59"/>
  <c r="D65" i="59"/>
  <c r="C64" i="59"/>
  <c r="D64" i="59"/>
  <c r="C60" i="59"/>
  <c r="O61" i="59"/>
  <c r="D61" i="59"/>
  <c r="D77" i="59"/>
  <c r="C76" i="59"/>
  <c r="D76" i="59"/>
  <c r="D69" i="59"/>
  <c r="C68" i="59"/>
  <c r="D68" i="59"/>
  <c r="N59" i="59"/>
  <c r="N60" i="59"/>
  <c r="C30" i="59"/>
  <c r="D29" i="59"/>
  <c r="C58" i="59"/>
  <c r="D57" i="59"/>
  <c r="D53" i="59"/>
  <c r="C54" i="59"/>
  <c r="C50" i="59"/>
  <c r="D49" i="59"/>
  <c r="C46" i="59"/>
  <c r="D45" i="59"/>
  <c r="C38" i="59"/>
  <c r="D37" i="59"/>
  <c r="C34" i="59"/>
  <c r="D33" i="59"/>
  <c r="C26" i="59"/>
  <c r="D25" i="59"/>
  <c r="N16" i="4"/>
  <c r="L16" i="4"/>
  <c r="T54" i="59"/>
  <c r="D54" i="59"/>
  <c r="T26" i="59"/>
  <c r="D26" i="59"/>
  <c r="T34" i="59"/>
  <c r="D34" i="59"/>
  <c r="T38" i="59"/>
  <c r="D38" i="59"/>
  <c r="T46" i="59"/>
  <c r="D46" i="59"/>
  <c r="T50" i="59"/>
  <c r="D50" i="59"/>
  <c r="T58" i="59"/>
  <c r="D58" i="59"/>
  <c r="T30" i="59"/>
  <c r="D30" i="59"/>
  <c r="O60" i="59"/>
  <c r="D60" i="59"/>
  <c r="O5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32" i="6"/>
  <c r="E20" i="6"/>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c r="Q27" i="39"/>
  <c r="Z27" i="39"/>
  <c r="Q25" i="39"/>
  <c r="Z25" i="39"/>
  <c r="Q23" i="39"/>
  <c r="Z23" i="39"/>
  <c r="Q21" i="39"/>
  <c r="Z21" i="39" s="1"/>
  <c r="Q19" i="39"/>
  <c r="Z19" i="39" s="1"/>
  <c r="Q17" i="39"/>
  <c r="Z17" i="39"/>
  <c r="Q16" i="39"/>
  <c r="Z16" i="39" s="1"/>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F79" i="21" s="1"/>
  <c r="G79" i="21" s="1"/>
  <c r="D85" i="21"/>
  <c r="E85" i="21" s="1"/>
  <c r="D81" i="21"/>
  <c r="E81" i="21" s="1"/>
  <c r="F81" i="21" s="1"/>
  <c r="G81" i="21" s="1"/>
  <c r="D77" i="21"/>
  <c r="E77" i="21" s="1"/>
  <c r="F77" i="21" s="1"/>
  <c r="G77" i="21" s="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A13" i="3" s="1"/>
  <c r="BA5" i="3" s="1"/>
  <c r="BE13" i="3"/>
  <c r="BF13" i="3"/>
  <c r="BF5" i="3"/>
  <c r="BG13" i="3"/>
  <c r="BG5" i="3"/>
  <c r="BH13" i="3"/>
  <c r="BI13" i="3"/>
  <c r="BI5" i="3" s="1"/>
  <c r="BJ13" i="3"/>
  <c r="BK13" i="3"/>
  <c r="BM13" i="3"/>
  <c r="BM5" i="3" s="1"/>
  <c r="F29" i="6" s="1"/>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F21" i="6" s="1"/>
  <c r="E21" i="6" s="1"/>
  <c r="K8" i="1" s="1"/>
  <c r="M8" i="1" s="1"/>
  <c r="O8" i="1" s="1"/>
  <c r="P8" i="1" s="1"/>
  <c r="N5" i="3"/>
  <c r="O5" i="3"/>
  <c r="P5" i="3"/>
  <c r="Q5" i="3"/>
  <c r="R5" i="3"/>
  <c r="S5" i="3"/>
  <c r="T5" i="3"/>
  <c r="U5" i="3"/>
  <c r="V5" i="3"/>
  <c r="W5" i="3"/>
  <c r="X5" i="3"/>
  <c r="Y5" i="3"/>
  <c r="Z5" i="3"/>
  <c r="AA5" i="3"/>
  <c r="AB5" i="3"/>
  <c r="H570" i="3"/>
  <c r="G570" i="3"/>
  <c r="H571" i="3"/>
  <c r="H572" i="3"/>
  <c r="F5" i="3"/>
  <c r="G27" i="6"/>
  <c r="F34" i="21"/>
  <c r="AA34" i="21"/>
  <c r="H34" i="21"/>
  <c r="U34" i="21"/>
  <c r="F43" i="21"/>
  <c r="S43" i="21" s="1"/>
  <c r="H38" i="21"/>
  <c r="AB38" i="21"/>
  <c r="H43" i="21"/>
  <c r="AB43" i="21" s="1"/>
  <c r="F32" i="21"/>
  <c r="AA32" i="21" s="1"/>
  <c r="F38" i="21"/>
  <c r="S38" i="21"/>
  <c r="F36" i="21"/>
  <c r="S36" i="21"/>
  <c r="F39" i="21"/>
  <c r="AA39" i="21"/>
  <c r="J40" i="21"/>
  <c r="W40" i="21"/>
  <c r="H35" i="21"/>
  <c r="AB35" i="21"/>
  <c r="J8" i="21"/>
  <c r="AC8" i="21" s="1"/>
  <c r="J9" i="21"/>
  <c r="AC9" i="21" s="1"/>
  <c r="H8" i="21"/>
  <c r="U8" i="21" s="1"/>
  <c r="H9" i="21"/>
  <c r="AB9" i="21" s="1"/>
  <c r="H10" i="21"/>
  <c r="U10" i="21"/>
  <c r="H39" i="21"/>
  <c r="AB39" i="21"/>
  <c r="J34" i="21"/>
  <c r="W34" i="21"/>
  <c r="H36" i="21"/>
  <c r="U36" i="21"/>
  <c r="F35" i="21"/>
  <c r="AA35" i="21"/>
  <c r="J10" i="21"/>
  <c r="AC10" i="2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AC40" i="21"/>
  <c r="AA38" i="21"/>
  <c r="AB36" i="21"/>
  <c r="AC35"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AZ572" i="3"/>
  <c r="J14" i="21"/>
  <c r="F14" i="21"/>
  <c r="AA14" i="21"/>
  <c r="H14" i="21"/>
  <c r="U14" i="21" s="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U39" i="21"/>
  <c r="J32" i="21"/>
  <c r="AC32" i="21" s="1"/>
  <c r="AC5" i="3"/>
  <c r="F17" i="21"/>
  <c r="S17" i="21" s="1"/>
  <c r="H17" i="21"/>
  <c r="AB17" i="21" s="1"/>
  <c r="J17" i="21"/>
  <c r="AC17" i="21" s="1"/>
  <c r="H37" i="21"/>
  <c r="U37" i="21" s="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c r="F33" i="39"/>
  <c r="H33" i="39"/>
  <c r="U33" i="39"/>
  <c r="J33" i="39"/>
  <c r="W33" i="39" s="1"/>
  <c r="F44" i="39"/>
  <c r="S44" i="39" s="1"/>
  <c r="H44" i="39"/>
  <c r="U44" i="39" s="1"/>
  <c r="J44" i="39"/>
  <c r="W44" i="39" s="1"/>
  <c r="E128" i="39"/>
  <c r="F128" i="39"/>
  <c r="G128" i="39"/>
  <c r="H128" i="39"/>
  <c r="I128" i="39"/>
  <c r="J128" i="39"/>
  <c r="K128" i="39"/>
  <c r="L128" i="39"/>
  <c r="M128" i="39"/>
  <c r="F46" i="39"/>
  <c r="S46" i="39" s="1"/>
  <c r="H46" i="39"/>
  <c r="U46" i="39" s="1"/>
  <c r="J46" i="39"/>
  <c r="W46" i="39" s="1"/>
  <c r="F29" i="39"/>
  <c r="AA29" i="39" s="1"/>
  <c r="E103" i="39"/>
  <c r="F103" i="39"/>
  <c r="G103" i="39" s="1"/>
  <c r="H29" i="39"/>
  <c r="U29" i="39" s="1"/>
  <c r="F34" i="39"/>
  <c r="AA34" i="39"/>
  <c r="H34" i="39"/>
  <c r="AB34" i="39"/>
  <c r="J34" i="39"/>
  <c r="AC34" i="39"/>
  <c r="F39" i="39"/>
  <c r="H39" i="39"/>
  <c r="AB39" i="39" s="1"/>
  <c r="J39" i="39"/>
  <c r="J29" i="35"/>
  <c r="AC29" i="35"/>
  <c r="F29" i="35"/>
  <c r="S29" i="35"/>
  <c r="W30" i="36"/>
  <c r="AC30" i="36"/>
  <c r="F37" i="39"/>
  <c r="S37" i="39"/>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AC14" i="40"/>
  <c r="W35" i="40"/>
  <c r="S33" i="40"/>
  <c r="AB32" i="40"/>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AP6" i="1" s="1"/>
  <c r="G11"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AA37" i="21"/>
  <c r="AB37" i="21"/>
  <c r="AC46" i="21"/>
  <c r="F15" i="21"/>
  <c r="S15" i="21" s="1"/>
  <c r="J15" i="21"/>
  <c r="W15" i="21" s="1"/>
  <c r="H15" i="21"/>
  <c r="U15" i="21" s="1"/>
  <c r="W1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C38" i="39"/>
  <c r="AC21" i="39"/>
  <c r="S14" i="39"/>
  <c r="AB15" i="39"/>
  <c r="U11" i="39"/>
  <c r="AB38" i="39"/>
  <c r="U31" i="39"/>
  <c r="AB31" i="39"/>
  <c r="S38" i="39"/>
  <c r="S22" i="31"/>
  <c r="D96" i="9"/>
  <c r="A18" i="64"/>
  <c r="B74" i="63"/>
  <c r="C53" i="10"/>
  <c r="A25" i="64" s="1"/>
  <c r="A18" i="51"/>
  <c r="B14" i="63"/>
  <c r="BA16" i="3"/>
  <c r="BA17" i="3"/>
  <c r="AZ17" i="3"/>
  <c r="F3" i="35"/>
  <c r="K1" i="43"/>
  <c r="K1" i="12"/>
  <c r="G1" i="44"/>
  <c r="G3" i="46"/>
  <c r="AZ15" i="3"/>
  <c r="BK5" i="3"/>
  <c r="BO5" i="3"/>
  <c r="BP5" i="3"/>
  <c r="BN5" i="3"/>
  <c r="BL18" i="3"/>
  <c r="AZ18" i="3"/>
  <c r="BC5" i="3"/>
  <c r="BD5" i="3"/>
  <c r="BR5" i="3"/>
  <c r="G28" i="6" s="1"/>
  <c r="E28" i="6" s="1"/>
  <c r="BS5" i="3"/>
  <c r="BQ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L5" i="54"/>
  <c r="B39" i="63"/>
  <c r="K5" i="54"/>
  <c r="B38" i="63"/>
  <c r="T41" i="4"/>
  <c r="A17" i="64"/>
  <c r="B46" i="50"/>
  <c r="B4" i="63"/>
  <c r="C46" i="36"/>
  <c r="D46" i="36" s="1"/>
  <c r="E46" i="36" s="1"/>
  <c r="F46" i="36" s="1"/>
  <c r="G46" i="36" s="1"/>
  <c r="H46" i="36" s="1"/>
  <c r="K17" i="4"/>
  <c r="A22" i="51" s="1"/>
  <c r="B16" i="63" s="1"/>
  <c r="H86" i="46"/>
  <c r="H82" i="46"/>
  <c r="H10" i="48"/>
  <c r="H87" i="46"/>
  <c r="H85" i="46"/>
  <c r="H83" i="46"/>
  <c r="K10" i="1"/>
  <c r="M10" i="1" s="1"/>
  <c r="O10" i="1" s="1"/>
  <c r="P10" i="1" s="1"/>
  <c r="S11" i="1"/>
  <c r="R11" i="1"/>
  <c r="S13" i="1"/>
  <c r="R13" i="1"/>
  <c r="B6" i="1"/>
  <c r="E6" i="1" s="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U27" i="21"/>
  <c r="S27" i="21"/>
  <c r="AC27" i="21"/>
  <c r="G96" i="40"/>
  <c r="J27" i="40"/>
  <c r="W37" i="40"/>
  <c r="S17" i="40"/>
  <c r="W30" i="40"/>
  <c r="S34" i="40"/>
  <c r="U17" i="40"/>
  <c r="U38" i="40"/>
  <c r="S40" i="40"/>
  <c r="S42" i="40"/>
  <c r="J31" i="39"/>
  <c r="W31" i="39" s="1"/>
  <c r="S45" i="39"/>
  <c r="AB33" i="39"/>
  <c r="AC46" i="39"/>
  <c r="S34" i="39"/>
  <c r="W42" i="39"/>
  <c r="W36" i="39"/>
  <c r="AC37" i="39"/>
  <c r="W16" i="39"/>
  <c r="S15"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AT6" i="3"/>
  <c r="G29" i="6"/>
  <c r="AZ16" i="3"/>
  <c r="A9" i="64"/>
  <c r="A9" i="51"/>
  <c r="B9" i="63" s="1"/>
  <c r="A3" i="55"/>
  <c r="B56" i="63"/>
  <c r="E4" i="4"/>
  <c r="C4" i="4"/>
  <c r="G66" i="36"/>
  <c r="J18" i="36"/>
  <c r="AE8" i="1"/>
  <c r="AE6" i="1"/>
  <c r="W18" i="36"/>
  <c r="AC18" i="36"/>
  <c r="AG6" i="1"/>
  <c r="L20" i="6"/>
  <c r="L19" i="6"/>
  <c r="B21" i="55"/>
  <c r="B72" i="63"/>
  <c r="B20" i="55"/>
  <c r="B70" i="63"/>
  <c r="S9" i="1"/>
  <c r="R9" i="1"/>
  <c r="C44" i="9"/>
  <c r="G14" i="66"/>
  <c r="B6" i="66" s="1"/>
  <c r="N69" i="9"/>
  <c r="O39" i="9"/>
  <c r="K29" i="9"/>
  <c r="M86" i="9"/>
  <c r="N86" i="9"/>
  <c r="M84" i="9"/>
  <c r="N84" i="9" s="1"/>
  <c r="M88" i="9"/>
  <c r="N88" i="9" s="1"/>
  <c r="M87" i="9"/>
  <c r="N87" i="9" s="1"/>
  <c r="M85" i="9"/>
  <c r="N85" i="9" s="1"/>
  <c r="M83" i="9"/>
  <c r="N83" i="9" s="1"/>
  <c r="N89" i="9" s="1"/>
  <c r="O89" i="9" s="1"/>
  <c r="K30" i="9"/>
  <c r="R6" i="54"/>
  <c r="B50" i="63"/>
  <c r="N76" i="9"/>
  <c r="C46" i="9"/>
  <c r="K33" i="9" s="1"/>
  <c r="K34" i="9" s="1"/>
  <c r="O41" i="9"/>
  <c r="R8" i="54" s="1"/>
  <c r="B54" i="63" s="1"/>
  <c r="H58" i="46"/>
  <c r="J17" i="46"/>
  <c r="C17" i="46"/>
  <c r="F34" i="46"/>
  <c r="F38" i="46"/>
  <c r="F37" i="46"/>
  <c r="H113" i="46"/>
  <c r="H49" i="46"/>
  <c r="H53" i="46"/>
  <c r="D17" i="59"/>
  <c r="C16" i="59"/>
  <c r="D16" i="59"/>
  <c r="U14" i="59"/>
  <c r="F17" i="59"/>
  <c r="F16" i="59"/>
  <c r="F15" i="59"/>
  <c r="F14" i="59"/>
  <c r="Y16" i="59"/>
  <c r="Z16" i="59"/>
  <c r="AA16" i="59"/>
  <c r="AB16" i="59"/>
  <c r="Y15" i="59"/>
  <c r="Z15" i="59"/>
  <c r="Y14" i="59"/>
  <c r="Z14" i="59" s="1"/>
  <c r="Z12" i="59"/>
  <c r="Y13" i="59"/>
  <c r="Z13" i="59" s="1"/>
  <c r="AB15" i="59"/>
  <c r="AB14" i="59"/>
  <c r="AB13" i="59"/>
  <c r="AA18" i="59"/>
  <c r="X16" i="59"/>
  <c r="X14" i="59"/>
  <c r="X13" i="59"/>
  <c r="AA14" i="59"/>
  <c r="AA13" i="59"/>
  <c r="G30" i="6"/>
  <c r="G31" i="6" s="1"/>
  <c r="H1" i="65"/>
  <c r="H51" i="46"/>
  <c r="X7" i="46"/>
  <c r="E17" i="46"/>
  <c r="N17" i="46"/>
  <c r="O17" i="46"/>
  <c r="M17" i="46"/>
  <c r="L17" i="46"/>
  <c r="H22" i="46"/>
  <c r="Y11" i="46"/>
  <c r="Y13" i="46" s="1"/>
  <c r="H101" i="46"/>
  <c r="H103" i="46" s="1"/>
  <c r="G22" i="46"/>
  <c r="J22" i="46"/>
  <c r="F101" i="46"/>
  <c r="F107" i="46" s="1"/>
  <c r="D101" i="46"/>
  <c r="D102" i="46" s="1"/>
  <c r="E13" i="6"/>
  <c r="E65" i="39" s="1"/>
  <c r="AP7" i="1"/>
  <c r="H70" i="46"/>
  <c r="H73" i="46"/>
  <c r="H50" i="46"/>
  <c r="H48" i="46"/>
  <c r="F35" i="46"/>
  <c r="I17" i="46"/>
  <c r="G17" i="46"/>
  <c r="C16" i="46"/>
  <c r="H63" i="46"/>
  <c r="I101" i="46"/>
  <c r="I102" i="46" s="1"/>
  <c r="M101" i="46"/>
  <c r="M107" i="46" s="1"/>
  <c r="N101" i="46"/>
  <c r="N105" i="46" s="1"/>
  <c r="AC11" i="46"/>
  <c r="AC13" i="46" s="1"/>
  <c r="AD11" i="46"/>
  <c r="AD13" i="46" s="1"/>
  <c r="AJ11" i="46"/>
  <c r="AJ13" i="46" s="1"/>
  <c r="H64" i="46"/>
  <c r="H66" i="46"/>
  <c r="D100" i="46"/>
  <c r="H62" i="46"/>
  <c r="AF12" i="46"/>
  <c r="K100" i="46"/>
  <c r="AB12" i="46"/>
  <c r="AJ12"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5" i="59"/>
  <c r="C14" i="59"/>
  <c r="T14" i="59"/>
  <c r="B15" i="59"/>
  <c r="B14" i="59"/>
  <c r="S14" i="59"/>
  <c r="D15" i="59"/>
  <c r="V14" i="59"/>
  <c r="D14" i="59"/>
  <c r="M104" i="46"/>
  <c r="C5" i="46"/>
  <c r="D5" i="46"/>
  <c r="K14" i="1"/>
  <c r="M14" i="1" s="1"/>
  <c r="K102" i="46"/>
  <c r="C23" i="46"/>
  <c r="G118" i="46"/>
  <c r="H118" i="46" s="1"/>
  <c r="C103" i="46"/>
  <c r="C7" i="46"/>
  <c r="D13" i="59"/>
  <c r="D12" i="59"/>
  <c r="G20" i="46"/>
  <c r="E41" i="46"/>
  <c r="C41" i="46"/>
  <c r="J17" i="44"/>
  <c r="M22" i="15"/>
  <c r="M31" i="44"/>
  <c r="F12" i="67"/>
  <c r="J15" i="15"/>
  <c r="M11" i="44"/>
  <c r="M24" i="44"/>
  <c r="F39" i="44"/>
  <c r="J7" i="65"/>
  <c r="J4" i="65"/>
  <c r="M23" i="44"/>
  <c r="F37" i="44"/>
  <c r="F40" i="15"/>
  <c r="E13" i="67"/>
  <c r="F38" i="44"/>
  <c r="E14" i="67"/>
  <c r="F13" i="15"/>
  <c r="L47" i="15"/>
  <c r="M29" i="44"/>
  <c r="F46" i="44"/>
  <c r="B11" i="67"/>
  <c r="F7" i="15"/>
  <c r="M9" i="15"/>
  <c r="F37" i="15"/>
  <c r="M6" i="15"/>
  <c r="N6" i="65"/>
  <c r="F40" i="44"/>
  <c r="C19" i="44"/>
  <c r="F18" i="44"/>
  <c r="B9" i="67"/>
  <c r="M23" i="15"/>
  <c r="F8" i="44"/>
  <c r="N4" i="65"/>
  <c r="E9" i="67"/>
  <c r="F8" i="67"/>
  <c r="L49" i="44"/>
  <c r="L48" i="44"/>
  <c r="M28" i="15"/>
  <c r="F11" i="67"/>
  <c r="F43" i="15"/>
  <c r="F9" i="44"/>
  <c r="B12" i="67"/>
  <c r="F14" i="67"/>
  <c r="F36" i="15"/>
  <c r="F15" i="44"/>
  <c r="M25" i="44"/>
  <c r="N3" i="65"/>
  <c r="F28" i="44"/>
  <c r="E11" i="67"/>
  <c r="I7" i="65"/>
  <c r="F9" i="15"/>
  <c r="M28" i="44"/>
  <c r="F10" i="44"/>
  <c r="J36" i="15"/>
  <c r="M24" i="15"/>
  <c r="M8" i="15"/>
  <c r="M30" i="44"/>
  <c r="F16" i="15"/>
  <c r="F11" i="44"/>
  <c r="J6" i="65"/>
  <c r="B14" i="67"/>
  <c r="J5" i="65"/>
  <c r="F13" i="67"/>
  <c r="E12" i="67"/>
  <c r="L48" i="15"/>
  <c r="N7" i="65"/>
  <c r="M29" i="15"/>
  <c r="J3" i="65"/>
  <c r="N5" i="65"/>
  <c r="F45" i="44"/>
  <c r="I6" i="65"/>
  <c r="E10" i="67"/>
  <c r="M26" i="15"/>
  <c r="B13" i="67"/>
  <c r="F8" i="15"/>
  <c r="M8" i="44"/>
  <c r="M10" i="44"/>
  <c r="F10" i="67"/>
  <c r="F42" i="15"/>
  <c r="F38" i="15"/>
  <c r="F6" i="15"/>
  <c r="F9" i="67"/>
  <c r="E8" i="67"/>
  <c r="I4" i="65"/>
  <c r="F26" i="15"/>
  <c r="F43" i="44"/>
  <c r="I3" i="65"/>
  <c r="B10" i="67"/>
  <c r="I5" i="65"/>
  <c r="M26" i="44"/>
  <c r="M27" i="15"/>
  <c r="B8" i="67"/>
  <c r="J102" i="46" l="1"/>
  <c r="I105" i="46"/>
  <c r="C106" i="46"/>
  <c r="C104" i="46"/>
  <c r="N104" i="46"/>
  <c r="F105" i="46"/>
  <c r="F104" i="46"/>
  <c r="H5" i="3"/>
  <c r="G13" i="3"/>
  <c r="E8" i="6"/>
  <c r="F27" i="6" s="1"/>
  <c r="AB15" i="21"/>
  <c r="F85" i="21"/>
  <c r="G85" i="21" s="1"/>
  <c r="J23" i="21"/>
  <c r="F23" i="21"/>
  <c r="S23" i="21" s="1"/>
  <c r="H23" i="21"/>
  <c r="S19" i="21"/>
  <c r="AA15" i="21"/>
  <c r="AA43" i="21"/>
  <c r="W29" i="21"/>
  <c r="W31" i="21"/>
  <c r="AA29" i="21"/>
  <c r="AA30" i="21"/>
  <c r="AC26" i="21"/>
  <c r="W28" i="21"/>
  <c r="AA23" i="21"/>
  <c r="S21" i="21"/>
  <c r="W17" i="21"/>
  <c r="AA17" i="21"/>
  <c r="U17" i="21"/>
  <c r="AC15" i="21"/>
  <c r="W9" i="21"/>
  <c r="AA44" i="39"/>
  <c r="AB43" i="39"/>
  <c r="AA43" i="39"/>
  <c r="S41" i="39"/>
  <c r="AC44" i="39"/>
  <c r="AB44" i="39"/>
  <c r="AC43" i="39"/>
  <c r="W41" i="39"/>
  <c r="U41" i="39"/>
  <c r="S31" i="39"/>
  <c r="AC31" i="39"/>
  <c r="AB29" i="39"/>
  <c r="S29" i="39"/>
  <c r="W29" i="39"/>
  <c r="H27" i="39"/>
  <c r="AB27" i="39" s="1"/>
  <c r="F101" i="39"/>
  <c r="G101" i="39" s="1"/>
  <c r="F27" i="39"/>
  <c r="J27" i="39"/>
  <c r="AC27" i="39" s="1"/>
  <c r="U27" i="39"/>
  <c r="W27" i="39"/>
  <c r="AB25" i="39"/>
  <c r="S25" i="39"/>
  <c r="W25" i="39"/>
  <c r="U23" i="39"/>
  <c r="W23" i="39"/>
  <c r="S23" i="39"/>
  <c r="AA21" i="39"/>
  <c r="AB19" i="39"/>
  <c r="AA19" i="39"/>
  <c r="AC19" i="39"/>
  <c r="S17" i="39"/>
  <c r="AC17" i="39"/>
  <c r="AB17" i="39"/>
  <c r="AB16" i="39"/>
  <c r="W45" i="39"/>
  <c r="AB45" i="39"/>
  <c r="AB46" i="39"/>
  <c r="AC47" i="39"/>
  <c r="E109" i="46"/>
  <c r="C9" i="12"/>
  <c r="D3" i="21"/>
  <c r="K6" i="1"/>
  <c r="M6" i="1" s="1"/>
  <c r="O6" i="1" s="1"/>
  <c r="G104" i="46"/>
  <c r="B115" i="46"/>
  <c r="C115" i="46" s="1"/>
  <c r="E102" i="46"/>
  <c r="L27" i="6"/>
  <c r="E58" i="39"/>
  <c r="E27" i="6"/>
  <c r="G107" i="46"/>
  <c r="G106" i="46"/>
  <c r="D118" i="46"/>
  <c r="E118" i="46" s="1"/>
  <c r="F118" i="46" s="1"/>
  <c r="I116" i="46"/>
  <c r="J116" i="46" s="1"/>
  <c r="K116" i="46" s="1"/>
  <c r="L116" i="46" s="1"/>
  <c r="M116" i="46" s="1"/>
  <c r="L104" i="46"/>
  <c r="E104" i="46"/>
  <c r="E10" i="6"/>
  <c r="E14" i="6"/>
  <c r="E66" i="39" s="1"/>
  <c r="G9" i="1"/>
  <c r="G6" i="1"/>
  <c r="G8" i="1"/>
  <c r="E60" i="40"/>
  <c r="C105" i="46"/>
  <c r="C102" i="46"/>
  <c r="C107" i="46"/>
  <c r="J103" i="46"/>
  <c r="J107" i="46"/>
  <c r="N109" i="46"/>
  <c r="H16" i="1"/>
  <c r="C18" i="9"/>
  <c r="M43" i="9" s="1"/>
  <c r="H42" i="21"/>
  <c r="AB42" i="21" s="1"/>
  <c r="J42" i="21"/>
  <c r="AC42" i="21" s="1"/>
  <c r="G123" i="21"/>
  <c r="H123" i="21" s="1"/>
  <c r="I123" i="21" s="1"/>
  <c r="J123" i="21" s="1"/>
  <c r="K123" i="21" s="1"/>
  <c r="L123" i="21" s="1"/>
  <c r="M123" i="21" s="1"/>
  <c r="F42" i="21"/>
  <c r="AA42" i="21" s="1"/>
  <c r="U42" i="21"/>
  <c r="W42" i="21"/>
  <c r="A30" i="64"/>
  <c r="A30" i="51"/>
  <c r="B22" i="63" s="1"/>
  <c r="S32" i="21"/>
  <c r="AB32" i="21"/>
  <c r="W32" i="21"/>
  <c r="S8" i="21"/>
  <c r="B41" i="1"/>
  <c r="M20" i="15"/>
  <c r="M22" i="44"/>
  <c r="U14" i="39"/>
  <c r="W14" i="39"/>
  <c r="N103" i="46"/>
  <c r="I109" i="46"/>
  <c r="H109" i="46"/>
  <c r="K109" i="46"/>
  <c r="B118" i="46"/>
  <c r="C118" i="46" s="1"/>
  <c r="I117" i="46"/>
  <c r="J117" i="46" s="1"/>
  <c r="K117" i="46" s="1"/>
  <c r="L117" i="46" s="1"/>
  <c r="M117" i="46" s="1"/>
  <c r="B116" i="46"/>
  <c r="C116" i="46" s="1"/>
  <c r="I118" i="46"/>
  <c r="J118" i="46" s="1"/>
  <c r="K118" i="46" s="1"/>
  <c r="L118" i="46" s="1"/>
  <c r="M118" i="46" s="1"/>
  <c r="L107" i="46"/>
  <c r="L109" i="46"/>
  <c r="L102" i="46"/>
  <c r="E105" i="46"/>
  <c r="K104" i="46"/>
  <c r="K107" i="46"/>
  <c r="D105" i="46"/>
  <c r="H106" i="46"/>
  <c r="G109" i="46"/>
  <c r="G105" i="46"/>
  <c r="G102" i="46"/>
  <c r="B117" i="46"/>
  <c r="C117" i="46" s="1"/>
  <c r="D115" i="46"/>
  <c r="E115" i="46" s="1"/>
  <c r="F115" i="46" s="1"/>
  <c r="G115" i="46" s="1"/>
  <c r="H115" i="46" s="1"/>
  <c r="D117" i="46"/>
  <c r="E117" i="46" s="1"/>
  <c r="F117" i="46" s="1"/>
  <c r="G117" i="46" s="1"/>
  <c r="H117" i="46" s="1"/>
  <c r="D116" i="46"/>
  <c r="E116" i="46" s="1"/>
  <c r="F116" i="46" s="1"/>
  <c r="G116" i="46" s="1"/>
  <c r="H116" i="46" s="1"/>
  <c r="L103" i="46"/>
  <c r="L106" i="46"/>
  <c r="E107" i="46"/>
  <c r="E103" i="46"/>
  <c r="K105" i="46"/>
  <c r="K106" i="46"/>
  <c r="D104" i="46"/>
  <c r="E29" i="6"/>
  <c r="M7" i="1"/>
  <c r="M16" i="1" s="1"/>
  <c r="F106" i="46"/>
  <c r="F109" i="46"/>
  <c r="F102" i="46"/>
  <c r="F103" i="46"/>
  <c r="BL5" i="3"/>
  <c r="AZ13" i="3"/>
  <c r="AZ5" i="3" s="1"/>
  <c r="I4" i="6"/>
  <c r="C13" i="39" s="1"/>
  <c r="D22" i="46"/>
  <c r="C21" i="46" s="1"/>
  <c r="D106" i="46"/>
  <c r="D107" i="46"/>
  <c r="D103" i="46"/>
  <c r="D109" i="46"/>
  <c r="H102" i="46"/>
  <c r="H107" i="46"/>
  <c r="H105" i="46"/>
  <c r="H104" i="46"/>
  <c r="F30" i="6"/>
  <c r="E15" i="6"/>
  <c r="E12" i="6"/>
  <c r="E11" i="6"/>
  <c r="D21" i="12"/>
  <c r="C21" i="12" s="1"/>
  <c r="O11" i="1"/>
  <c r="P11" i="1" s="1"/>
  <c r="O12" i="1"/>
  <c r="P12" i="1" s="1"/>
  <c r="O14" i="1"/>
  <c r="P14" i="1" s="1"/>
  <c r="O9" i="1"/>
  <c r="P9" i="1" s="1"/>
  <c r="O13" i="1"/>
  <c r="P13" i="1" s="1"/>
  <c r="J109" i="46"/>
  <c r="J105" i="46"/>
  <c r="J104" i="46"/>
  <c r="I107" i="46"/>
  <c r="N102" i="46"/>
  <c r="N106" i="46"/>
  <c r="I103" i="46"/>
  <c r="N107" i="46"/>
  <c r="I104" i="46"/>
  <c r="M105" i="46"/>
  <c r="M102" i="46"/>
  <c r="M106" i="46"/>
  <c r="I106" i="46"/>
  <c r="M109" i="46"/>
  <c r="M103" i="46"/>
  <c r="I14" i="66"/>
  <c r="B8" i="66" s="1"/>
  <c r="A25" i="51"/>
  <c r="B18" i="63" s="1"/>
  <c r="G10" i="1"/>
  <c r="G13" i="1"/>
  <c r="F5" i="59"/>
  <c r="V5" i="59" s="1"/>
  <c r="V6" i="59"/>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H7" i="34"/>
  <c r="F7" i="34"/>
  <c r="D70" i="39"/>
  <c r="C72" i="39"/>
  <c r="C67" i="40"/>
  <c r="D65" i="40"/>
  <c r="J7" i="33"/>
  <c r="J7" i="21"/>
  <c r="C18" i="11"/>
  <c r="K77" i="9"/>
  <c r="K79" i="9" s="1"/>
  <c r="K81" i="9" s="1"/>
  <c r="E12" i="52"/>
  <c r="B15" i="52"/>
  <c r="F31" i="15"/>
  <c r="F33" i="44"/>
  <c r="D9" i="59"/>
  <c r="C8" i="59"/>
  <c r="E10" i="59"/>
  <c r="E9" i="59" s="1"/>
  <c r="E8" i="59" s="1"/>
  <c r="E7" i="59" s="1"/>
  <c r="E6" i="59" s="1"/>
  <c r="B10" i="59"/>
  <c r="B9" i="59" s="1"/>
  <c r="B8" i="59" s="1"/>
  <c r="B7" i="59" s="1"/>
  <c r="B6" i="59" s="1"/>
  <c r="X9" i="59"/>
  <c r="Y9" i="59"/>
  <c r="Z9" i="59" s="1"/>
  <c r="B4" i="52"/>
  <c r="B7" i="52"/>
  <c r="E14" i="52"/>
  <c r="E6" i="52"/>
  <c r="E11" i="52"/>
  <c r="E9" i="52"/>
  <c r="E7" i="52"/>
  <c r="B9" i="52"/>
  <c r="E4" i="52"/>
  <c r="E13" i="52"/>
  <c r="B8" i="52"/>
  <c r="E10" i="52"/>
  <c r="B10" i="52"/>
  <c r="B6" i="52"/>
  <c r="B5" i="52"/>
  <c r="B11" i="52"/>
  <c r="B12" i="52"/>
  <c r="E8" i="52"/>
  <c r="B14" i="52"/>
  <c r="E5" i="52"/>
  <c r="Y3" i="59"/>
  <c r="Z3" i="59" s="1"/>
  <c r="AB10" i="59"/>
  <c r="AA10" i="59"/>
  <c r="D10" i="59"/>
  <c r="Y10" i="59"/>
  <c r="Z10" i="59" s="1"/>
  <c r="P22" i="46"/>
  <c r="P24" i="46"/>
  <c r="B68" i="40" s="1"/>
  <c r="P23" i="46"/>
  <c r="P25" i="46"/>
  <c r="B73" i="39" s="1"/>
  <c r="P21"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J22" i="44"/>
  <c r="F63" i="15"/>
  <c r="C4" i="65"/>
  <c r="B39" i="1" s="1"/>
  <c r="C16" i="15"/>
  <c r="C18" i="44"/>
  <c r="E3" i="65"/>
  <c r="E2" i="65"/>
  <c r="E53" i="40" l="1"/>
  <c r="F31" i="6"/>
  <c r="G5" i="3"/>
  <c r="B3" i="3" s="1"/>
  <c r="E13" i="3" s="1"/>
  <c r="U23" i="21"/>
  <c r="AB23" i="21"/>
  <c r="W23" i="21"/>
  <c r="AC23" i="21"/>
  <c r="AA27" i="39"/>
  <c r="S27" i="39"/>
  <c r="AP16" i="1"/>
  <c r="F22" i="11" s="1"/>
  <c r="P6" i="1"/>
  <c r="C15" i="12" s="1"/>
  <c r="O7" i="1"/>
  <c r="P7" i="1" s="1"/>
  <c r="Q16" i="1"/>
  <c r="F33" i="12" s="1"/>
  <c r="C34" i="12" s="1"/>
  <c r="D33" i="12" s="1"/>
  <c r="E61" i="40"/>
  <c r="K19" i="6"/>
  <c r="K24" i="6"/>
  <c r="M24" i="6" s="1"/>
  <c r="I24" i="6" s="1"/>
  <c r="S24" i="6" s="1"/>
  <c r="K23" i="6"/>
  <c r="M23" i="6" s="1"/>
  <c r="I23" i="6" s="1"/>
  <c r="S23" i="6" s="1"/>
  <c r="K21" i="6"/>
  <c r="K20" i="6"/>
  <c r="K26" i="6"/>
  <c r="M26" i="6" s="1"/>
  <c r="I26" i="6" s="1"/>
  <c r="S26" i="6" s="1"/>
  <c r="K22" i="6"/>
  <c r="M22" i="6" s="1"/>
  <c r="I22" i="6" s="1"/>
  <c r="S22" i="6" s="1"/>
  <c r="K25" i="6"/>
  <c r="M25" i="6" s="1"/>
  <c r="I25" i="6" s="1"/>
  <c r="S25" i="6" s="1"/>
  <c r="C11" i="21"/>
  <c r="H13" i="39"/>
  <c r="J13" i="39"/>
  <c r="F13" i="39"/>
  <c r="D113" i="46"/>
  <c r="S5" i="46"/>
  <c r="S3" i="46"/>
  <c r="S6" i="46"/>
  <c r="S2" i="46"/>
  <c r="S7" i="46"/>
  <c r="S4" i="46"/>
  <c r="D18" i="9"/>
  <c r="M44" i="9" s="1"/>
  <c r="S42" i="21"/>
  <c r="F66" i="9"/>
  <c r="P72" i="9" s="1"/>
  <c r="F70" i="9"/>
  <c r="F30" i="44"/>
  <c r="C30" i="44" s="1"/>
  <c r="F27" i="43"/>
  <c r="C27" i="43" s="1"/>
  <c r="F71" i="9"/>
  <c r="F29" i="12"/>
  <c r="D86" i="9"/>
  <c r="F31" i="43"/>
  <c r="C31" i="43" s="1"/>
  <c r="F28" i="15"/>
  <c r="C28" i="15" s="1"/>
  <c r="F34" i="44"/>
  <c r="F72" i="9"/>
  <c r="F32" i="15"/>
  <c r="F59" i="15" s="1"/>
  <c r="M20" i="44"/>
  <c r="M18" i="15"/>
  <c r="E3" i="6"/>
  <c r="AY6" i="3"/>
  <c r="K15" i="1"/>
  <c r="K16" i="1" s="1"/>
  <c r="E30" i="6"/>
  <c r="E31" i="6" s="1"/>
  <c r="E64" i="39"/>
  <c r="E59" i="40"/>
  <c r="E16" i="6"/>
  <c r="E63" i="39"/>
  <c r="E58" i="40"/>
  <c r="E67" i="39"/>
  <c r="E62" i="40"/>
  <c r="L16" i="1"/>
  <c r="N16" i="1"/>
  <c r="C29" i="43" s="1"/>
  <c r="C13" i="43"/>
  <c r="G16" i="1"/>
  <c r="J12" i="39" s="1"/>
  <c r="F7" i="21"/>
  <c r="AA7" i="21" s="1"/>
  <c r="H7" i="21"/>
  <c r="AB7" i="21" s="1"/>
  <c r="B5" i="59"/>
  <c r="S5" i="59" s="1"/>
  <c r="S6" i="59"/>
  <c r="E5" i="59"/>
  <c r="U5" i="59" s="1"/>
  <c r="U6" i="59"/>
  <c r="F58" i="15"/>
  <c r="H7" i="35"/>
  <c r="U7" i="35" s="1"/>
  <c r="B40" i="1"/>
  <c r="E65" i="40"/>
  <c r="D67" i="40"/>
  <c r="AC7" i="33"/>
  <c r="V48" i="33" s="1"/>
  <c r="I48" i="33" s="1"/>
  <c r="W7" i="33"/>
  <c r="S7" i="34"/>
  <c r="AA7" i="34"/>
  <c r="R49" i="34" s="1"/>
  <c r="W7" i="34"/>
  <c r="AC7" i="34"/>
  <c r="V49" i="34" s="1"/>
  <c r="I49" i="34" s="1"/>
  <c r="J7" i="37"/>
  <c r="W7" i="21"/>
  <c r="AC7" i="21"/>
  <c r="D72" i="39"/>
  <c r="E70" i="39"/>
  <c r="AB7" i="34"/>
  <c r="T49" i="34" s="1"/>
  <c r="G49" i="34" s="1"/>
  <c r="U7" i="34"/>
  <c r="H7" i="33"/>
  <c r="F7" i="33"/>
  <c r="J46" i="36"/>
  <c r="J7" i="35"/>
  <c r="F7" i="35"/>
  <c r="H7" i="37"/>
  <c r="F7" i="37"/>
  <c r="D8" i="59"/>
  <c r="C7"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O16" i="1" l="1"/>
  <c r="E23" i="3"/>
  <c r="AM6" i="3"/>
  <c r="E158" i="3"/>
  <c r="E472" i="3"/>
  <c r="E537" i="3"/>
  <c r="E452" i="3"/>
  <c r="E536" i="3"/>
  <c r="E462" i="3"/>
  <c r="E545" i="3"/>
  <c r="E482" i="3"/>
  <c r="N6" i="3"/>
  <c r="E363" i="3"/>
  <c r="E79" i="3"/>
  <c r="E401" i="3"/>
  <c r="E272" i="3"/>
  <c r="E139" i="3"/>
  <c r="E445" i="3"/>
  <c r="E556" i="3"/>
  <c r="E291" i="3"/>
  <c r="E527" i="3"/>
  <c r="E365" i="3"/>
  <c r="E248" i="3"/>
  <c r="E369" i="3"/>
  <c r="E309"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265" i="3"/>
  <c r="E54" i="3"/>
  <c r="E397" i="3"/>
  <c r="E184" i="3"/>
  <c r="E289" i="3"/>
  <c r="E425" i="3"/>
  <c r="E451" i="3"/>
  <c r="E305" i="3"/>
  <c r="E126" i="3"/>
  <c r="E347"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213" i="3"/>
  <c r="E473" i="3"/>
  <c r="E257" i="3"/>
  <c r="E52" i="3"/>
  <c r="E73" i="3"/>
  <c r="E517" i="3"/>
  <c r="E453" i="3"/>
  <c r="AQ6" i="3"/>
  <c r="E162" i="3"/>
  <c r="E235" i="3"/>
  <c r="E229" i="3"/>
  <c r="E120" i="3"/>
  <c r="E191" i="3"/>
  <c r="E555" i="3"/>
  <c r="E355" i="3"/>
  <c r="E499" i="3"/>
  <c r="E558" i="3"/>
  <c r="E173" i="3"/>
  <c r="E436" i="3"/>
  <c r="E260" i="3"/>
  <c r="E546" i="3"/>
  <c r="E474" i="3"/>
  <c r="E15" i="3"/>
  <c r="E171" i="3"/>
  <c r="E251" i="3"/>
  <c r="E354" i="3"/>
  <c r="E56" i="3"/>
  <c r="E531" i="3"/>
  <c r="E122" i="3"/>
  <c r="E495" i="3"/>
  <c r="E208" i="3"/>
  <c r="E344" i="3"/>
  <c r="E485" i="3"/>
  <c r="E335" i="3"/>
  <c r="E483" i="3"/>
  <c r="E366" i="3"/>
  <c r="E532" i="3"/>
  <c r="E330" i="3"/>
  <c r="E340" i="3"/>
  <c r="E350" i="3"/>
  <c r="E521" i="3"/>
  <c r="E496"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337" i="3"/>
  <c r="E253" i="3"/>
  <c r="E47" i="3"/>
  <c r="E113" i="3"/>
  <c r="U6" i="3"/>
  <c r="E211" i="3"/>
  <c r="E400" i="3"/>
  <c r="E58" i="3"/>
  <c r="E197" i="3"/>
  <c r="E285" i="3"/>
  <c r="E61" i="3"/>
  <c r="E433" i="3"/>
  <c r="E529" i="3"/>
  <c r="E300" i="3"/>
  <c r="E379" i="3"/>
  <c r="E530" i="3"/>
  <c r="E538" i="3"/>
  <c r="E403" i="3"/>
  <c r="E217" i="3"/>
  <c r="E177" i="3"/>
  <c r="E320" i="3"/>
  <c r="E392" i="3"/>
  <c r="E45" i="3"/>
  <c r="E373" i="3"/>
  <c r="E284" i="3"/>
  <c r="E360" i="3"/>
  <c r="E42" i="3"/>
  <c r="T6" i="3"/>
  <c r="E181" i="3"/>
  <c r="E144" i="3"/>
  <c r="E269" i="3"/>
  <c r="E219" i="3"/>
  <c r="E338" i="3"/>
  <c r="E506" i="3"/>
  <c r="E562" i="3"/>
  <c r="E571" i="3"/>
  <c r="E518" i="3"/>
  <c r="E497" i="3"/>
  <c r="E167" i="3"/>
  <c r="E566" i="3"/>
  <c r="E515" i="3"/>
  <c r="E553" i="3"/>
  <c r="E49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E103" i="3"/>
  <c r="E548" i="3"/>
  <c r="E200" i="3"/>
  <c r="Z6" i="3"/>
  <c r="E62" i="3"/>
  <c r="E454" i="3"/>
  <c r="E389" i="3"/>
  <c r="E520" i="3"/>
  <c r="E230" i="3"/>
  <c r="AK6" i="3"/>
  <c r="E14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E311" i="3"/>
  <c r="E222" i="3"/>
  <c r="E263" i="3"/>
  <c r="E388" i="3"/>
  <c r="E424" i="3"/>
  <c r="E430" i="3"/>
  <c r="E82" i="3"/>
  <c r="E146" i="3"/>
  <c r="E164" i="3"/>
  <c r="E77" i="3"/>
  <c r="E99" i="3"/>
  <c r="E434" i="3"/>
  <c r="E262" i="3"/>
  <c r="E552" i="3"/>
  <c r="E101" i="3"/>
  <c r="E57" i="3"/>
  <c r="I6" i="3"/>
  <c r="C33" i="21"/>
  <c r="E308" i="3"/>
  <c r="E370" i="3"/>
  <c r="E276" i="3"/>
  <c r="E43" i="3"/>
  <c r="E479" i="3"/>
  <c r="E258" i="3"/>
  <c r="E25" i="3"/>
  <c r="E102" i="3"/>
  <c r="E245" i="3"/>
  <c r="E539" i="3"/>
  <c r="E568" i="3"/>
  <c r="E247" i="3"/>
  <c r="E422" i="3"/>
  <c r="E129" i="3"/>
  <c r="E63" i="3"/>
  <c r="E442" i="3"/>
  <c r="E490" i="3"/>
  <c r="E423" i="3"/>
  <c r="E225" i="3"/>
  <c r="E296" i="3"/>
  <c r="E78" i="3"/>
  <c r="E443" i="3"/>
  <c r="AD6" i="3"/>
  <c r="E283" i="3"/>
  <c r="E156" i="3"/>
  <c r="E49" i="3"/>
  <c r="E193" i="3"/>
  <c r="E104" i="3"/>
  <c r="E534" i="3"/>
  <c r="E387" i="3"/>
  <c r="R6" i="3"/>
  <c r="E125" i="3"/>
  <c r="AH6" i="3"/>
  <c r="P6" i="3"/>
  <c r="E84" i="3"/>
  <c r="AP6" i="3"/>
  <c r="E431" i="3"/>
  <c r="E70" i="3"/>
  <c r="E38" i="3"/>
  <c r="E151" i="3"/>
  <c r="E313" i="3"/>
  <c r="E53" i="3"/>
  <c r="E405" i="3"/>
  <c r="W6" i="3"/>
  <c r="E293" i="3"/>
  <c r="E190" i="3"/>
  <c r="E560" i="3"/>
  <c r="E420" i="3"/>
  <c r="E111" i="3"/>
  <c r="E233" i="3"/>
  <c r="E261" i="3"/>
  <c r="L6" i="3"/>
  <c r="E467" i="3"/>
  <c r="E429" i="3"/>
  <c r="E67" i="3"/>
  <c r="E116" i="3"/>
  <c r="E214" i="3"/>
  <c r="E372" i="3"/>
  <c r="E486" i="3"/>
  <c r="E465" i="3"/>
  <c r="E543" i="3"/>
  <c r="E154" i="3"/>
  <c r="E264" i="3"/>
  <c r="E2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B16" i="3"/>
  <c r="AW16" i="3" s="1"/>
  <c r="Y6" i="3"/>
  <c r="E336" i="3"/>
  <c r="E259" i="3"/>
  <c r="E196" i="3"/>
  <c r="E449" i="3"/>
  <c r="E207" i="3"/>
  <c r="E204" i="3"/>
  <c r="O6" i="3"/>
  <c r="E166" i="3"/>
  <c r="E332" i="3"/>
  <c r="E85" i="3"/>
  <c r="E136" i="3"/>
  <c r="E398" i="3"/>
  <c r="E98" i="3"/>
  <c r="E174" i="3"/>
  <c r="E110" i="3"/>
  <c r="E218" i="3"/>
  <c r="E435" i="3"/>
  <c r="E199" i="3"/>
  <c r="E187" i="3"/>
  <c r="E390" i="3"/>
  <c r="E194" i="3"/>
  <c r="E535" i="3"/>
  <c r="E381" i="3"/>
  <c r="E427" i="3"/>
  <c r="E278" i="3"/>
  <c r="E94" i="3"/>
  <c r="E376" i="3"/>
  <c r="E294" i="3"/>
  <c r="E21" i="3"/>
  <c r="E64" i="3"/>
  <c r="E140" i="3"/>
  <c r="E343" i="3"/>
  <c r="E142" i="3"/>
  <c r="E410" i="3"/>
  <c r="E468" i="3"/>
  <c r="E109" i="3"/>
  <c r="E185" i="3"/>
  <c r="E148" i="3"/>
  <c r="E27" i="3"/>
  <c r="E412" i="3"/>
  <c r="E469" i="3"/>
  <c r="E232" i="3"/>
  <c r="E533" i="3"/>
  <c r="E189" i="3"/>
  <c r="E37" i="3"/>
  <c r="E507" i="3"/>
  <c r="E303" i="3"/>
  <c r="E275" i="3"/>
  <c r="E203" i="3"/>
  <c r="E39" i="3"/>
  <c r="E402" i="3"/>
  <c r="E107" i="3"/>
  <c r="E172" i="3"/>
  <c r="E288" i="3"/>
  <c r="E255" i="3"/>
  <c r="E393" i="3"/>
  <c r="E417" i="3"/>
  <c r="E88" i="3"/>
  <c r="E145" i="3"/>
  <c r="E480" i="3"/>
  <c r="E279" i="3"/>
  <c r="E220"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M21" i="6"/>
  <c r="I21" i="6" s="1"/>
  <c r="S21" i="6" s="1"/>
  <c r="S8" i="1"/>
  <c r="P16" i="1"/>
  <c r="C13" i="12" s="1"/>
  <c r="C14" i="12" s="1"/>
  <c r="F24" i="43"/>
  <c r="C26" i="43" s="1"/>
  <c r="D24" i="43" s="1"/>
  <c r="M20" i="6"/>
  <c r="I20" i="6" s="1"/>
  <c r="S20" i="6" s="1"/>
  <c r="S7" i="1"/>
  <c r="S6" i="1"/>
  <c r="M19" i="6"/>
  <c r="K27" i="6"/>
  <c r="AC13" i="39"/>
  <c r="W13" i="39"/>
  <c r="H11" i="21"/>
  <c r="F11" i="21"/>
  <c r="J11" i="21"/>
  <c r="S13" i="39"/>
  <c r="AA13" i="39"/>
  <c r="AB13" i="39"/>
  <c r="U13" i="39"/>
  <c r="U7" i="21"/>
  <c r="S7" i="21"/>
  <c r="L38" i="9"/>
  <c r="B14" i="66" s="1"/>
  <c r="B1" i="66" s="1"/>
  <c r="C21" i="4"/>
  <c r="O5" i="54" s="1"/>
  <c r="B45" i="63" s="1"/>
  <c r="D46" i="9"/>
  <c r="D16" i="43"/>
  <c r="C16" i="43" s="1"/>
  <c r="D44" i="9"/>
  <c r="D16" i="12"/>
  <c r="E6" i="6"/>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530" i="3"/>
  <c r="AY97" i="3"/>
  <c r="AY198" i="3"/>
  <c r="AY77" i="3"/>
  <c r="AY73" i="3"/>
  <c r="AY57" i="3"/>
  <c r="AY262" i="3"/>
  <c r="AY349" i="3"/>
  <c r="AY397" i="3"/>
  <c r="AY149" i="3"/>
  <c r="AY379" i="3"/>
  <c r="AY463" i="3"/>
  <c r="AY135" i="3"/>
  <c r="AY372" i="3"/>
  <c r="AY62" i="3"/>
  <c r="AY376" i="3"/>
  <c r="AY155" i="3"/>
  <c r="AY450"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109" i="3"/>
  <c r="AY537" i="3"/>
  <c r="AY144" i="3"/>
  <c r="AY232" i="3"/>
  <c r="AY49" i="3"/>
  <c r="AY381" i="3"/>
  <c r="AY178" i="3"/>
  <c r="AY550" i="3"/>
  <c r="AY389" i="3"/>
  <c r="AY122" i="3"/>
  <c r="AY457" i="3"/>
  <c r="AY412" i="3"/>
  <c r="AY201" i="3"/>
  <c r="AY330" i="3"/>
  <c r="AY449" i="3"/>
  <c r="AY13" i="3"/>
  <c r="AY275" i="3"/>
  <c r="AY556" i="3"/>
  <c r="AY114" i="3"/>
  <c r="AY38" i="3"/>
  <c r="AY558" i="3"/>
  <c r="AY424" i="3"/>
  <c r="AY156" i="3"/>
  <c r="AY378" i="3"/>
  <c r="AY27" i="3"/>
  <c r="BD6" i="3"/>
  <c r="AY160" i="3"/>
  <c r="AY145" i="3"/>
  <c r="AY472" i="3"/>
  <c r="AY233" i="3"/>
  <c r="AY131" i="3"/>
  <c r="AY520" i="3"/>
  <c r="AY453" i="3"/>
  <c r="AY184" i="3"/>
  <c r="AY151" i="3"/>
  <c r="AY531" i="3"/>
  <c r="AY137" i="3"/>
  <c r="AY244" i="3"/>
  <c r="AY553" i="3"/>
  <c r="AY480" i="3"/>
  <c r="AY299" i="3"/>
  <c r="AY90" i="3"/>
  <c r="AY351" i="3"/>
  <c r="AY358" i="3"/>
  <c r="AY328" i="3"/>
  <c r="AY344" i="3"/>
  <c r="AY483" i="3"/>
  <c r="AY506" i="3"/>
  <c r="AY108" i="3"/>
  <c r="AY240" i="3"/>
  <c r="AY440" i="3"/>
  <c r="AY235" i="3"/>
  <c r="AY195" i="3"/>
  <c r="AY281" i="3"/>
  <c r="AY322" i="3"/>
  <c r="AY395" i="3"/>
  <c r="AY189" i="3"/>
  <c r="AY393" i="3"/>
  <c r="BO6" i="3"/>
  <c r="AY490" i="3"/>
  <c r="AY210" i="3"/>
  <c r="AY297" i="3"/>
  <c r="AY213" i="3"/>
  <c r="AY502" i="3"/>
  <c r="AY110" i="3"/>
  <c r="AY298" i="3"/>
  <c r="AY403" i="3"/>
  <c r="AY514" i="3"/>
  <c r="AY454" i="3"/>
  <c r="AY391" i="3"/>
  <c r="AY507" i="3"/>
  <c r="AY48" i="3"/>
  <c r="AY513" i="3"/>
  <c r="AY347" i="3"/>
  <c r="AY345" i="3"/>
  <c r="AY237" i="3"/>
  <c r="AY173" i="3"/>
  <c r="AY533" i="3"/>
  <c r="AY89" i="3"/>
  <c r="AY102" i="3"/>
  <c r="AY33" i="3"/>
  <c r="AY473" i="3"/>
  <c r="AY551" i="3"/>
  <c r="AY94" i="3"/>
  <c r="AY511" i="3"/>
  <c r="AY87" i="3"/>
  <c r="AY142" i="3"/>
  <c r="AY136" i="3"/>
  <c r="AY448" i="3"/>
  <c r="AY326" i="3"/>
  <c r="AY294" i="3"/>
  <c r="AY269" i="3"/>
  <c r="AY302" i="3"/>
  <c r="AY307" i="3"/>
  <c r="BC6" i="3"/>
  <c r="AY543" i="3"/>
  <c r="AY91" i="3"/>
  <c r="AY191" i="3"/>
  <c r="AY274" i="3"/>
  <c r="AY414" i="3"/>
  <c r="AY304" i="3"/>
  <c r="AY227" i="3"/>
  <c r="AY120" i="3"/>
  <c r="AY266" i="3"/>
  <c r="AY14" i="3"/>
  <c r="AY193" i="3"/>
  <c r="BN6" i="3"/>
  <c r="BL6" i="3"/>
  <c r="AY248" i="3"/>
  <c r="AY96" i="3"/>
  <c r="AY329" i="3"/>
  <c r="AY206" i="3"/>
  <c r="AY249" i="3"/>
  <c r="AY225" i="3"/>
  <c r="BQ6" i="3"/>
  <c r="AY360" i="3"/>
  <c r="AY485" i="3"/>
  <c r="AY565" i="3"/>
  <c r="BP6" i="3"/>
  <c r="AY399" i="3"/>
  <c r="AY199" i="3"/>
  <c r="AY174" i="3"/>
  <c r="AY153" i="3"/>
  <c r="AY447" i="3"/>
  <c r="AY375" i="3"/>
  <c r="AY185" i="3"/>
  <c r="AY559" i="3"/>
  <c r="AY63" i="3"/>
  <c r="AY223" i="3"/>
  <c r="AY71" i="3"/>
  <c r="AY190" i="3"/>
  <c r="AY60" i="3"/>
  <c r="AY475" i="3"/>
  <c r="AY40" i="3"/>
  <c r="AY401" i="3"/>
  <c r="AY495" i="3"/>
  <c r="AY267" i="3"/>
  <c r="AY363" i="3"/>
  <c r="AY545" i="3"/>
  <c r="AY339" i="3"/>
  <c r="AY433" i="3"/>
  <c r="AY547" i="3"/>
  <c r="AY455" i="3"/>
  <c r="AY468" i="3"/>
  <c r="AY377" i="3"/>
  <c r="BI6" i="3"/>
  <c r="AY164" i="3"/>
  <c r="AY469" i="3"/>
  <c r="AY177" i="3"/>
  <c r="AY263" i="3"/>
  <c r="AY499" i="3"/>
  <c r="AY524" i="3"/>
  <c r="AY231" i="3"/>
  <c r="AY300" i="3"/>
  <c r="AY19" i="3"/>
  <c r="AY215" i="3"/>
  <c r="AY61" i="3"/>
  <c r="AY23" i="3"/>
  <c r="AY470" i="3"/>
  <c r="AY119" i="3"/>
  <c r="AY59" i="3"/>
  <c r="AY522" i="3"/>
  <c r="AY306" i="3"/>
  <c r="AY332" i="3"/>
  <c r="AY462" i="3"/>
  <c r="AY51" i="3"/>
  <c r="AY541" i="3"/>
  <c r="AY167" i="3"/>
  <c r="AY536" i="3"/>
  <c r="BJ6" i="3"/>
  <c r="AY517" i="3"/>
  <c r="AY535" i="3"/>
  <c r="AY523" i="3"/>
  <c r="AY439" i="3"/>
  <c r="AY180" i="3"/>
  <c r="AY477" i="3"/>
  <c r="AY292" i="3"/>
  <c r="AY452"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C14" i="43"/>
  <c r="C17" i="43"/>
  <c r="C17" i="12"/>
  <c r="F12" i="39"/>
  <c r="F12" i="40"/>
  <c r="J12" i="40"/>
  <c r="AC12" i="39"/>
  <c r="W12" i="39"/>
  <c r="H12" i="40"/>
  <c r="H12" i="3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2" i="35"/>
  <c r="H42" i="35" s="1"/>
  <c r="G43" i="35"/>
  <c r="H43" i="35" s="1"/>
  <c r="AA7" i="33"/>
  <c r="R48" i="33" s="1"/>
  <c r="S7" i="33"/>
  <c r="F70" i="39"/>
  <c r="E72" i="39"/>
  <c r="I53" i="34"/>
  <c r="J53" i="34" s="1"/>
  <c r="R50" i="34"/>
  <c r="E49" i="34"/>
  <c r="I52" i="33"/>
  <c r="J52" i="33" s="1"/>
  <c r="E67" i="40"/>
  <c r="F65" i="40"/>
  <c r="D7" i="59"/>
  <c r="C6"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9" i="46"/>
  <c r="I39" i="46" s="1"/>
  <c r="E38" i="46"/>
  <c r="E34" i="46"/>
  <c r="G34" i="46"/>
  <c r="I34" i="46" s="1"/>
  <c r="J18" i="15"/>
  <c r="J5" i="15"/>
  <c r="C40" i="44"/>
  <c r="J28" i="44"/>
  <c r="J31" i="44" s="1"/>
  <c r="J26" i="44"/>
  <c r="C52" i="15"/>
  <c r="C47" i="15" s="1"/>
  <c r="C10" i="15"/>
  <c r="C5" i="15" s="1"/>
  <c r="C20" i="11"/>
  <c r="C21" i="11" s="1"/>
  <c r="C22" i="11" s="1"/>
  <c r="C23" i="11" s="1"/>
  <c r="B2" i="11" s="1"/>
  <c r="C17" i="15"/>
  <c r="F41" i="15"/>
  <c r="F68" i="15" l="1"/>
  <c r="AC6" i="3"/>
  <c r="H6" i="3"/>
  <c r="J33" i="21"/>
  <c r="H33" i="21"/>
  <c r="F33" i="21"/>
  <c r="I19" i="6"/>
  <c r="M27" i="6"/>
  <c r="S16" i="1"/>
  <c r="T7" i="1" s="1"/>
  <c r="W11" i="21"/>
  <c r="AC11" i="21"/>
  <c r="U11" i="21"/>
  <c r="AB11" i="21"/>
  <c r="S11" i="21"/>
  <c r="AA11" i="21"/>
  <c r="D19" i="12"/>
  <c r="C19" i="12" s="1"/>
  <c r="C16" i="12"/>
  <c r="C18" i="12" s="1"/>
  <c r="D19" i="6"/>
  <c r="D23" i="6"/>
  <c r="D26" i="6"/>
  <c r="D9" i="6"/>
  <c r="D21" i="6"/>
  <c r="D8" i="6"/>
  <c r="D24" i="6"/>
  <c r="D29" i="6"/>
  <c r="D5" i="6"/>
  <c r="D14" i="6"/>
  <c r="H24" i="6"/>
  <c r="R24" i="6" s="1"/>
  <c r="H19" i="6"/>
  <c r="D25" i="6"/>
  <c r="D20" i="6"/>
  <c r="D11" i="6"/>
  <c r="D15" i="6"/>
  <c r="D13" i="6"/>
  <c r="D28" i="6"/>
  <c r="D30" i="6" s="1"/>
  <c r="D22" i="6"/>
  <c r="D10" i="6"/>
  <c r="H25" i="6"/>
  <c r="H22" i="6"/>
  <c r="H26" i="6"/>
  <c r="H21" i="6"/>
  <c r="H23" i="6"/>
  <c r="H20" i="6"/>
  <c r="F46" i="9"/>
  <c r="D12" i="6"/>
  <c r="E63" i="40"/>
  <c r="K38" i="9"/>
  <c r="C14" i="66" s="1"/>
  <c r="B2" i="66" s="1"/>
  <c r="C22" i="4"/>
  <c r="E44" i="9"/>
  <c r="D6" i="6"/>
  <c r="F44" i="9"/>
  <c r="E46" i="9"/>
  <c r="E68" i="39"/>
  <c r="D22" i="12"/>
  <c r="C22" i="12" s="1"/>
  <c r="C20" i="12" s="1"/>
  <c r="D13" i="11"/>
  <c r="C13" i="11" s="1"/>
  <c r="C6" i="66"/>
  <c r="C8" i="66"/>
  <c r="C18" i="43"/>
  <c r="C19" i="43" s="1"/>
  <c r="C25" i="43" s="1"/>
  <c r="C24" i="43" s="1"/>
  <c r="AA12" i="39"/>
  <c r="S12" i="39"/>
  <c r="G33" i="46"/>
  <c r="I33" i="46" s="1"/>
  <c r="C27" i="46" s="1"/>
  <c r="E36" i="46"/>
  <c r="W12" i="40"/>
  <c r="AC12" i="40"/>
  <c r="AA12" i="40"/>
  <c r="S12" i="40"/>
  <c r="U12" i="39"/>
  <c r="AB12" i="39"/>
  <c r="U12" i="40"/>
  <c r="AB12" i="40"/>
  <c r="E37" i="46"/>
  <c r="E35" i="46"/>
  <c r="C5" i="59"/>
  <c r="T6" i="59"/>
  <c r="F67" i="40"/>
  <c r="G65" i="40"/>
  <c r="C50" i="34"/>
  <c r="B3" i="34" s="1"/>
  <c r="B2" i="34" s="1"/>
  <c r="C49" i="34"/>
  <c r="G70" i="39"/>
  <c r="F72" i="39"/>
  <c r="R49" i="33"/>
  <c r="E48" i="33"/>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D6" i="59"/>
  <c r="E29" i="46"/>
  <c r="C65" i="15"/>
  <c r="C59" i="15"/>
  <c r="B5" i="11"/>
  <c r="B3" i="11"/>
  <c r="B4" i="11"/>
  <c r="J26" i="15"/>
  <c r="J29" i="15" s="1"/>
  <c r="J24" i="15"/>
  <c r="C38" i="15"/>
  <c r="Q58" i="44"/>
  <c r="Q67" i="44"/>
  <c r="Q49" i="44"/>
  <c r="Q55" i="44" s="1"/>
  <c r="F7" i="67"/>
  <c r="E6" i="3" l="1"/>
  <c r="T6" i="1"/>
  <c r="U33" i="21"/>
  <c r="AB33" i="21"/>
  <c r="T48" i="21" s="1"/>
  <c r="G48" i="21" s="1"/>
  <c r="S33" i="21"/>
  <c r="AA33" i="21"/>
  <c r="R48" i="21" s="1"/>
  <c r="W33" i="21"/>
  <c r="AC33" i="21"/>
  <c r="V48" i="21" s="1"/>
  <c r="I48" i="21" s="1"/>
  <c r="I52" i="21" s="1"/>
  <c r="J52" i="21" s="1"/>
  <c r="R23" i="6"/>
  <c r="T10" i="1"/>
  <c r="T9" i="1"/>
  <c r="T8" i="1"/>
  <c r="T13" i="1"/>
  <c r="T11" i="1"/>
  <c r="T12" i="1"/>
  <c r="I27" i="6"/>
  <c r="S19" i="6"/>
  <c r="S27" i="6" s="1"/>
  <c r="H27" i="6"/>
  <c r="D16" i="6"/>
  <c r="R21" i="6"/>
  <c r="R8" i="1" s="1"/>
  <c r="C23" i="12"/>
  <c r="A6" i="51"/>
  <c r="B7" i="63" s="1"/>
  <c r="A6" i="64"/>
  <c r="A20" i="64"/>
  <c r="A20" i="51"/>
  <c r="B15" i="63" s="1"/>
  <c r="N5" i="54"/>
  <c r="B43" i="63" s="1"/>
  <c r="R22" i="6"/>
  <c r="R25" i="6"/>
  <c r="R26" i="6"/>
  <c r="R19" i="6"/>
  <c r="D27" i="6"/>
  <c r="D31" i="6" s="1"/>
  <c r="D6" i="66"/>
  <c r="D8" i="66"/>
  <c r="R20" i="6"/>
  <c r="R7" i="1" s="1"/>
  <c r="T5" i="59"/>
  <c r="D5"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F35" i="15"/>
  <c r="M21" i="15"/>
  <c r="C16" i="44"/>
  <c r="C14" i="15"/>
  <c r="E7" i="67"/>
  <c r="B7" i="67"/>
  <c r="J20" i="15" l="1"/>
  <c r="F62" i="15"/>
  <c r="C61" i="15" s="1"/>
  <c r="C34" i="15"/>
  <c r="G53" i="21"/>
  <c r="H53" i="21" s="1"/>
  <c r="G52" i="21"/>
  <c r="H52" i="21" s="1"/>
  <c r="E48" i="21"/>
  <c r="E53" i="21" s="1"/>
  <c r="F53" i="21" s="1"/>
  <c r="R49" i="21"/>
  <c r="C49" i="21" s="1"/>
  <c r="B3" i="21" s="1"/>
  <c r="T16" i="1"/>
  <c r="C18" i="15"/>
  <c r="C15" i="15"/>
  <c r="C20" i="44"/>
  <c r="C17" i="44"/>
  <c r="C48" i="21"/>
  <c r="E52" i="21"/>
  <c r="F52" i="21" s="1"/>
  <c r="R27" i="6"/>
  <c r="R6" i="1"/>
  <c r="R16" i="1" s="1"/>
  <c r="I6" i="6"/>
  <c r="I5" i="6"/>
  <c r="I65" i="40"/>
  <c r="H67" i="40"/>
  <c r="H72" i="39"/>
  <c r="I70" i="39"/>
  <c r="N46" i="36"/>
  <c r="E3" i="67"/>
  <c r="B2" i="67"/>
  <c r="D4" i="46"/>
  <c r="B3" i="46"/>
  <c r="B4" i="46"/>
  <c r="I53" i="21" l="1"/>
  <c r="J53" i="21" s="1"/>
  <c r="B2" i="21"/>
  <c r="C10" i="12" s="1"/>
  <c r="C8" i="12"/>
  <c r="C21" i="44"/>
  <c r="C19" i="15"/>
  <c r="C20" i="15" s="1"/>
  <c r="C26" i="15" s="1"/>
  <c r="C22" i="44"/>
  <c r="C28" i="44" s="1"/>
  <c r="O46" i="36"/>
  <c r="J7" i="36" s="1"/>
  <c r="F7" i="36"/>
  <c r="H7" i="36"/>
  <c r="J65" i="40"/>
  <c r="I67" i="40"/>
  <c r="J70" i="39"/>
  <c r="I72" i="39"/>
  <c r="B3" i="67"/>
  <c r="B4" i="67"/>
  <c r="K70" i="39" l="1"/>
  <c r="J72" i="39"/>
  <c r="U7" i="36"/>
  <c r="AB7" i="36"/>
  <c r="T36" i="36" s="1"/>
  <c r="G36" i="36" s="1"/>
  <c r="AC7" i="36"/>
  <c r="V36" i="36" s="1"/>
  <c r="I36" i="36" s="1"/>
  <c r="W7" i="36"/>
  <c r="J67" i="40"/>
  <c r="K65" i="40"/>
  <c r="S7" i="36"/>
  <c r="AA7" i="36"/>
  <c r="R36" i="36" s="1"/>
  <c r="R37" i="36" l="1"/>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D19" i="9"/>
  <c r="B4" i="39" l="1"/>
  <c r="B3" i="39"/>
  <c r="L44" i="9"/>
  <c r="F21" i="43"/>
  <c r="F26" i="12"/>
  <c r="F26" i="44"/>
  <c r="F24" i="15"/>
  <c r="D21" i="9"/>
  <c r="D20" i="9"/>
  <c r="C24" i="15" l="1"/>
  <c r="C23" i="15"/>
  <c r="C27" i="12"/>
  <c r="D26" i="12" s="1"/>
  <c r="C32" i="12" s="1"/>
  <c r="D30" i="12" s="1"/>
  <c r="C26" i="44"/>
  <c r="C25" i="44"/>
  <c r="C23" i="43"/>
  <c r="D21" i="43" s="1"/>
  <c r="C22" i="43"/>
  <c r="C21" i="43" s="1"/>
  <c r="C28" i="43" l="1"/>
  <c r="C30" i="43" s="1"/>
  <c r="C32" i="43" s="1"/>
  <c r="B2" i="43" s="1"/>
  <c r="B5" i="43" s="1"/>
  <c r="C31" i="44"/>
  <c r="Q51" i="44"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63" i="15" l="1"/>
  <c r="C57" i="15" s="1"/>
  <c r="C66" i="15" s="1"/>
  <c r="C67" i="15" s="1"/>
  <c r="C70" i="15" s="1"/>
  <c r="C30" i="15"/>
  <c r="C39" i="15" s="1"/>
  <c r="Q70" i="15" s="1"/>
  <c r="Q69" i="15" s="1"/>
  <c r="C39" i="44"/>
  <c r="C32" i="44" s="1"/>
  <c r="C42" i="44" s="1"/>
  <c r="C43" i="44"/>
  <c r="J15" i="44"/>
  <c r="J25" i="44" s="1"/>
  <c r="J18" i="44" s="1"/>
  <c r="J27" i="44" s="1"/>
  <c r="C40" i="15"/>
  <c r="J16" i="15"/>
  <c r="J25" i="15" s="1"/>
  <c r="L51" i="15"/>
  <c r="J39" i="15" l="1"/>
  <c r="J40" i="15" s="1"/>
  <c r="Q68" i="15"/>
  <c r="L57" i="15"/>
  <c r="L60" i="15" s="1"/>
  <c r="C44" i="44"/>
  <c r="C45" i="44" s="1"/>
  <c r="B2" i="44" s="1"/>
  <c r="Q71" i="44"/>
  <c r="Q70" i="44" s="1"/>
  <c r="C46" i="15"/>
  <c r="Q57" i="15"/>
  <c r="Q48" i="15"/>
  <c r="Q54" i="15" s="1"/>
  <c r="Q66" i="15"/>
  <c r="C43" i="15"/>
  <c r="J42" i="15"/>
  <c r="J43" i="15" s="1"/>
  <c r="Q58" i="15" l="1"/>
  <c r="Q63" i="15" s="1"/>
  <c r="L46" i="15"/>
  <c r="B2" i="15" s="1"/>
  <c r="D10" i="12" s="1"/>
  <c r="L10" i="12" s="1"/>
  <c r="Q67" i="15"/>
  <c r="Q76" i="15" s="1"/>
  <c r="L52" i="44"/>
  <c r="L58" i="44" s="1"/>
  <c r="L61" i="44" s="1"/>
  <c r="B3" i="44"/>
  <c r="B5" i="44"/>
  <c r="B4" i="44"/>
  <c r="B3" i="15" l="1"/>
  <c r="D8" i="12" s="1"/>
  <c r="C6" i="12"/>
  <c r="Q69" i="44"/>
  <c r="Q59" i="44"/>
  <c r="Q64" i="44" s="1"/>
  <c r="Q68" i="44"/>
  <c r="Q77" i="44" s="1"/>
  <c r="C29" i="12" l="1"/>
  <c r="C24" i="12"/>
  <c r="C35" i="12" l="1"/>
  <c r="C33" i="12" s="1"/>
  <c r="C28" i="12"/>
  <c r="C26" i="12" s="1"/>
  <c r="C31" i="12" s="1"/>
  <c r="C30" i="12" s="1"/>
  <c r="C36" i="12" l="1"/>
  <c r="B2" i="12" s="1"/>
  <c r="B3" i="12" s="1"/>
  <c r="C19" i="9"/>
  <c r="C20" i="9"/>
  <c r="B5" i="12" l="1"/>
  <c r="B4" i="12"/>
  <c r="G19" i="9"/>
  <c r="C32" i="9" s="1"/>
  <c r="L43" i="9"/>
  <c r="D22" i="9"/>
  <c r="G20" i="9"/>
  <c r="D27" i="9"/>
  <c r="C21" i="9"/>
  <c r="N43" i="9" l="1"/>
  <c r="G22" i="9"/>
  <c r="G21" i="9"/>
  <c r="C45" i="9"/>
  <c r="O38" i="9"/>
  <c r="C35" i="9"/>
  <c r="F42" i="9" s="1"/>
  <c r="C34" i="9"/>
  <c r="C42" i="9"/>
  <c r="O43" i="9"/>
  <c r="C33" i="9"/>
  <c r="E42" i="9" l="1"/>
  <c r="P5" i="54" s="1"/>
  <c r="B46" i="63" s="1"/>
  <c r="M38" i="9"/>
  <c r="K27" i="9" s="1"/>
  <c r="K26" i="9"/>
  <c r="K25" i="9"/>
  <c r="N38" i="9"/>
  <c r="K28" i="9" s="1"/>
  <c r="D42" i="9"/>
  <c r="Q5" i="54" s="1"/>
  <c r="B47" i="63" s="1"/>
  <c r="R5" i="54"/>
  <c r="B48" i="63" s="1"/>
  <c r="D14" i="66"/>
  <c r="D63" i="9"/>
  <c r="N68" i="9"/>
  <c r="D45" i="9"/>
  <c r="H14" i="66"/>
  <c r="B7" i="66" s="1"/>
  <c r="F45" i="9"/>
  <c r="O40" i="9"/>
  <c r="E45" i="9"/>
  <c r="D73" i="9" l="1"/>
  <c r="N73" i="9" s="1"/>
  <c r="C103" i="9"/>
  <c r="C111" i="9"/>
  <c r="C104" i="9" s="1"/>
  <c r="D70" i="9"/>
  <c r="C96" i="9"/>
  <c r="C91" i="9" s="1"/>
  <c r="C90" i="9"/>
  <c r="C82" i="9"/>
  <c r="C81" i="9" s="1"/>
  <c r="C85" i="9" s="1"/>
  <c r="C86" i="9" s="1"/>
  <c r="D72" i="9" s="1"/>
  <c r="D71" i="9"/>
  <c r="D66" i="9" s="1"/>
  <c r="N72" i="9" s="1"/>
  <c r="R7" i="54"/>
  <c r="B52" i="63" s="1"/>
  <c r="K31" i="9"/>
  <c r="K32" i="9" s="1"/>
  <c r="D7" i="66"/>
  <c r="C7" i="66"/>
  <c r="B5" i="66"/>
  <c r="E14" i="66"/>
  <c r="F14" i="66"/>
  <c r="C97" i="9" l="1"/>
  <c r="C113" i="9"/>
  <c r="D5" i="66"/>
  <c r="C5" i="66"/>
  <c r="C114" i="9" l="1"/>
  <c r="E114" i="9" s="1"/>
  <c r="E115" i="9" s="1"/>
  <c r="C98" i="9"/>
  <c r="E98" i="9" s="1"/>
  <c r="E99" i="9" s="1"/>
  <c r="C115" i="9" l="1"/>
  <c r="D76" i="9" s="1"/>
  <c r="D74" i="9" s="1"/>
  <c r="N74" i="9" s="1"/>
  <c r="O77" i="9" s="1"/>
  <c r="Q77" i="9" s="1"/>
  <c r="C99" i="9"/>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<sst xmlns="http://schemas.openxmlformats.org/spreadsheetml/2006/main" count="8808" uniqueCount="3417">
  <si>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</si>
  <si>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</si>
  <si>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</si>
  <si>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</si>
  <si>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</si>
  <si>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</si>
  <si>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</si>
  <si>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</si>
  <si>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</si>
  <si>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</si>
  <si>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</si>
  <si>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</si>
  <si>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</si>
  <si>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</si>
  <si>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</si>
  <si>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</si>
  <si>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</si>
  <si>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</si>
  <si>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</si>
  <si>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</si>
  <si>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</si>
  <si>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</si>
  <si>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</si>
  <si>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</si>
  <si>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</si>
  <si>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</si>
  <si>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</si>
  <si>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</si>
  <si>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</si>
  <si>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</si>
  <si>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</si>
  <si>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</si>
  <si>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</si>
  <si>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</si>
  <si>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</si>
  <si>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</si>
  <si>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</si>
  <si>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</si>
  <si>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</si>
  <si>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</si>
  <si>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</si>
  <si>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</si>
  <si>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</si>
  <si>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</si>
  <si>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</si>
  <si>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</si>
  <si>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</si>
  <si>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</si>
  <si>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</si>
  <si>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</si>
  <si>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</si>
  <si>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</si>
  <si>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</si>
  <si>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</si>
  <si>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</si>
  <si>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</si>
  <si>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</si>
  <si>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</si>
  <si>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</si>
  <si>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</si>
  <si>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</si>
  <si>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</si>
  <si>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</si>
  <si>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</si>
  <si>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</si>
  <si>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</si>
  <si>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</si>
  <si>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</si>
  <si>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</si>
  <si>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</si>
  <si>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</si>
  <si>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</si>
  <si>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</si>
  <si>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</si>
  <si>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</si>
  <si>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</si>
  <si>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</si>
  <si>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</si>
  <si>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</si>
  <si>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</si>
  <si>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</si>
  <si>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</si>
  <si>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</si>
  <si>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</si>
  <si>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</si>
  <si>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</si>
  <si>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</si>
  <si>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</si>
  <si>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</si>
  <si>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</si>
  <si>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</si>
  <si>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</si>
  <si>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</si>
  <si>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</si>
  <si>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</si>
  <si>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</si>
  <si>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</si>
  <si>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</si>
  <si>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</si>
  <si>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</si>
  <si>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</si>
  <si>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</si>
  <si>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</si>
  <si>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</si>
  <si>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</si>
  <si>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</si>
  <si>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</si>
  <si>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</si>
  <si>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</si>
  <si>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</si>
  <si>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</si>
  <si>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</si>
  <si>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</si>
  <si>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</si>
  <si>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</si>
  <si>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</si>
  <si>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</si>
  <si>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</si>
  <si>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</si>
  <si>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</si>
  <si>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</si>
  <si>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</si>
  <si>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</si>
  <si>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</si>
  <si>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</si>
  <si>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</si>
  <si>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</si>
  <si>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</si>
  <si>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</si>
  <si>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</si>
  <si>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</si>
  <si>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</si>
  <si>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</si>
  <si>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</si>
  <si>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</si>
  <si>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</si>
  <si>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</si>
  <si>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</si>
  <si>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</si>
  <si>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</si>
  <si>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</si>
  <si>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</si>
  <si>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</si>
  <si>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</si>
  <si>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</si>
  <si>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</si>
  <si>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</si>
  <si>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</si>
  <si>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</si>
  <si>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</si>
  <si>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</si>
  <si>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</si>
  <si>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</si>
  <si>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</si>
  <si>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</si>
  <si>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</si>
  <si>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</si>
  <si>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</si>
  <si>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</si>
  <si>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</si>
  <si>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</si>
  <si>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</si>
  <si>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</si>
  <si>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</si>
  <si>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</si>
  <si>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</si>
  <si>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</si>
  <si>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</si>
  <si>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</si>
  <si>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</si>
  <si>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</si>
  <si>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</si>
  <si>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</si>
  <si>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</si>
  <si>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</si>
  <si>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</si>
  <si>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</si>
  <si>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</si>
  <si>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</si>
  <si>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</si>
  <si>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</si>
  <si>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</si>
  <si>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</si>
  <si>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</si>
  <si>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</si>
  <si>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</si>
  <si>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</si>
  <si>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</si>
  <si>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</si>
  <si>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</si>
  <si>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</si>
  <si>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</si>
  <si>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</si>
  <si>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</si>
  <si>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</si>
  <si>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</si>
  <si>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</si>
  <si>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</si>
  <si>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</si>
  <si>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</si>
  <si>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</si>
  <si>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</si>
  <si>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</si>
  <si>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</si>
  <si>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</si>
  <si>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</si>
  <si>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</si>
  <si>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</si>
  <si>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</si>
  <si>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</si>
  <si>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</si>
  <si>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</si>
  <si>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</si>
  <si>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</si>
  <si>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</si>
  <si>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</si>
  <si>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</si>
  <si>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</si>
  <si>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</si>
  <si>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</si>
  <si>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</si>
  <si>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</si>
  <si>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</si>
  <si>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</si>
  <si>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</si>
  <si>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</si>
  <si>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</si>
  <si>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</si>
  <si>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</si>
  <si>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</si>
  <si>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</si>
  <si>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</si>
  <si>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</si>
  <si>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</si>
  <si>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</si>
  <si>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</si>
  <si>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</si>
  <si>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</si>
  <si>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</si>
  <si>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</si>
  <si>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</si>
  <si>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</si>
  <si>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</si>
  <si>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</si>
  <si>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</si>
  <si>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</si>
  <si>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</si>
  <si>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</si>
  <si>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</si>
  <si>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</si>
  <si>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</si>
  <si>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</si>
  <si>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</si>
  <si>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</si>
  <si>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</si>
  <si>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</si>
  <si>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</si>
  <si>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</si>
  <si>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</si>
  <si>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</si>
  <si>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</si>
  <si>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</si>
  <si>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</si>
  <si>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</si>
  <si>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</si>
  <si>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</si>
  <si>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</si>
  <si>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</si>
  <si>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</si>
  <si>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</si>
  <si>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</si>
  <si>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</si>
  <si>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</si>
  <si>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</si>
  <si>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</si>
  <si>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</si>
  <si>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</si>
  <si>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</si>
  <si>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</si>
  <si>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</si>
  <si>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</si>
  <si>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</si>
  <si>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</si>
  <si>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</si>
  <si>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</si>
  <si>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</si>
  <si>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</si>
  <si>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</si>
  <si>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</si>
  <si>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</si>
  <si>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</si>
  <si>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</si>
  <si>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</si>
  <si>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</si>
  <si>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</si>
  <si>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</si>
  <si>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</si>
  <si>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</si>
  <si>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</si>
  <si>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</si>
  <si>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</si>
  <si>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</si>
  <si>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</si>
  <si>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</si>
  <si>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</si>
  <si>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</si>
  <si>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</si>
  <si>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</si>
  <si>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</si>
  <si>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</si>
  <si>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</si>
  <si>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</si>
  <si>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</si>
  <si>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</si>
  <si>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</si>
  <si>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</si>
  <si>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</si>
  <si>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</si>
  <si>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</si>
  <si>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</si>
  <si>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</si>
  <si>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</si>
  <si>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</si>
  <si>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</si>
  <si>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</si>
  <si>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</si>
  <si>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</si>
  <si>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</si>
  <si>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</si>
  <si>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</si>
  <si>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</si>
  <si>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</si>
  <si>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</si>
  <si>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</si>
  <si>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</si>
  <si>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</si>
  <si>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</si>
  <si>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</si>
  <si>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</si>
  <si>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</si>
  <si>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</si>
  <si>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</si>
  <si>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</si>
  <si>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</si>
  <si>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</si>
  <si>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</si>
  <si>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</si>
  <si>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</si>
  <si>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</si>
  <si>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</si>
  <si>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</si>
  <si>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</si>
  <si>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</si>
  <si>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</si>
  <si>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</si>
  <si>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</si>
  <si>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</si>
  <si>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</si>
  <si>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</si>
  <si>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</si>
  <si>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</si>
  <si>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</si>
  <si>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</si>
  <si>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</si>
  <si>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</si>
  <si>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</si>
  <si>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</si>
  <si>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</si>
  <si>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</si>
  <si>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</si>
  <si>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</si>
  <si>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</si>
  <si>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</si>
  <si>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</si>
  <si>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</si>
  <si>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</si>
  <si>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</si>
  <si>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</si>
  <si>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</si>
  <si>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</si>
  <si>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</si>
  <si>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</si>
  <si>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</si>
  <si>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</si>
  <si>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</si>
  <si>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</si>
  <si>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</si>
  <si>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</si>
  <si>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</si>
  <si>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</si>
  <si>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</si>
  <si>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</si>
  <si>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</si>
  <si>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</si>
  <si>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</si>
  <si>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</si>
  <si>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</si>
  <si>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</si>
  <si>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</si>
  <si>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</si>
  <si>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</si>
  <si>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</si>
  <si>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</si>
  <si>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</si>
  <si>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</si>
  <si>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</si>
  <si>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</si>
  <si>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</si>
  <si>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</si>
  <si>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</si>
  <si>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</si>
  <si>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</si>
  <si>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</si>
  <si>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</si>
  <si>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</si>
  <si>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</si>
  <si>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</si>
  <si>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</si>
  <si>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</si>
  <si>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</si>
  <si>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</si>
  <si>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</si>
  <si>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</si>
  <si>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</si>
  <si>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</si>
  <si>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</si>
  <si>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</si>
  <si>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</si>
  <si>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</si>
  <si>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</si>
  <si>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</si>
  <si>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</si>
  <si>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</si>
  <si>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</si>
  <si>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</si>
  <si>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</si>
  <si>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</si>
  <si>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</si>
  <si>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</si>
  <si>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</si>
  <si>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</si>
  <si>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</si>
  <si>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</si>
  <si>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</si>
  <si>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</si>
  <si>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</si>
  <si>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</si>
  <si>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</si>
  <si>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</si>
  <si>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</si>
  <si>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</si>
  <si>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</si>
  <si>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</si>
  <si>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</si>
  <si>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</si>
  <si>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</si>
  <si>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</si>
  <si>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</si>
  <si>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</si>
  <si>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</si>
  <si>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</si>
  <si>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</si>
  <si>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</si>
  <si>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</si>
  <si>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</si>
  <si>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</si>
  <si>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</si>
  <si>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</si>
  <si>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</si>
  <si>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</si>
  <si>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</si>
  <si>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</si>
  <si>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</si>
  <si>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</si>
  <si>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</si>
  <si>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</si>
  <si>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</si>
  <si>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</si>
  <si>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</si>
  <si>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</si>
  <si>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</si>
  <si>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</si>
  <si>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</si>
  <si>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</si>
  <si>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</si>
  <si>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</si>
  <si>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</si>
  <si>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</si>
  <si>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</si>
  <si>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</si>
  <si>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</si>
  <si>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</si>
  <si>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</si>
  <si>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</si>
  <si>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</si>
  <si>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</si>
  <si>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</si>
  <si>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</si>
  <si>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</si>
  <si>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</si>
  <si>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</si>
  <si>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</si>
  <si>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</si>
  <si>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</si>
  <si>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</si>
  <si>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</si>
  <si>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</si>
  <si>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</si>
  <si>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</si>
  <si>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</si>
  <si>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</si>
  <si>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</si>
  <si>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</si>
  <si>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</si>
  <si>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</si>
  <si>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</si>
  <si>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</si>
  <si>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</si>
  <si>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</si>
  <si>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</si>
  <si>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</si>
  <si>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</si>
  <si>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</si>
  <si>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</si>
  <si>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</si>
  <si>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</si>
  <si>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</si>
  <si>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</si>
  <si>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</si>
  <si>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</si>
  <si>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</si>
  <si>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</si>
  <si>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</si>
  <si>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</si>
  <si>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</si>
  <si>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</si>
  <si>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</si>
  <si>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</si>
  <si>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</si>
  <si>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</si>
  <si>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</si>
  <si>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</si>
  <si>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</si>
  <si>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</si>
  <si>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</si>
  <si>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</si>
  <si>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</si>
  <si>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</si>
  <si>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</si>
  <si>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</si>
  <si>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</si>
  <si>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</si>
  <si>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</si>
  <si>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</si>
  <si>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</si>
  <si>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</si>
  <si>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</si>
  <si>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</si>
  <si>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</si>
  <si>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</si>
  <si>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</si>
  <si>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</si>
  <si>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</si>
  <si>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</si>
  <si>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</si>
  <si>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</si>
  <si>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</si>
  <si>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</si>
  <si>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</si>
  <si>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</si>
  <si>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</si>
  <si>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</si>
  <si>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</si>
  <si>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</si>
  <si>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</si>
  <si>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</si>
  <si>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</si>
  <si>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</si>
  <si>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</si>
  <si>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</si>
  <si>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</si>
  <si>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</si>
  <si>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</si>
  <si>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</si>
  <si>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</si>
  <si>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</si>
  <si>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</si>
  <si>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</si>
  <si>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</si>
  <si>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</si>
  <si>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</si>
  <si>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</si>
  <si>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</si>
  <si>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</si>
  <si>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</si>
  <si>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</si>
  <si>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</si>
  <si>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</si>
  <si>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</si>
  <si>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</si>
  <si>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</si>
  <si>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</si>
  <si>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</si>
  <si>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</si>
  <si>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</si>
  <si>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</si>
  <si>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</si>
  <si>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</si>
  <si>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</si>
  <si>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</si>
  <si>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</si>
  <si>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</si>
  <si>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</si>
  <si>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</si>
  <si>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</si>
  <si>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</si>
  <si>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</si>
  <si>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</si>
  <si>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</si>
  <si>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</si>
  <si>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</si>
  <si>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</si>
  <si>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</si>
  <si>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</si>
  <si>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</si>
  <si>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</si>
  <si>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</si>
  <si>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</si>
  <si>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</si>
  <si>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</si>
  <si>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</si>
  <si>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</si>
  <si>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</si>
  <si>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</si>
  <si>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</si>
  <si>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</si>
  <si>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</si>
  <si>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</si>
  <si>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</si>
  <si>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</si>
  <si>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</si>
  <si>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</si>
  <si>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</si>
  <si>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</si>
  <si>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</si>
  <si>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</si>
  <si>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</si>
  <si>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</si>
  <si>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</si>
  <si>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</si>
  <si>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</si>
  <si>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</si>
  <si>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</si>
  <si>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</si>
  <si>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</si>
  <si>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</si>
  <si>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</si>
  <si>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</si>
  <si>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</si>
  <si>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</si>
  <si>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</si>
  <si>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</si>
  <si>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</si>
  <si>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</si>
  <si>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</si>
  <si>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</si>
  <si>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</si>
  <si>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</si>
  <si>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</si>
  <si>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</si>
  <si>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</si>
  <si>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</si>
  <si>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</si>
  <si>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</si>
  <si>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</si>
  <si>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</si>
  <si>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</si>
  <si>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</si>
  <si>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</si>
  <si>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</si>
  <si>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</si>
  <si>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</si>
  <si>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</si>
  <si>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</si>
  <si>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</si>
  <si>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</si>
  <si>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</si>
  <si>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</si>
  <si>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</si>
  <si>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</si>
  <si>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</si>
  <si>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</si>
  <si>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</si>
  <si>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</si>
  <si>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</si>
  <si>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</si>
  <si>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</si>
  <si>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</si>
  <si>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</si>
  <si>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</si>
  <si>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</si>
  <si>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</si>
  <si>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</si>
  <si>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</si>
  <si>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</si>
  <si>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</si>
  <si>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</si>
  <si>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</si>
  <si>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</si>
  <si>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</si>
  <si>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</si>
  <si>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</si>
  <si>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</si>
  <si>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</si>
  <si>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</si>
  <si>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</si>
  <si>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</si>
  <si>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</si>
  <si>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</si>
  <si>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</si>
  <si>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</si>
  <si>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</si>
  <si>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</si>
  <si>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</si>
  <si>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</si>
  <si>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</si>
  <si>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</si>
  <si>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</si>
  <si>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</si>
  <si>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</si>
  <si>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</si>
  <si>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</si>
  <si>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</si>
  <si>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</si>
  <si>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</si>
  <si>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</si>
  <si>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</si>
  <si>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</si>
  <si>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</si>
  <si>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</si>
  <si>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</si>
  <si>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</si>
  <si>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</si>
  <si>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</si>
  <si>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</si>
  <si>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</si>
  <si>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</si>
  <si>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</si>
  <si>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</si>
  <si>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</si>
  <si>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</si>
  <si>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</si>
  <si>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</si>
  <si>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</si>
  <si>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</si>
  <si>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</si>
  <si>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</si>
  <si>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</si>
  <si>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</si>
  <si>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</si>
  <si>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</si>
  <si>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</si>
  <si>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</si>
  <si>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</si>
  <si>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</si>
  <si>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</si>
  <si>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</si>
  <si>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</si>
  <si>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</si>
  <si>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</si>
  <si>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</si>
  <si>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</si>
  <si>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</si>
  <si>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</si>
  <si>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</si>
  <si>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</si>
  <si>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</si>
  <si>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</si>
  <si>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</si>
  <si>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</si>
  <si>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</si>
  <si>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</si>
  <si>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</si>
  <si>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</si>
  <si>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</si>
  <si>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</si>
  <si>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</si>
  <si>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</si>
  <si>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</si>
  <si>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</si>
  <si>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</si>
  <si>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</si>
  <si>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</si>
  <si>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</si>
  <si>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</si>
  <si>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</si>
  <si>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</si>
  <si>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</si>
  <si>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</si>
  <si>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</si>
  <si>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</si>
  <si>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</si>
  <si>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</si>
  <si>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</si>
  <si>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</si>
  <si>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</si>
  <si>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</si>
  <si>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</si>
  <si>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</si>
  <si>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</si>
  <si>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</si>
  <si>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</si>
  <si>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</si>
  <si>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</si>
  <si>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</si>
  <si>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</si>
  <si>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</si>
  <si>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</si>
  <si>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</si>
  <si>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</si>
  <si>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</si>
  <si>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</si>
  <si>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</si>
  <si>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</si>
  <si>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</si>
  <si>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</si>
  <si>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</si>
  <si>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</si>
  <si>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</si>
  <si>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</si>
  <si>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</si>
  <si>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</si>
  <si>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</si>
  <si>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</si>
  <si>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</si>
  <si>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</si>
  <si>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</si>
  <si>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</si>
  <si>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</si>
  <si>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</si>
  <si>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</si>
  <si>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</si>
  <si>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</si>
  <si>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</si>
  <si>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</si>
  <si>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</si>
  <si>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</si>
  <si>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</si>
  <si>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</si>
  <si>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</si>
  <si>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</si>
  <si>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</si>
  <si>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</si>
  <si>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</si>
  <si>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</si>
  <si>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</si>
  <si>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</si>
  <si>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</si>
  <si>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</si>
  <si>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</si>
  <si>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</si>
  <si>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</si>
  <si>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</si>
  <si>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</si>
  <si>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</si>
  <si>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</si>
  <si>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</si>
  <si>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</si>
  <si>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</si>
  <si>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</si>
  <si>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</si>
  <si>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</si>
  <si>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</si>
  <si>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</si>
  <si>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</si>
  <si>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</si>
  <si>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</si>
  <si>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</si>
  <si>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</si>
  <si>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</si>
  <si>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</si>
  <si>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</si>
  <si>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</si>
  <si>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</si>
  <si>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</si>
  <si>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</si>
  <si>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</si>
  <si>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</si>
  <si>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</si>
  <si>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</si>
  <si>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</si>
  <si>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</si>
  <si>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</si>
  <si>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</si>
  <si>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</si>
  <si>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</si>
  <si>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</si>
  <si>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</si>
  <si>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</si>
  <si>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</si>
  <si>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</si>
  <si>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</si>
  <si>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</si>
  <si>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</si>
  <si>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</si>
  <si>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</si>
  <si>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</si>
  <si>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</si>
  <si>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</si>
  <si>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</si>
  <si>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</si>
  <si>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</si>
  <si>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</si>
  <si>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</si>
  <si>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</si>
  <si>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</si>
  <si>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</si>
  <si>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</si>
  <si>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</si>
  <si>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</si>
  <si>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</si>
  <si>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</si>
  <si>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</si>
  <si>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</si>
  <si>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</si>
  <si>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</si>
  <si>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</si>
  <si>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</si>
  <si>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</si>
  <si>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</si>
  <si>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</si>
  <si>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</si>
  <si>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</si>
  <si>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</si>
  <si>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</si>
  <si>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</si>
  <si>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</si>
  <si>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</si>
  <si>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</si>
  <si>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</si>
  <si>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</si>
  <si>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</si>
  <si>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</si>
  <si>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</si>
  <si>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</si>
  <si>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</si>
  <si>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</si>
  <si>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</si>
  <si>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</si>
  <si>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</si>
  <si>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</si>
  <si>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</si>
  <si>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</si>
  <si>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</si>
  <si>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</si>
  <si>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</si>
  <si>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</si>
  <si>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</si>
  <si>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</si>
  <si>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</si>
  <si>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</si>
  <si>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</si>
  <si>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</si>
  <si>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</si>
  <si>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</si>
  <si>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</si>
  <si>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</si>
  <si>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</si>
  <si>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</si>
  <si>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</si>
  <si>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</si>
  <si>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</si>
  <si>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</si>
  <si>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</si>
  <si>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</si>
  <si>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</si>
  <si>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</si>
  <si>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</si>
  <si>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</si>
  <si>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</si>
  <si>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</si>
  <si>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</si>
  <si>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</si>
  <si>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</si>
  <si>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</si>
  <si>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</si>
  <si>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</si>
  <si>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</si>
  <si>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</si>
  <si>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</si>
  <si>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</si>
  <si>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</si>
  <si>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</si>
  <si>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</si>
  <si>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</si>
  <si>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</si>
  <si>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</si>
  <si>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</si>
  <si>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</si>
  <si>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</si>
  <si>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</si>
  <si>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</si>
  <si>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</si>
  <si>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</si>
  <si>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</si>
  <si>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</si>
  <si>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</si>
  <si>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</si>
  <si>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</si>
  <si>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</si>
  <si>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</si>
  <si>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</si>
  <si>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</si>
  <si>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</si>
  <si>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</si>
  <si>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</si>
  <si>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</si>
  <si>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</si>
  <si>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</si>
  <si>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</si>
  <si>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</si>
  <si>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</si>
  <si>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</si>
  <si>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</si>
  <si>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</si>
  <si>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</si>
  <si>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</si>
  <si>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</si>
  <si>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</si>
  <si>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</si>
  <si>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</si>
  <si>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</si>
  <si>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</si>
  <si>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</si>
  <si>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</si>
  <si>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</si>
  <si>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</si>
  <si>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</si>
  <si>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</si>
  <si>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</si>
  <si>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</si>
  <si>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</si>
  <si>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</si>
  <si>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</si>
  <si>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</si>
  <si>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</si>
  <si>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</si>
  <si>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</si>
  <si>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</si>
  <si>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</si>
  <si>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</si>
  <si>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</si>
  <si>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</si>
  <si>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</si>
  <si>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</si>
  <si>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</si>
  <si>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</si>
  <si>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</si>
  <si>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</si>
  <si>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</si>
  <si>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</si>
  <si>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</si>
  <si>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</si>
  <si>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</si>
  <si>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</si>
  <si>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</si>
  <si>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</si>
  <si>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</si>
  <si>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</si>
  <si>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</si>
  <si>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</si>
  <si>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</si>
  <si>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</si>
  <si>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</si>
  <si>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</si>
  <si>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</si>
  <si>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</si>
  <si>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</si>
  <si>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</si>
  <si>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</si>
  <si>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</si>
  <si>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</si>
  <si>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</si>
  <si>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</si>
  <si>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</si>
  <si>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</si>
  <si>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</si>
  <si>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</si>
  <si>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</si>
  <si>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</si>
  <si>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</si>
  <si>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</si>
  <si>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</si>
  <si>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</si>
  <si>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</si>
  <si>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</si>
  <si>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</si>
  <si>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</si>
  <si>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</si>
  <si>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</si>
  <si>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</si>
  <si>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</si>
  <si>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</si>
  <si>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</si>
  <si>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</si>
  <si>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</si>
  <si>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</si>
  <si>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</si>
  <si>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</si>
  <si>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</si>
  <si>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</si>
  <si>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</si>
  <si>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</si>
  <si>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</si>
  <si>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</si>
  <si>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</si>
  <si>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</si>
  <si>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</si>
  <si>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</si>
  <si>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</si>
  <si>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</si>
  <si>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</si>
  <si>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</si>
  <si>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</si>
  <si>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</si>
  <si>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</si>
  <si>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</si>
  <si>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</si>
  <si>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</si>
  <si>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</si>
  <si>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</si>
  <si>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</si>
  <si>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</si>
  <si>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</si>
  <si>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</si>
  <si>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</si>
  <si>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</si>
  <si>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</si>
  <si>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</si>
  <si>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</si>
  <si>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</si>
  <si>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</si>
  <si>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</si>
  <si>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</si>
  <si>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</si>
  <si>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</si>
  <si>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</si>
  <si>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</si>
  <si>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</si>
  <si>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</si>
  <si>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</si>
  <si>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</si>
  <si>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</si>
  <si>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</si>
  <si>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</si>
  <si>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</si>
  <si>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</si>
  <si>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</si>
  <si>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</si>
  <si>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</si>
  <si>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</si>
  <si>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</si>
  <si>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</si>
  <si>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</si>
  <si>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</si>
  <si>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</si>
  <si>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</si>
  <si>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</si>
  <si>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</si>
  <si>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</si>
  <si>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</si>
  <si>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</si>
  <si>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</si>
  <si>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</si>
  <si>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</si>
  <si>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</si>
  <si>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</si>
  <si>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</si>
  <si>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</si>
  <si>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</si>
  <si>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</si>
  <si>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</si>
  <si>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</si>
  <si>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</si>
  <si>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</si>
  <si>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</si>
  <si>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</si>
  <si>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</si>
  <si>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</si>
  <si>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</si>
  <si>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</si>
  <si>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</si>
  <si>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</si>
  <si>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</si>
  <si>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</si>
  <si>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</si>
  <si>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</si>
  <si>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</si>
  <si>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</si>
  <si>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</si>
  <si>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</si>
  <si>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</si>
  <si>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</si>
  <si>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</si>
  <si>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</si>
  <si>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</si>
  <si>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</si>
  <si>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</si>
  <si>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</si>
  <si>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</si>
  <si>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</si>
  <si>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</si>
  <si>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</si>
  <si>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</si>
  <si>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</si>
  <si>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</si>
  <si>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</si>
  <si>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</si>
  <si>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</si>
  <si>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</si>
  <si>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</si>
  <si>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</si>
  <si>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</si>
  <si>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</si>
  <si>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</si>
  <si>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</si>
  <si>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</si>
  <si>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</si>
  <si>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</si>
  <si>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</si>
  <si>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</si>
  <si>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</si>
  <si>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</si>
  <si>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</si>
  <si>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</si>
  <si>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</si>
  <si>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</si>
  <si>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</si>
  <si>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</si>
  <si>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</si>
  <si>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</si>
  <si>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</si>
  <si>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</si>
  <si>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</si>
  <si>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</si>
  <si>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</si>
  <si>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</si>
  <si>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</si>
  <si>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</si>
  <si>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</si>
  <si>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</si>
  <si>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</si>
  <si>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</si>
  <si>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</si>
  <si>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</si>
  <si>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</si>
  <si>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</si>
  <si>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</si>
  <si>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</si>
  <si>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</si>
  <si>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</si>
  <si>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</si>
  <si>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</si>
  <si>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</si>
  <si>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</si>
  <si>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</si>
  <si>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</si>
  <si>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</si>
  <si>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</si>
  <si>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</si>
  <si>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</si>
  <si>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</si>
  <si>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</si>
  <si>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</si>
  <si>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</si>
  <si>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</si>
  <si>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</si>
  <si>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</si>
  <si>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</si>
  <si>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</si>
  <si>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</si>
  <si>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</si>
  <si>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</si>
  <si>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</si>
  <si>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</si>
  <si>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</si>
  <si>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</si>
  <si>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</si>
  <si>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</si>
  <si>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</si>
  <si>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</si>
  <si>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</si>
  <si>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</si>
  <si>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</si>
  <si>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</si>
  <si>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</si>
  <si>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</si>
  <si>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</si>
  <si>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</si>
  <si>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</si>
  <si>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</si>
  <si>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</si>
  <si>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</si>
  <si>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</si>
  <si>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</si>
  <si>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</si>
  <si>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</si>
  <si>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</si>
  <si>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</si>
  <si>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</si>
  <si>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</si>
  <si>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</si>
  <si>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</si>
  <si>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</si>
  <si>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</si>
  <si>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</si>
  <si>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</si>
  <si>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</si>
  <si>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</si>
  <si>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</si>
  <si>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</si>
  <si>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</si>
  <si>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</si>
  <si>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</si>
  <si>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</si>
  <si>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</si>
  <si>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</si>
  <si>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</si>
  <si>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</si>
  <si>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</si>
  <si>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</si>
  <si>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</si>
  <si>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</si>
  <si>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</si>
  <si>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</si>
  <si>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</si>
  <si>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</si>
  <si>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</si>
  <si>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</si>
  <si>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</si>
  <si>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</si>
  <si>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</si>
  <si>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</si>
  <si>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</si>
  <si>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</si>
  <si>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</si>
  <si>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</si>
  <si>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</si>
  <si>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</si>
  <si>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</si>
  <si>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</si>
  <si>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</si>
  <si>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</si>
  <si>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</si>
  <si>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</si>
  <si>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</si>
  <si>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</si>
  <si>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</si>
  <si>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</si>
  <si>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</si>
  <si>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</si>
  <si>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</si>
  <si>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</si>
  <si>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</si>
  <si>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</si>
  <si>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</si>
  <si>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</si>
  <si>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</si>
  <si>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</si>
  <si>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</si>
  <si>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</si>
  <si>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</si>
  <si>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</si>
  <si>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</si>
  <si>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</si>
  <si>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</si>
  <si>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</si>
  <si>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</si>
  <si>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</si>
  <si>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</si>
  <si>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</si>
  <si>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</si>
  <si>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</si>
  <si>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</si>
  <si>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</si>
  <si>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</si>
  <si>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</si>
  <si>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</si>
  <si>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</si>
  <si>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</si>
  <si>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</si>
  <si>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</si>
  <si>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</si>
  <si>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</si>
  <si>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</si>
  <si>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</si>
  <si>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</si>
  <si>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</si>
  <si>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</si>
  <si>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</si>
  <si>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</si>
  <si>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</si>
  <si>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</si>
  <si>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</si>
  <si>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</si>
  <si>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</si>
  <si>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</si>
  <si>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</si>
  <si>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</si>
  <si>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</si>
  <si>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</si>
  <si>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</si>
  <si>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</si>
  <si>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</si>
  <si>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</si>
  <si>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</si>
  <si>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</si>
  <si>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</si>
  <si>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</si>
  <si>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</si>
  <si>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</si>
  <si>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</si>
  <si>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</si>
  <si>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</si>
  <si>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</si>
  <si>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</si>
  <si>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</si>
  <si>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</si>
  <si>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</si>
  <si>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</si>
  <si>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</si>
  <si>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</si>
  <si>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</si>
  <si>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</si>
  <si>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</si>
  <si>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</si>
  <si>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</si>
  <si>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</si>
  <si>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</si>
  <si>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</si>
  <si>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</si>
  <si>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</si>
  <si>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</si>
  <si>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</si>
  <si>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</si>
  <si>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</si>
  <si>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</si>
  <si>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</si>
  <si>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</si>
  <si>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</si>
  <si>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</si>
  <si>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</si>
  <si>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</si>
  <si>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</si>
  <si>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</si>
  <si>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</si>
  <si>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</si>
  <si>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</si>
  <si>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</si>
  <si>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</si>
  <si>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</si>
  <si>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</si>
  <si>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</si>
  <si>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</si>
  <si>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</si>
  <si>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</si>
  <si>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</si>
  <si>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</si>
  <si>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</si>
  <si>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</si>
  <si>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</si>
  <si>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</si>
  <si>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</si>
  <si>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</si>
  <si>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</si>
  <si>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</si>
  <si>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</si>
  <si>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</si>
  <si>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</si>
  <si>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</si>
  <si>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</si>
  <si>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</si>
  <si>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</si>
  <si>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</si>
  <si>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</si>
  <si>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</si>
  <si>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</si>
  <si>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</si>
  <si>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</si>
  <si>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</si>
  <si>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</si>
  <si>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</si>
  <si>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</si>
  <si>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</si>
  <si>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</si>
  <si>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</si>
  <si>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</si>
  <si>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</si>
  <si>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</si>
  <si>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</si>
  <si>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</si>
  <si>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</si>
  <si>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</si>
  <si>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</si>
  <si>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</si>
  <si>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</si>
  <si>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</si>
  <si>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</si>
  <si>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</si>
  <si>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</si>
  <si>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</si>
  <si>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</si>
  <si>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</si>
  <si>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</si>
  <si>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</si>
  <si>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</si>
  <si>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</si>
  <si>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</si>
  <si>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</si>
  <si>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</si>
  <si>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</si>
  <si>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</si>
  <si>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</si>
  <si>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</si>
  <si>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</si>
  <si>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</si>
  <si>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</si>
  <si>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</si>
  <si>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</si>
  <si>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</si>
  <si>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</si>
  <si>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</si>
  <si>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</si>
  <si>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</si>
  <si>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</si>
  <si>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</si>
  <si>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</si>
  <si>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</si>
  <si>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</si>
  <si>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</si>
  <si>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</si>
  <si>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</si>
  <si>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</si>
  <si>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</si>
  <si>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</si>
  <si>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</si>
  <si>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</si>
  <si>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</si>
  <si>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</si>
  <si>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</si>
  <si>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</si>
  <si>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</si>
  <si>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</si>
  <si>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</si>
  <si>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</si>
  <si>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</si>
  <si>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</si>
  <si>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</si>
  <si>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</si>
  <si>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</si>
  <si>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</si>
  <si>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</si>
  <si>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</si>
  <si>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</si>
  <si>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</si>
  <si>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</si>
  <si>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</si>
  <si>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</si>
  <si>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</si>
  <si>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</si>
  <si>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</si>
  <si>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</si>
  <si>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</si>
  <si>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</si>
  <si>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</si>
  <si>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</si>
  <si>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</si>
  <si>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</si>
  <si>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</si>
  <si>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</si>
  <si>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</si>
  <si>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</si>
  <si>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</si>
  <si>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</si>
  <si>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</si>
  <si>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</si>
  <si>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</si>
  <si>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</si>
  <si>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</si>
  <si>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</si>
  <si>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</si>
  <si>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</si>
  <si>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</si>
  <si>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</si>
  <si>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</si>
  <si>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</si>
  <si>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</si>
  <si>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</si>
  <si>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</si>
  <si>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</si>
  <si>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</si>
  <si>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</si>
  <si>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</si>
  <si>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</si>
  <si>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</si>
  <si>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</si>
  <si>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</si>
  <si>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</si>
  <si>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</si>
  <si>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</si>
  <si>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</si>
  <si>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</si>
  <si>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</si>
  <si>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</si>
  <si>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</si>
  <si>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</si>
  <si>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</si>
  <si>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</si>
  <si>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</si>
  <si>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</si>
  <si>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</si>
  <si>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</si>
  <si>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</si>
  <si>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</si>
  <si>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</si>
  <si>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</si>
  <si>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</si>
  <si>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</si>
  <si>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</si>
  <si>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</si>
  <si>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</si>
  <si>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</si>
  <si>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</si>
  <si>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</si>
  <si>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</si>
  <si>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</si>
  <si>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</si>
  <si>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</si>
  <si>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</si>
  <si>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</si>
  <si>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</si>
  <si>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</si>
  <si>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</si>
  <si>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</si>
  <si>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</si>
  <si>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</si>
  <si>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</si>
  <si>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</si>
  <si>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</si>
  <si>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</si>
  <si>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</si>
  <si>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</si>
  <si>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</si>
  <si>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</si>
  <si>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</si>
  <si>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</si>
  <si>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</si>
  <si>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</si>
  <si>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</si>
  <si>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</si>
  <si>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</si>
  <si>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</si>
  <si>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</si>
  <si>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</si>
  <si>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</si>
  <si>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</si>
  <si>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</si>
  <si>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</si>
  <si>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</si>
  <si>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</si>
  <si>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</si>
  <si>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</si>
  <si>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</si>
  <si>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</si>
  <si>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</si>
  <si>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</si>
  <si>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</si>
  <si>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</si>
  <si>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</si>
  <si>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</si>
  <si>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</si>
  <si>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</si>
  <si>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</si>
  <si>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</si>
  <si>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</si>
  <si>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</si>
  <si>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</si>
  <si>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</si>
  <si>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</si>
  <si>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</si>
  <si>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</si>
  <si>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</si>
  <si>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</si>
  <si>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</si>
  <si>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</si>
  <si>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</si>
  <si>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</si>
  <si>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</si>
  <si>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</si>
  <si>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</si>
  <si>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</si>
  <si>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</si>
  <si>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</si>
  <si>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</si>
  <si>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</si>
  <si>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</si>
  <si>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</si>
  <si>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</si>
  <si>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</si>
  <si>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</si>
  <si>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</si>
  <si>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</si>
  <si>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</si>
  <si>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</si>
  <si>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</si>
  <si>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</si>
  <si>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</si>
  <si>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</si>
  <si>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</si>
  <si>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</si>
  <si>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</si>
  <si>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</si>
  <si>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</si>
  <si>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</si>
  <si>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</si>
  <si>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</si>
  <si>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</si>
  <si>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</si>
  <si>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</si>
  <si>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</si>
  <si>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</si>
  <si>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</si>
  <si>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</si>
  <si>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</si>
  <si>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</si>
  <si>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</si>
  <si>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</si>
  <si>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</si>
  <si>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</si>
  <si>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</si>
  <si>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</si>
  <si>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</si>
  <si>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</si>
  <si>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</si>
  <si>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</si>
  <si>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</si>
  <si>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</si>
  <si>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</si>
  <si>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</si>
  <si>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</si>
  <si>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</si>
  <si>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</si>
  <si>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</si>
  <si>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</si>
  <si>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</si>
  <si>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</si>
  <si>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</si>
  <si>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</si>
  <si>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</si>
  <si>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</si>
  <si>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</si>
  <si>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</si>
  <si>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</si>
  <si>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</si>
  <si>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</si>
  <si>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</si>
  <si>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</si>
  <si>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</si>
  <si>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</si>
  <si>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</si>
  <si>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</si>
  <si>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</si>
  <si>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</si>
  <si>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</si>
  <si>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</si>
  <si>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</si>
  <si>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</si>
  <si>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</si>
  <si>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</si>
  <si>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</si>
  <si>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</si>
  <si>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</si>
  <si>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</si>
  <si>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</si>
  <si>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</si>
  <si>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</si>
  <si>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</si>
  <si>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</si>
  <si>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</si>
  <si>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</si>
  <si>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</si>
  <si>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</si>
  <si>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</si>
  <si>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</si>
  <si>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</si>
  <si>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</si>
  <si>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</si>
  <si>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</si>
  <si>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</si>
  <si>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</si>
  <si>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</si>
  <si>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</si>
  <si>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</si>
  <si>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</si>
  <si>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</si>
  <si>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</si>
  <si>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</si>
  <si>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</si>
  <si>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</si>
  <si>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</si>
  <si>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</si>
  <si>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</si>
  <si>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</si>
  <si>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</si>
  <si>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</si>
  <si>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</si>
  <si>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</si>
  <si>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</si>
  <si>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</si>
  <si>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</si>
  <si>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</si>
  <si>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</si>
  <si>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</si>
  <si>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</si>
  <si>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</si>
  <si>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</si>
  <si>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</si>
  <si>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</si>
  <si>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</si>
  <si>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</si>
  <si>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</si>
  <si>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</si>
  <si>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</si>
  <si>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</si>
  <si>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</si>
  <si>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</si>
  <si>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</si>
  <si>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</si>
  <si>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</si>
  <si>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</si>
  <si>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</si>
  <si>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</si>
  <si>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</si>
  <si>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</si>
  <si>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</si>
  <si>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</si>
  <si>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</si>
  <si>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</si>
  <si>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</si>
  <si>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</si>
  <si>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</si>
  <si>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</si>
  <si>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</si>
  <si>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</si>
  <si>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</si>
  <si>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</si>
  <si>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</si>
  <si>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</si>
  <si>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</si>
  <si>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</si>
  <si>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</si>
  <si>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</si>
  <si>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</si>
  <si>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</si>
  <si>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</si>
  <si>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</si>
  <si>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</si>
  <si>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</si>
  <si>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</si>
  <si>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</si>
  <si>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</si>
  <si>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</si>
  <si>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</si>
  <si>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</si>
  <si>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</si>
  <si>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</si>
  <si>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</si>
  <si>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</si>
  <si>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</si>
  <si>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</si>
  <si>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</si>
  <si>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</si>
  <si>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</si>
  <si>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</si>
  <si>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</si>
  <si>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</si>
  <si>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</si>
  <si>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</si>
  <si>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</si>
  <si>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</si>
  <si>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</si>
  <si>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</si>
  <si>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</si>
  <si>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</si>
  <si>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</si>
  <si>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</si>
  <si>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</si>
  <si>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</si>
  <si>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</si>
  <si>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</si>
  <si>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</si>
  <si>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</si>
  <si>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</si>
  <si>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</si>
  <si>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</si>
  <si>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</si>
  <si>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</si>
  <si>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</si>
  <si>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</si>
  <si>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</si>
  <si>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</si>
  <si>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</si>
  <si>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</si>
  <si>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</si>
  <si>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</si>
  <si>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</si>
  <si>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</si>
  <si>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</si>
  <si>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</si>
  <si>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</si>
  <si>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</si>
  <si>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</si>
  <si>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</si>
  <si>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</si>
  <si>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</si>
  <si>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</si>
  <si>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</si>
  <si>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</si>
  <si>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</si>
  <si>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</si>
  <si>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</si>
  <si>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</si>
  <si>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</si>
  <si>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</si>
  <si>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</si>
  <si>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</si>
  <si>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</si>
  <si>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</si>
  <si>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</si>
  <si>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</si>
  <si>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</si>
  <si>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</si>
  <si>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</si>
  <si>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</si>
  <si>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</si>
  <si>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</si>
  <si>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</si>
  <si>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</si>
  <si>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</si>
  <si>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</si>
  <si>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</si>
  <si>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</si>
  <si>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</si>
  <si>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</si>
  <si>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</si>
  <si>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</si>
  <si>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</si>
  <si>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</si>
  <si>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</si>
  <si>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</si>
  <si>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</si>
  <si>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</si>
  <si>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</si>
  <si>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</si>
  <si>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</si>
  <si>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</si>
  <si>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</si>
  <si>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</si>
  <si>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</si>
  <si>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</si>
  <si>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</si>
  <si>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</si>
  <si>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</si>
  <si>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</si>
  <si>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</si>
  <si>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</si>
  <si>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</si>
  <si>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</si>
  <si>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</si>
  <si>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</si>
  <si>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</si>
  <si>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</si>
  <si>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</si>
  <si>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</si>
  <si>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</si>
  <si>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</si>
  <si>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</si>
  <si>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</si>
  <si>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</si>
  <si>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</si>
  <si>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</si>
  <si>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</si>
  <si>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</si>
  <si>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</si>
  <si>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</si>
  <si>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</si>
  <si>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</si>
  <si>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</si>
  <si>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</si>
  <si>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</si>
  <si>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</si>
  <si>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</si>
  <si>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</si>
  <si>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</si>
  <si>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</si>
  <si>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</si>
  <si>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</si>
  <si>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</si>
  <si>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</si>
  <si>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</si>
  <si>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</si>
  <si>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</si>
  <si>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</si>
  <si>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</si>
  <si>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</si>
  <si>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</si>
  <si>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</si>
  <si>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</si>
  <si>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</si>
  <si>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</si>
  <si>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</si>
  <si>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</si>
  <si>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</si>
  <si>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</si>
  <si>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</si>
  <si>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</si>
  <si>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</si>
  <si>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</si>
  <si>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</si>
  <si>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</si>
  <si>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</si>
  <si>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</si>
  <si>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</si>
  <si>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</si>
  <si>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</si>
  <si>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</si>
  <si>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</si>
  <si>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</si>
  <si>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</si>
  <si>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</si>
  <si>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</si>
  <si>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</si>
  <si>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</si>
  <si>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</si>
  <si>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</si>
  <si>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</si>
  <si>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</si>
  <si>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</si>
  <si>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</si>
  <si>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</si>
  <si>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</si>
  <si>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</si>
  <si>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</si>
  <si>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</si>
  <si>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</si>
  <si>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</si>
  <si>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</si>
  <si>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</si>
  <si>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</si>
  <si>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</si>
  <si>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</si>
  <si>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</si>
  <si>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</si>
  <si>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</si>
  <si>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</si>
  <si>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</si>
  <si>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</si>
  <si>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</si>
  <si>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</si>
  <si>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</si>
  <si>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</si>
  <si>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</si>
  <si>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</si>
  <si>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</si>
  <si>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</si>
  <si>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</si>
  <si>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</si>
  <si>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</si>
  <si>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</si>
  <si>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</si>
  <si>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</si>
  <si>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</si>
  <si>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</si>
  <si>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</si>
  <si>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</si>
  <si>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</si>
  <si>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</si>
  <si>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</si>
  <si>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</si>
  <si>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</si>
  <si>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</si>
  <si>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</si>
  <si>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</si>
  <si>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</si>
  <si>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</si>
  <si>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</si>
  <si>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</si>
  <si>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</si>
  <si>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</si>
  <si>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</si>
  <si>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</si>
  <si>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</si>
  <si>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</si>
  <si>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</si>
  <si>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</si>
  <si>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</si>
  <si>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</si>
  <si>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</si>
  <si>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</si>
  <si>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</si>
  <si>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</si>
  <si>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</si>
  <si>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</si>
  <si>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</si>
  <si>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</si>
  <si>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</si>
  <si>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</si>
  <si>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</si>
  <si>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</si>
  <si>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</si>
  <si>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</si>
  <si>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</si>
  <si>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</si>
  <si>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</si>
  <si>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</si>
  <si>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</si>
  <si>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</si>
  <si>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</si>
  <si>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</si>
  <si>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</si>
  <si>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</si>
  <si>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</si>
  <si>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</si>
  <si>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</si>
  <si>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</si>
  <si>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</si>
  <si>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</si>
  <si>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</si>
  <si>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</si>
  <si>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</si>
  <si>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</si>
  <si>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</si>
  <si>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</si>
  <si>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</si>
  <si>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</si>
  <si>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</si>
  <si>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</si>
  <si>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</si>
  <si>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</si>
  <si>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</si>
  <si>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</si>
  <si>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</si>
  <si>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</si>
  <si>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</si>
  <si>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</si>
  <si>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</si>
  <si>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</si>
  <si>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</si>
  <si>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</si>
  <si>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</si>
  <si>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</si>
  <si>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</si>
  <si>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</si>
  <si>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</si>
  <si>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</si>
  <si>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</si>
  <si>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</si>
  <si>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</si>
  <si>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</si>
  <si>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</si>
  <si>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</si>
  <si>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</si>
  <si>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</si>
  <si>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</si>
  <si>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</si>
  <si>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</si>
  <si>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</si>
  <si>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</si>
  <si>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</si>
  <si>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</si>
  <si>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</si>
  <si>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</si>
  <si>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</si>
  <si>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</si>
  <si>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</si>
  <si>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</si>
  <si>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</si>
  <si>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</si>
  <si>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</si>
  <si>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</si>
  <si>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</si>
  <si>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</si>
  <si>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</si>
  <si>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</si>
  <si>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</si>
  <si>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</si>
  <si>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</si>
  <si>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</si>
  <si>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</si>
  <si>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</si>
  <si>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</si>
  <si>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</si>
  <si>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</si>
  <si>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</si>
  <si>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</si>
  <si>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</si>
  <si>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</si>
  <si>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</si>
  <si>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</si>
  <si>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</si>
  <si>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</si>
  <si>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</si>
  <si>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</si>
  <si>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</si>
  <si>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</si>
  <si>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</si>
  <si>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</si>
  <si>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</si>
  <si>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</si>
  <si>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</si>
  <si>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</si>
  <si>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</si>
  <si>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</si>
  <si>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</si>
  <si>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</si>
  <si>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</si>
  <si>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</si>
  <si>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</si>
  <si>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</si>
  <si>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</si>
  <si>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</si>
  <si>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</si>
  <si>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</si>
  <si>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</si>
  <si>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</si>
  <si>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</si>
  <si>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</si>
  <si>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</si>
  <si>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</si>
  <si>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</si>
  <si>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</si>
  <si>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</si>
  <si>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</si>
  <si>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</si>
  <si>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</si>
  <si>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</si>
  <si>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</si>
  <si>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</si>
  <si>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</si>
  <si>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</si>
  <si>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</si>
  <si>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</si>
  <si>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</si>
  <si>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</si>
  <si>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</si>
  <si>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</si>
  <si>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</si>
  <si>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</si>
  <si>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</si>
  <si>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</si>
  <si>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</si>
  <si>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</si>
  <si>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</si>
  <si>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</si>
  <si>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</si>
  <si>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</si>
  <si>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</si>
  <si>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</si>
  <si>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</si>
  <si>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</si>
  <si>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</si>
  <si>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</si>
  <si>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</si>
  <si>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</si>
  <si>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</si>
  <si>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</si>
  <si>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</si>
  <si>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</si>
  <si>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</si>
  <si>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</si>
  <si>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</si>
  <si>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</si>
  <si>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</si>
  <si>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</si>
  <si>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</si>
  <si>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</si>
  <si>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</si>
  <si>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</si>
  <si>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</si>
  <si>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</si>
  <si>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</si>
  <si>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</si>
  <si>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</si>
  <si>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</si>
  <si>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</si>
  <si>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</si>
  <si>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</si>
  <si>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</si>
  <si>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</si>
  <si>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</si>
  <si>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</si>
  <si>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</si>
  <si>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</si>
  <si>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</si>
  <si>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</si>
  <si>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</si>
  <si>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</si>
  <si>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</si>
  <si>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</si>
  <si>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</si>
  <si>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</si>
  <si>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</si>
  <si>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</si>
  <si>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</si>
  <si>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</si>
  <si>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</si>
  <si>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</si>
  <si>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</si>
  <si>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</si>
  <si>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</si>
  <si>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</si>
  <si>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</si>
  <si>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</si>
  <si>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</si>
  <si>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</si>
  <si>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</si>
  <si>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</si>
  <si>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</si>
  <si>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</si>
  <si>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</si>
  <si>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</si>
  <si>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</si>
  <si>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</si>
  <si>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</si>
  <si>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</si>
  <si>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</si>
  <si>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</si>
  <si>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</si>
  <si>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</si>
  <si>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</si>
  <si>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</si>
  <si>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</si>
  <si>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</si>
  <si>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</si>
  <si>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</si>
  <si>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</si>
  <si>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</si>
  <si>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</si>
  <si>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</si>
  <si>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</si>
  <si>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</si>
  <si>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</si>
  <si>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</si>
  <si>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</si>
  <si>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</si>
  <si>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</si>
  <si>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</si>
  <si>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</si>
  <si>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</si>
  <si>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</si>
  <si>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</si>
  <si>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</si>
  <si>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</si>
  <si>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</si>
  <si>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</si>
  <si>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</si>
  <si>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</si>
  <si>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</si>
  <si>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</si>
  <si>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</si>
  <si>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</si>
  <si>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</si>
  <si>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</si>
  <si>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</si>
  <si>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</si>
  <si>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</si>
  <si>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</si>
  <si>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</si>
  <si>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</si>
  <si>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</si>
  <si>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</si>
  <si>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</si>
  <si>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</si>
  <si>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</si>
  <si>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</si>
  <si>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</si>
  <si>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</si>
  <si>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</si>
  <si>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</si>
  <si>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</si>
  <si>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</si>
  <si>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</si>
  <si>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</si>
  <si>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</si>
  <si>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</si>
  <si>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</si>
  <si>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</si>
  <si>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</si>
  <si>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</si>
  <si>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</si>
  <si>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</si>
  <si>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</si>
  <si>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</si>
  <si>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</si>
  <si>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</si>
  <si>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</si>
  <si>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</si>
  <si>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</si>
  <si>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</si>
  <si>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</si>
  <si>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</si>
  <si>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</si>
  <si>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</si>
  <si>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</si>
  <si>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</si>
  <si>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</si>
  <si>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</si>
  <si>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</si>
  <si>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</si>
  <si>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</si>
  <si>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</si>
  <si>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</si>
  <si>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</si>
  <si>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</si>
  <si>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</si>
  <si>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</si>
  <si>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</si>
  <si>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</si>
  <si>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</si>
  <si>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</si>
  <si>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</si>
  <si>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</si>
  <si>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</si>
  <si>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</si>
  <si>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</si>
  <si>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</si>
  <si>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</si>
  <si>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</si>
  <si>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</si>
  <si>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</si>
  <si>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</si>
  <si>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</si>
  <si>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</si>
  <si>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</si>
  <si>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</si>
  <si>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</si>
  <si>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</si>
  <si>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</si>
  <si>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</si>
  <si>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</si>
  <si>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</si>
  <si>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</si>
  <si>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</si>
  <si>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</si>
  <si>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</si>
  <si>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</si>
  <si>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</si>
  <si>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</si>
  <si>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</si>
  <si>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</si>
  <si>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</si>
  <si>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</si>
  <si>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</si>
  <si>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</si>
  <si>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</si>
  <si>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</si>
  <si>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</si>
  <si>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</si>
  <si>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</si>
  <si>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</si>
  <si>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</si>
  <si>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</si>
  <si>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</si>
  <si>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</si>
  <si>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</si>
  <si>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</si>
  <si>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</si>
  <si>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</si>
  <si>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</si>
  <si>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</si>
  <si>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</si>
  <si>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</si>
  <si>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</si>
  <si>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</si>
  <si>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</si>
  <si>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</si>
  <si>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</si>
  <si>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</si>
  <si>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</si>
  <si>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</si>
  <si>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</si>
  <si>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</si>
  <si>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</si>
  <si>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</si>
  <si>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</si>
  <si>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</si>
  <si>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</si>
  <si>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</si>
  <si>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</si>
  <si>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</si>
  <si>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</si>
  <si>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</si>
  <si>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</si>
  <si>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</si>
  <si>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</si>
  <si>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</si>
  <si>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</si>
  <si>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</si>
  <si>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</si>
  <si>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</si>
  <si>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</si>
  <si>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</si>
  <si>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</si>
  <si>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</si>
  <si>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</si>
  <si>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</si>
  <si>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</si>
  <si>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</si>
  <si>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</si>
  <si>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</si>
  <si>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</si>
  <si>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</si>
  <si>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</si>
  <si>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</si>
  <si>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</si>
  <si>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</si>
  <si>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</si>
  <si>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</si>
  <si>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</si>
  <si>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</si>
  <si>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</si>
  <si>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</si>
  <si>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</si>
  <si>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</si>
  <si>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</si>
  <si>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</si>
  <si>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</si>
  <si>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</si>
  <si>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</si>
  <si>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</si>
  <si>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</si>
  <si>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</si>
  <si>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</si>
  <si>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</si>
  <si>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</si>
  <si>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</si>
  <si>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</si>
  <si>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</si>
  <si>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</si>
  <si>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</si>
  <si>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</si>
  <si>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</si>
  <si>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</si>
  <si>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</si>
  <si>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</si>
  <si>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</si>
  <si>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</si>
  <si>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</si>
  <si>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</si>
  <si>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</si>
  <si>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</si>
  <si>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</si>
  <si>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</si>
  <si>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</si>
  <si>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</si>
  <si>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</si>
  <si>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</si>
  <si>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</si>
  <si>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</si>
  <si>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</si>
  <si>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</si>
  <si>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</si>
  <si>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</si>
  <si>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</si>
  <si>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</si>
  <si>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</si>
  <si>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</si>
  <si>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</si>
  <si>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</si>
  <si>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</si>
  <si>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</si>
  <si>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</si>
  <si>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</si>
  <si>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</si>
  <si>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</si>
  <si>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</si>
  <si>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</si>
  <si>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</si>
  <si>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</si>
  <si>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</si>
  <si>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</si>
  <si>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</si>
  <si>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</si>
  <si>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</si>
  <si>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</si>
  <si>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</si>
  <si>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</si>
  <si>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</si>
  <si>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</si>
  <si>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</si>
  <si>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</si>
  <si>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</si>
  <si>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</si>
  <si>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</si>
  <si>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</si>
  <si>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</si>
  <si>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</si>
  <si>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</si>
  <si>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</si>
  <si>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</si>
  <si>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</si>
  <si>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</si>
  <si>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</si>
  <si>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</si>
  <si>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</si>
  <si>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</si>
  <si>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</si>
  <si>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</si>
  <si>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</si>
  <si>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</si>
  <si>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</si>
  <si>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</si>
  <si>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</si>
  <si>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</si>
  <si>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</si>
  <si>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</si>
  <si>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</si>
  <si>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</si>
  <si>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</si>
  <si>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</si>
  <si>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</si>
  <si>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</si>
  <si>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</si>
  <si>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</si>
  <si>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</si>
  <si>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</si>
  <si>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</si>
  <si>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</si>
  <si>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</si>
  <si>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</si>
  <si>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</si>
  <si>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</si>
  <si>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</si>
  <si>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</si>
  <si>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</si>
  <si>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</si>
  <si>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</si>
  <si>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</si>
  <si>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</si>
  <si>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</si>
  <si>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</si>
  <si>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</si>
  <si>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</si>
  <si>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</si>
  <si>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</si>
  <si>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</si>
  <si>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</si>
  <si>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</si>
  <si>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</si>
  <si>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</si>
  <si>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</si>
  <si>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</si>
  <si>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</si>
  <si>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</si>
  <si>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</si>
  <si>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</si>
  <si>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</si>
  <si>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</si>
  <si>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</si>
  <si>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</si>
  <si>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</si>
  <si>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</si>
  <si>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</si>
  <si>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</si>
  <si>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</si>
  <si>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</si>
  <si>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</si>
  <si>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</si>
  <si>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</si>
  <si>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</si>
  <si>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</si>
  <si>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</si>
  <si>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</si>
  <si>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</si>
  <si>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</si>
  <si>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</si>
  <si>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</si>
  <si>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</si>
  <si>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</si>
  <si>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</si>
  <si>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</si>
  <si>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</si>
  <si>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</si>
  <si>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</si>
  <si>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</si>
  <si>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</si>
  <si>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</si>
  <si>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</si>
  <si>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</si>
  <si>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</si>
  <si>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</si>
  <si>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</si>
  <si>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</si>
  <si>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</si>
  <si>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</si>
  <si>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</si>
  <si>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</si>
  <si>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</si>
  <si>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</si>
  <si>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</si>
  <si>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</si>
  <si>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</si>
  <si>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</si>
  <si>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</si>
  <si>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</si>
  <si>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</si>
  <si>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</si>
  <si>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</si>
  <si>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</si>
  <si>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</si>
  <si>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</si>
  <si>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</si>
  <si>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</si>
  <si>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</si>
  <si>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</si>
  <si>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</si>
  <si>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</si>
  <si>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</si>
  <si>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</si>
  <si>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</si>
  <si>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</si>
  <si>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</si>
  <si>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</si>
  <si>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</si>
  <si>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</si>
  <si>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</si>
  <si>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</si>
  <si>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</si>
  <si>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</si>
  <si>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</si>
  <si>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</si>
  <si>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</si>
  <si>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</si>
  <si>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</si>
  <si>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</si>
  <si>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</si>
  <si>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</si>
  <si>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</si>
  <si>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</si>
  <si>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</si>
  <si>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</si>
  <si>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</si>
  <si>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</si>
  <si>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</si>
  <si>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</si>
  <si>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</si>
  <si>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</si>
  <si>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</si>
  <si>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</si>
  <si>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</si>
  <si>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</si>
  <si>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</si>
  <si>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</si>
  <si>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</si>
  <si>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</si>
  <si>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</si>
  <si>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</si>
  <si>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</si>
  <si>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</si>
  <si>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</si>
  <si>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</si>
  <si>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</si>
  <si>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</si>
  <si>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</si>
  <si>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</si>
  <si>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</si>
  <si>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</si>
  <si>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</si>
  <si>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</si>
  <si>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</si>
  <si>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</si>
  <si>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</si>
  <si>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</si>
  <si>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</si>
  <si>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</si>
  <si>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</si>
  <si>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</si>
  <si>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</si>
  <si>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</si>
  <si>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</si>
  <si>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</si>
  <si>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</si>
  <si>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</si>
  <si>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</si>
  <si>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</si>
  <si>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</si>
  <si>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</si>
  <si>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</si>
  <si>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</si>
  <si>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</si>
  <si>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</si>
  <si>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</si>
  <si>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</si>
  <si>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</si>
  <si>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</si>
  <si>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</si>
  <si>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</si>
  <si>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</si>
  <si>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</si>
  <si>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</si>
  <si>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</si>
  <si>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</si>
  <si>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</si>
  <si>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</si>
  <si>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</si>
  <si>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</si>
  <si>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</si>
  <si>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</si>
  <si>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</si>
  <si>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</si>
  <si>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</si>
  <si>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</si>
  <si>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</si>
  <si>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</si>
  <si>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</si>
  <si>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</si>
  <si>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</si>
  <si>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</si>
  <si>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</si>
  <si>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</si>
  <si>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</si>
  <si>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</si>
  <si>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</si>
  <si>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</si>
  <si>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</si>
  <si>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</si>
  <si>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</si>
  <si>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</si>
  <si>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</si>
  <si>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</si>
  <si>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</si>
  <si>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</si>
  <si>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</si>
  <si>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</si>
  <si>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</si>
  <si>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</si>
  <si>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</si>
  <si>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</si>
  <si>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</si>
  <si>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</si>
  <si>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</si>
  <si>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</si>
  <si>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</si>
  <si>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</si>
  <si>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</si>
  <si>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</si>
  <si>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</si>
  <si>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</si>
  <si>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</si>
  <si>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</si>
  <si>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</si>
  <si>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</si>
  <si>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</si>
  <si>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</si>
  <si>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</si>
  <si>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</si>
  <si>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</si>
  <si>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</si>
  <si>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</si>
  <si>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</si>
  <si>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</si>
  <si>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</si>
  <si>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</si>
  <si>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</si>
  <si>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</si>
  <si>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</si>
  <si>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</si>
  <si>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</si>
  <si>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</si>
  <si>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</si>
  <si>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</si>
  <si>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</si>
  <si>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</si>
  <si>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</si>
  <si>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</si>
  <si>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</si>
  <si>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</si>
  <si>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</si>
  <si>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</si>
  <si>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</si>
  <si>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</si>
  <si>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</si>
  <si>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</si>
  <si>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</si>
  <si>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</si>
  <si>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</si>
  <si>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</si>
  <si>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</si>
  <si>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</si>
  <si>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</si>
  <si>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</si>
  <si>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</si>
  <si>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</si>
  <si>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</si>
  <si>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</si>
  <si>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</si>
  <si>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</si>
  <si>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</si>
  <si>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</si>
  <si>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</si>
  <si>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</si>
  <si>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</si>
  <si>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</si>
  <si>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</si>
  <si>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</si>
  <si>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</si>
  <si>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</si>
  <si>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</si>
  <si>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</si>
  <si>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</si>
  <si>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</si>
  <si>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</si>
  <si>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</si>
  <si>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</si>
  <si>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</si>
  <si>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</si>
  <si>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</si>
  <si>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</si>
  <si>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</si>
  <si>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</si>
  <si>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</si>
  <si>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</si>
  <si>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</si>
  <si>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</si>
  <si>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</si>
  <si>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</si>
  <si>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</si>
  <si>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</si>
  <si>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</si>
  <si>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</si>
  <si>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</si>
  <si>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</si>
  <si>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</si>
  <si>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</si>
  <si>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</si>
  <si>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</si>
  <si>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</si>
  <si>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</si>
  <si>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</si>
  <si>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</si>
  <si>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</si>
  <si>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</si>
  <si>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</si>
  <si>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</si>
  <si>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</si>
  <si>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</si>
  <si>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</si>
  <si>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</si>
  <si>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</si>
  <si>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</si>
  <si>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</si>
  <si>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</si>
  <si>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</si>
  <si>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</si>
  <si>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</si>
  <si>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</si>
  <si>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</si>
  <si>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</si>
  <si>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</si>
  <si>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</si>
  <si>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</si>
  <si>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</si>
  <si>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</si>
  <si>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</si>
  <si>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</si>
  <si>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</si>
  <si>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</si>
  <si>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</si>
  <si>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</si>
  <si>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</si>
  <si>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</si>
  <si>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</si>
  <si>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</si>
  <si>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</si>
  <si>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</si>
  <si>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</si>
  <si>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</si>
  <si>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</si>
  <si>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</si>
  <si>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</si>
  <si>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</si>
  <si>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</si>
  <si>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</si>
  <si>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</si>
  <si>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</si>
  <si>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</si>
  <si>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</si>
  <si>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</si>
  <si>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</si>
  <si>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</si>
  <si>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</si>
  <si>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</si>
  <si>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</si>
  <si>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</si>
  <si>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</si>
  <si>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</si>
  <si>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抵押价格</t>
  </si>
  <si>
    <t>已注销</t>
  </si>
  <si>
    <t>其他：</t>
  </si>
  <si>
    <t>企业</t>
  </si>
  <si>
    <t>地上</t>
  </si>
  <si>
    <t>洋房</t>
  </si>
  <si>
    <t>地下</t>
  </si>
  <si>
    <t>车库</t>
  </si>
  <si>
    <t>洋房</t>
    <phoneticPr fontId="7" type="noConversion"/>
  </si>
  <si>
    <t>地下车库</t>
    <phoneticPr fontId="7" type="noConversion"/>
  </si>
  <si>
    <t>地块名称</t>
  </si>
  <si>
    <t>城市</t>
  </si>
  <si>
    <t>用地性质</t>
  </si>
  <si>
    <t>区县</t>
  </si>
  <si>
    <t>板块</t>
  </si>
  <si>
    <t>土地位置</t>
  </si>
  <si>
    <t>地块编号</t>
  </si>
  <si>
    <t>建设用地面积(㎡)</t>
  </si>
  <si>
    <t>规划建筑面积(㎡)</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</si>
  <si>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</si>
  <si>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</si>
  <si>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</si>
  <si>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</si>
  <si>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</si>
  <si>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</si>
  <si>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</si>
  <si>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</si>
  <si>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</si>
  <si>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</si>
  <si>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</si>
  <si>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</si>
  <si>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</si>
  <si>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</si>
  <si>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</si>
  <si>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</si>
  <si>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</si>
  <si>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</si>
  <si>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</si>
  <si>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</si>
  <si>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</si>
  <si>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</si>
  <si>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</si>
  <si>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</si>
  <si>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</si>
  <si>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</si>
  <si>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</si>
  <si>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</si>
  <si>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</si>
  <si>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</si>
  <si>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</si>
  <si>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</si>
  <si>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</si>
  <si>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</si>
  <si>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</si>
  <si>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</si>
  <si>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</si>
  <si>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爵溪街道办事处北侧、昌欣路西侧地块</t>
  </si>
  <si>
    <t>宁波市</t>
  </si>
  <si>
    <t>住宅用地</t>
  </si>
  <si>
    <t>象山县</t>
  </si>
  <si>
    <t>爵溪</t>
  </si>
  <si>
    <t>爵溪街道办事处北侧、昌欣路西侧</t>
  </si>
  <si>
    <t>1.0＜容积率≤1.1</t>
  </si>
  <si>
    <t>拍卖</t>
  </si>
  <si>
    <t>城镇住宅用地(普通商品房)</t>
  </si>
  <si>
    <t>限地价,竞配建,含保障房用地</t>
  </si>
  <si>
    <t>未开工</t>
  </si>
  <si>
    <t>2021-06-02</t>
  </si>
  <si>
    <t>2021-06-23</t>
  </si>
  <si>
    <t>象自然资规出告字〔2021〕8号</t>
  </si>
  <si>
    <t>已成交</t>
  </si>
  <si>
    <t>汤忠泉</t>
  </si>
  <si>
    <t>普通商品房用地70年</t>
  </si>
  <si>
    <t>1星</t>
  </si>
  <si>
    <t>丹南路南侧、白鹤路两侧地块</t>
  </si>
  <si>
    <t>丹西</t>
  </si>
  <si>
    <t>丹南路南侧、白鹤路两侧</t>
  </si>
  <si>
    <t>1.0＜容积率≤1.5</t>
  </si>
  <si>
    <t>2021-05-28</t>
  </si>
  <si>
    <t>2021-06-18</t>
  </si>
  <si>
    <t>象自然资规出告字〔2021〕7号</t>
  </si>
  <si>
    <t>宁波银象置业有限公司</t>
  </si>
  <si>
    <t>3星</t>
  </si>
  <si>
    <t>象山经济开发区滨海工业园D-6-e地块</t>
  </si>
  <si>
    <t>东陈</t>
  </si>
  <si>
    <t>滨海工业园海迎路与金商路交叉口东北角</t>
  </si>
  <si>
    <t>1.0＜容积率≤1.8</t>
  </si>
  <si>
    <t>限地价,竞配建</t>
  </si>
  <si>
    <t>限地价</t>
  </si>
  <si>
    <t>2021-04-08</t>
  </si>
  <si>
    <t>2021-04-29</t>
  </si>
  <si>
    <t>象自然资规出告字〔2021〕6号</t>
  </si>
  <si>
    <t>浙江省象山经济开发区建设有限公司</t>
  </si>
  <si>
    <t>普通商品房住房用地70年</t>
  </si>
  <si>
    <t>象山县牛昌咀-箩箕湾-下沙湾区块ZX30-02-16e地块</t>
  </si>
  <si>
    <t>象山县爵溪街道牛昌咀-箩箕湾-下沙湾区块亚帆北路西侧</t>
  </si>
  <si>
    <t>1.0＜容积率≤1.01</t>
  </si>
  <si>
    <t>限地价,限房价,竞配建</t>
  </si>
  <si>
    <t>限地价,限房价</t>
  </si>
  <si>
    <t>2021-02-23</t>
  </si>
  <si>
    <t>2021-03-16</t>
  </si>
  <si>
    <t>象自然资规出告字〔2021〕5号</t>
  </si>
  <si>
    <t>宁波三立置业有限公司</t>
  </si>
  <si>
    <t>普通商品住房用地70年</t>
  </si>
  <si>
    <t>2星</t>
  </si>
  <si>
    <t>象山县牛昌咀-箩箕湾-下沙湾区块ZX30-02-15地块</t>
  </si>
  <si>
    <t>象山县爵溪街道牛昌咀-箩箕湾-下沙湾区块亚帆北路北侧</t>
  </si>
  <si>
    <t>宁波国源置业有限公司</t>
  </si>
  <si>
    <t>象山县牛昌咀-箩箕湾-下沙湾区块ZX30-01-30地块</t>
  </si>
  <si>
    <t>象山县爵溪街道牛昌咀-箩箕湾-下沙湾区块亚帆东路西侧</t>
  </si>
  <si>
    <t>1.0＜容积率≤1.2</t>
  </si>
  <si>
    <t>宁波三立海城置业有限公司</t>
  </si>
  <si>
    <t>象山县牛昌咀-箩箕湾-下沙湾区块ZX30-02-20地块</t>
  </si>
  <si>
    <t>象山县牛昌咀-箩箕湾-下沙湾区块ZX30-01-28地块</t>
  </si>
  <si>
    <t>综合用地(含住宅)</t>
  </si>
  <si>
    <t>城镇住宅用地(普通商品房)/旅馆、零售商业、餐饮、商务金融、娱乐用地</t>
  </si>
  <si>
    <t>2021-02-05</t>
  </si>
  <si>
    <t>2021-02-26</t>
  </si>
  <si>
    <t>象自然资规出告字〔2021〕4号</t>
  </si>
  <si>
    <t>宁波海祥置业有限公司</t>
  </si>
  <si>
    <t>象山县牛昌咀-箩箕湾-下沙湾区块ZX30-01-29地块</t>
  </si>
  <si>
    <t>宁波三立海域置业有限公司</t>
  </si>
  <si>
    <t>0星</t>
  </si>
  <si>
    <t>象山县牛昌咀-箩箕湾-下沙湾区块ZX30-01-04地块</t>
  </si>
  <si>
    <t>象山县爵溪街道牛昌咀-箩箕湾-下沙湾区块亚帆东路北侧</t>
  </si>
  <si>
    <t>象山县牛昌咀-箩箕湾-下沙湾区块ZX30-01-27地块</t>
  </si>
  <si>
    <t>象山县牛昌咀-箩箕湾-下沙湾区块ZX30-01-26地块</t>
  </si>
  <si>
    <t>象山县爵溪街道牛昌咀-箩箕湾-下沙湾区块亚帆东路南侧</t>
  </si>
  <si>
    <t>丹山路与丰饶路交叉口东南角地块二</t>
  </si>
  <si>
    <t>中心城区丹山路与丰饶路交叉口东南角</t>
  </si>
  <si>
    <t>2021-02-04</t>
  </si>
  <si>
    <t>2021-02-25</t>
  </si>
  <si>
    <t>象自然资规出告字〔2021〕3号</t>
  </si>
  <si>
    <t>宁波华厦房地产开发有限公司</t>
  </si>
  <si>
    <t>建设路以北、营门路以东地块</t>
  </si>
  <si>
    <t>象山旧城区建设路以北、营门路以东</t>
  </si>
  <si>
    <t>1.0＜容积率≤1.4</t>
  </si>
  <si>
    <t>2021-01-12</t>
  </si>
  <si>
    <t>2021-02-02</t>
  </si>
  <si>
    <t>象自然资规出告字〔2021〕2号</t>
  </si>
  <si>
    <t>象山二期棚户区改造项目丹西街道油车巷地块</t>
  </si>
  <si>
    <t>象山旧城区建设路以南、文昌街以北</t>
  </si>
  <si>
    <t>城镇住宅用地(普通商品房)/零售商业、商务金融用地</t>
  </si>
  <si>
    <t>石浦镇番西地块改造项目B地块</t>
  </si>
  <si>
    <t>石浦</t>
  </si>
  <si>
    <t>石浦镇金山路与军民路交叉口西北角</t>
  </si>
  <si>
    <t>1.0＜容积率≤2.0</t>
  </si>
  <si>
    <t>2020-12-23</t>
  </si>
  <si>
    <t>2021-01-13</t>
  </si>
  <si>
    <t>象自然资规出告字〔2020〕19号</t>
  </si>
  <si>
    <t>象山县坚容置业有限公司</t>
  </si>
  <si>
    <t>石浦镇番西地块改造项目A地块</t>
  </si>
  <si>
    <t>石浦镇金山路与花园路交叉口西北角</t>
  </si>
  <si>
    <t>石浦镇番西地块改造项目C地块</t>
  </si>
  <si>
    <t>石浦镇金山路与凤落路交叉口西北角</t>
  </si>
  <si>
    <t>丹山路北侧、横塘欧村西侧地块</t>
  </si>
  <si>
    <t>中心城区新丰路东侧、丹霞路南侧</t>
  </si>
  <si>
    <t>2020-12-18</t>
  </si>
  <si>
    <t>2021-01-08</t>
  </si>
  <si>
    <t>象自然资规出告字〔2020〕18号</t>
  </si>
  <si>
    <t>宁波新隆创盈房地产开发有限公司</t>
  </si>
  <si>
    <t>新隆控股股份有限公司</t>
  </si>
  <si>
    <t>象山旧城区南街以西、新丰路以东、西街以南、建设路以北</t>
  </si>
  <si>
    <t>南街以西、西街以南地块</t>
  </si>
  <si>
    <t>大于1并且小于或等于1.4</t>
  </si>
  <si>
    <t>城镇住宅-普通商品住房用地</t>
  </si>
  <si>
    <t>小于或等于35</t>
  </si>
  <si>
    <t>2020-11-16</t>
  </si>
  <si>
    <t>2020-12-08</t>
  </si>
  <si>
    <t>象自然资规出告字〔2020〕16号</t>
  </si>
  <si>
    <t>宁波鸿悦置业有限公司</t>
  </si>
  <si>
    <t>华鸿嘉信控股集团有限公司</t>
  </si>
  <si>
    <t>70年</t>
  </si>
  <si>
    <t>象山旧城区西街以南、新丰路以西、营门路以东</t>
  </si>
  <si>
    <t>新丰路以西、西街以南地块</t>
  </si>
  <si>
    <t>大于1并且小于或等于1.5</t>
  </si>
  <si>
    <t>上海恒文投资(集团)有限公司</t>
  </si>
  <si>
    <t>上海恒文投资（集团）有限公司</t>
  </si>
  <si>
    <t>象山经济开发区滨海工业园D-6-d地块</t>
  </si>
  <si>
    <t>大于1并且小于或等于1.8</t>
  </si>
  <si>
    <t>城镇住宅用地</t>
  </si>
  <si>
    <t>小于或等于30</t>
  </si>
  <si>
    <t>开工中</t>
  </si>
  <si>
    <t>2020-08-28</t>
  </si>
  <si>
    <t>2020-09-18</t>
  </si>
  <si>
    <t>象自然资规出告字〔2020〕13号</t>
  </si>
  <si>
    <t>中心城区新一路与宝海路交叉口西北角</t>
  </si>
  <si>
    <t>新一路与宝海路交叉口西北角地块</t>
  </si>
  <si>
    <t>2020-07-20</t>
  </si>
  <si>
    <t>2020-08-11</t>
  </si>
  <si>
    <t>象自然资规出告字〔2020〕12号</t>
  </si>
  <si>
    <t>象山县旧城区改造建设有限公司</t>
  </si>
  <si>
    <t>象山县国有资产经营投资有限公司</t>
  </si>
  <si>
    <t>象山河路与新丰路交叉口东南角</t>
  </si>
  <si>
    <t>象山河路与新丰路交叉口东南角地块</t>
  </si>
  <si>
    <t>小于或等于25</t>
  </si>
  <si>
    <t>2020-05-26</t>
  </si>
  <si>
    <t>2020-06-17</t>
  </si>
  <si>
    <t>象自然资规出告字〔2020〕08号</t>
  </si>
  <si>
    <t>浩创康和(上海)企业发展有限公司</t>
  </si>
  <si>
    <t>浩创置业集团有限公司</t>
  </si>
  <si>
    <t>靖南路与城西路交叉口西北角</t>
  </si>
  <si>
    <t>靖南路与城西路交叉口西北角地块</t>
  </si>
  <si>
    <t>大于1并且小于或等于1.82</t>
  </si>
  <si>
    <t>2020-04-20</t>
  </si>
  <si>
    <t>2020-05-12</t>
  </si>
  <si>
    <t>象自然资规出告字〔2020〕05号</t>
  </si>
  <si>
    <t>象山港路与丹阳路交叉口西南角</t>
  </si>
  <si>
    <t>象山港路与丹阳路交叉口西南角地块</t>
  </si>
  <si>
    <t>杭州浙顺企业管理有限公司</t>
  </si>
  <si>
    <t>绿城中国控股有限公司</t>
  </si>
  <si>
    <t>4星</t>
  </si>
  <si>
    <t>象山县丹东街道建设路与新华路交叉口西北角</t>
  </si>
  <si>
    <t>象山核心区</t>
  </si>
  <si>
    <t>建设路与新华路交叉口西北角地块</t>
  </si>
  <si>
    <t>小于或等于40</t>
  </si>
  <si>
    <t>2020-04-14</t>
  </si>
  <si>
    <t>2020-05-07</t>
  </si>
  <si>
    <t>象自然资规出告字〔2020〕04号</t>
  </si>
  <si>
    <t>邵富强</t>
  </si>
  <si>
    <t>中心城区塔山路与新华路交叉口西北角</t>
  </si>
  <si>
    <t>塔山路与新华路交叉口西北角地块</t>
  </si>
  <si>
    <t>小于或等于36</t>
  </si>
  <si>
    <t>2020-03-27</t>
  </si>
  <si>
    <t>2020-04-17</t>
  </si>
  <si>
    <t>象自然资规出告字〔2020〕02号</t>
  </si>
  <si>
    <t>丹山路与丰饶路交叉口东南角</t>
  </si>
  <si>
    <t>丹山路与丰饶路交叉口东南角地块</t>
  </si>
  <si>
    <t>大于或等于32并且小于或等于32</t>
  </si>
  <si>
    <t>大于或等于24并且小于或等于24</t>
  </si>
  <si>
    <t>2020-02-19</t>
  </si>
  <si>
    <t>2020-03-11</t>
  </si>
  <si>
    <t>象自然资规出告字〔2020〕01号</t>
  </si>
  <si>
    <t>象山经济开发区滨海工业园海泰路与金通路交叉口西南角</t>
  </si>
  <si>
    <t>象山经济开发区滨海工业园D-6-b地块</t>
  </si>
  <si>
    <t>大于1并且小于或等于2.1</t>
  </si>
  <si>
    <t>2019-12-30</t>
  </si>
  <si>
    <t>2020-01-20</t>
  </si>
  <si>
    <t>象自然资规出告字〔2019〕18号</t>
  </si>
  <si>
    <t>象山经济开发区滨海工业园金通路南侧</t>
  </si>
  <si>
    <t>象山经济开发区滨海工业园D-6-a地块</t>
  </si>
  <si>
    <t>大于1并且小于或等于1.6</t>
  </si>
  <si>
    <t>象山经济开发区滨海工业园海泰路与金商路交叉口西北角</t>
  </si>
  <si>
    <t>象山经济开发区滨海工业园D-6-c地块</t>
  </si>
  <si>
    <t>象山县中心城区滨海大道与丰饶路交叉口北侧</t>
  </si>
  <si>
    <t>滨海大道与丰饶路交叉口北侧地块</t>
  </si>
  <si>
    <t>大于1.5并且小于或等于2.3</t>
  </si>
  <si>
    <t>挂牌</t>
  </si>
  <si>
    <t>2019-10-25</t>
  </si>
  <si>
    <t>2019-11-15</t>
  </si>
  <si>
    <t>象自然资规出告字〔2019〕14号</t>
  </si>
  <si>
    <t>象山县城市建设投资集团有限公司</t>
  </si>
  <si>
    <t>石浦镇经五路与纬二路交叉口东南角地块二</t>
  </si>
  <si>
    <t>石浦镇经五路与纬二路交叉口东南角</t>
  </si>
  <si>
    <t>大于或等于30并且小于或等于30</t>
  </si>
  <si>
    <t>小于或等于24</t>
  </si>
  <si>
    <t>2019-09-12</t>
  </si>
  <si>
    <t>2019-10-09</t>
  </si>
  <si>
    <t>象自然资规出告字〔2019〕12号</t>
  </si>
  <si>
    <t>象山经济开发区科技园区建设开发有限公司</t>
  </si>
  <si>
    <t>石浦镇经五路与纬二路交叉口东南角地块四</t>
  </si>
  <si>
    <t>象山县丹东街道巨鹰路东侧、海山路西侧、和景府小区南侧</t>
  </si>
  <si>
    <t>象山县丹东街道原华翔4S店及东侧地块</t>
  </si>
  <si>
    <t>2019-06-21</t>
  </si>
  <si>
    <t>2019-07-12</t>
  </si>
  <si>
    <t>象山县自然资源和规划局国有建设用地使用权拍卖出让公告(象自然资规出告字〔2019〕9号)</t>
  </si>
  <si>
    <t>宁波市都州金戊企业管理咨询有限公*司</t>
  </si>
  <si>
    <t>金地(集团)股份有限公司</t>
  </si>
  <si>
    <t>象山经济开发区城东工业园C-1-02a-1地块</t>
  </si>
  <si>
    <t>涂茨</t>
  </si>
  <si>
    <t>大于或等于1.5并且小于或等于2.5</t>
  </si>
  <si>
    <t>浙江象山经济开发区城南开发建设有限公司</t>
  </si>
  <si>
    <t>象山县城西路原罐头厂地块</t>
  </si>
  <si>
    <t>＞1且≤1.6</t>
  </si>
  <si>
    <t>≥30%且≤30%</t>
  </si>
  <si>
    <t>≥36米且≤36米</t>
  </si>
  <si>
    <t>2019-05-10</t>
  </si>
  <si>
    <t>2019-05-30</t>
  </si>
  <si>
    <t>象自然资规出告字〔2019〕6号</t>
  </si>
  <si>
    <t>宁波碧桂园房地产开发有限公司</t>
  </si>
  <si>
    <t>碧桂园控股有限公司</t>
  </si>
  <si>
    <t>象山县滨海大道以南、巨鹰路以西地块一</t>
  </si>
  <si>
    <t>＞1,≤2.15</t>
  </si>
  <si>
    <t>≥50米且≤50米</t>
  </si>
  <si>
    <t>2019-04-16</t>
  </si>
  <si>
    <t>2019-05-07</t>
  </si>
  <si>
    <t>象自然资规出告字〔2019〕03号-2</t>
  </si>
  <si>
    <t>宁波交运建设集团有限公司</t>
  </si>
  <si>
    <t>象山县滨海大道以南、巨鹰路以西地块二</t>
  </si>
  <si>
    <t>象自然资规出告字〔2019〕03号-1</t>
  </si>
  <si>
    <t>象山经济开发区城东工业园B-1-06b-2地块</t>
  </si>
  <si>
    <t>大徐</t>
  </si>
  <si>
    <t>≥1.5且≤2.5</t>
  </si>
  <si>
    <t>住宅及配套用地</t>
  </si>
  <si>
    <t>30%</t>
  </si>
  <si>
    <t>2019-02-21</t>
  </si>
  <si>
    <t>2019-03-15</t>
  </si>
  <si>
    <t>象自然资规出告字〔2019〕2号</t>
  </si>
  <si>
    <t>住宅70年、商业40年</t>
  </si>
  <si>
    <t>象山经济开发区城东工业园B-1-06b-1地块</t>
  </si>
  <si>
    <t>≤36米</t>
  </si>
  <si>
    <t>2019-01-29</t>
  </si>
  <si>
    <t>象土出告字(2019)1号-3</t>
  </si>
  <si>
    <t>象山县中心城区东谷路与丹山路交叉口西北角</t>
  </si>
  <si>
    <t>东谷路与丹山路交叉口西北角地块三</t>
  </si>
  <si>
    <t>＞1且≤2.25</t>
  </si>
  <si>
    <t>中低价位、中小套型普通商品住房用地</t>
  </si>
  <si>
    <t>≤25%</t>
  </si>
  <si>
    <t>≤80米</t>
  </si>
  <si>
    <t>2018-11-19</t>
  </si>
  <si>
    <t>2018-12-11</t>
  </si>
  <si>
    <t>象土出告字(2018)17号</t>
  </si>
  <si>
    <t>宁波天蓝置业有限公司</t>
  </si>
  <si>
    <t>象山县石浦镇科技园区</t>
  </si>
  <si>
    <t>石浦镇经五路与纬一路交叉口东北角地块二</t>
  </si>
  <si>
    <t>≥1且≤1.6</t>
  </si>
  <si>
    <t>≤30%</t>
  </si>
  <si>
    <t>≤24米</t>
  </si>
  <si>
    <t>2018-11-14</t>
  </si>
  <si>
    <t>2018-12-04</t>
  </si>
  <si>
    <t>象土出告字(2018)15号-1</t>
  </si>
  <si>
    <t>石浦镇经五路与纬一路交叉口东北角地块一</t>
  </si>
  <si>
    <t>象土出告字(2018)15号-2</t>
  </si>
  <si>
    <t>象山县石浦镇凤栖路南侧</t>
  </si>
  <si>
    <t>石浦镇原凤栖路13号商住楼地块</t>
  </si>
  <si>
    <t>≥1且≤1.5</t>
  </si>
  <si>
    <t>≤28%</t>
  </si>
  <si>
    <t>2018-10-31</t>
  </si>
  <si>
    <t>2018-11-21</t>
  </si>
  <si>
    <t>象土出告字(2018)14号-2</t>
  </si>
  <si>
    <t>象山县石浦镇幸福路北侧</t>
  </si>
  <si>
    <t>石浦镇幸福路北侧地块</t>
  </si>
  <si>
    <t>≥1且≤1.8</t>
  </si>
  <si>
    <t>象土出告字(2018)14号-1</t>
  </si>
  <si>
    <t>象山中心城区塔山花园东侧、机关幼儿园塔山分园西侧,原象山中波转播站地块</t>
  </si>
  <si>
    <t>塔山花园东侧(原中波转播站)地块</t>
  </si>
  <si>
    <t>≥1且≤1.05</t>
  </si>
  <si>
    <t>≥14米且≤14米</t>
  </si>
  <si>
    <t>已完工</t>
  </si>
  <si>
    <t>2018-09-30</t>
  </si>
  <si>
    <t>2018-10-23</t>
  </si>
  <si>
    <t>象土出告字(2018)12号-1</t>
  </si>
  <si>
    <t>宁波中意置业有限公司</t>
  </si>
  <si>
    <t>大目湾新城凤鸥路与丽湾路交叉口东北侧</t>
  </si>
  <si>
    <t>大目湾新城ZX26-04地块</t>
  </si>
  <si>
    <t>≤60米</t>
  </si>
  <si>
    <t>2018-07-06</t>
  </si>
  <si>
    <t>2018-07-30</t>
  </si>
  <si>
    <t>象土出告字[2018]08号</t>
  </si>
  <si>
    <t>廊坊市中投置地房地产开发有限公司</t>
  </si>
  <si>
    <t>石榴置业集团股份有限公司</t>
  </si>
  <si>
    <t>象保合作区启动区</t>
  </si>
  <si>
    <t>新桥</t>
  </si>
  <si>
    <t>象保合作区XB01-01-18-02地块</t>
  </si>
  <si>
    <t>2018-05-19</t>
  </si>
  <si>
    <t>2018-06-08</t>
  </si>
  <si>
    <t>2018-06-19</t>
  </si>
  <si>
    <t>象保土出告字〔2018〕002号-6</t>
  </si>
  <si>
    <t>宁波正成房地产开发有限公司</t>
  </si>
  <si>
    <t>正常</t>
  </si>
  <si>
    <t>住宅</t>
    <phoneticPr fontId="26" type="noConversion"/>
  </si>
  <si>
    <t>楼面地价</t>
  </si>
  <si>
    <t>是</t>
    <phoneticPr fontId="26" type="noConversion"/>
  </si>
  <si>
    <t>否</t>
    <phoneticPr fontId="26" type="noConversion"/>
  </si>
  <si>
    <t>成交总价</t>
    <phoneticPr fontId="3" type="noConversion"/>
  </si>
  <si>
    <t>楼面单价</t>
    <phoneticPr fontId="3" type="noConversion"/>
  </si>
  <si>
    <t>洋房</t>
    <phoneticPr fontId="21" type="noConversion"/>
  </si>
  <si>
    <t>售价</t>
  </si>
  <si>
    <t>剩余法-待开发</t>
  </si>
  <si>
    <t>比较法-住宅、综合</t>
  </si>
  <si>
    <t>好</t>
  </si>
  <si>
    <t>较好</t>
  </si>
  <si>
    <t>精装</t>
  </si>
  <si>
    <t>精装</t>
    <phoneticPr fontId="21" type="noConversion"/>
  </si>
  <si>
    <t>普装</t>
    <phoneticPr fontId="21" type="noConversion"/>
  </si>
  <si>
    <t>简装</t>
    <phoneticPr fontId="21" type="noConversion"/>
  </si>
  <si>
    <t>毛坯</t>
  </si>
  <si>
    <t>毛坯</t>
    <phoneticPr fontId="21" type="noConversion"/>
  </si>
  <si>
    <t>保障房</t>
  </si>
  <si>
    <t>保障房</t>
    <phoneticPr fontId="14" type="noConversion"/>
  </si>
  <si>
    <t>否</t>
  </si>
  <si>
    <t>保障房</t>
    <phoneticPr fontId="7" type="noConversion"/>
  </si>
  <si>
    <t>自定义</t>
  </si>
  <si>
    <t>按租金收入计税</t>
  </si>
  <si>
    <t>钢混</t>
  </si>
  <si>
    <t>不动产收益法</t>
  </si>
  <si>
    <t>土地（套用方法）</t>
  </si>
  <si>
    <t>一般</t>
  </si>
  <si>
    <t>六通</t>
  </si>
  <si>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</si>
  <si>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</si>
  <si>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</si>
  <si>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</si>
  <si>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</si>
  <si>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</si>
  <si>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</si>
  <si>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</si>
  <si>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</si>
  <si>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</si>
  <si>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phoneticPr fontId="26" type="noConversion"/>
  </si>
  <si>
    <t>五通</t>
    <phoneticPr fontId="26" type="noConversion"/>
  </si>
  <si>
    <t>四通</t>
    <phoneticPr fontId="26" type="noConversion"/>
  </si>
  <si>
    <t>七通</t>
    <phoneticPr fontId="26" type="noConversion"/>
  </si>
  <si>
    <t>三通</t>
  </si>
  <si>
    <t>三通</t>
    <phoneticPr fontId="26" type="noConversion"/>
  </si>
  <si>
    <t>较差</t>
  </si>
  <si>
    <t>差</t>
  </si>
  <si>
    <t>住宅</t>
    <phoneticPr fontId="21" type="noConversion"/>
  </si>
  <si>
    <t>荣安涌清府</t>
    <phoneticPr fontId="3" type="noConversion"/>
  </si>
  <si>
    <t>绿城·桂语江南</t>
    <phoneticPr fontId="3" type="noConversion"/>
  </si>
  <si>
    <t>宝龙东望</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</si>
</sst>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6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164" fillId="0" borderId="0" xfId="0" applyFont="1" applyAlignment="1"/>
    <xf numFmtId="0" fontId="164" fillId="6" borderId="0" xfId="0" applyFont="1" applyFill="1" applyAlignment="1"/>
    <xf numFmtId="0" fontId="170" fillId="0" borderId="0" xfId="0" applyFont="1" applyAlignment="1"/>
    <xf numFmtId="0" fontId="144" fillId="0" borderId="6"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446505</xdr:colOff>
      <xdr:row>37</xdr:row>
      <xdr:rowOff>8731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61905" cy="6352381"/>
        </a:xfrm>
        <a:prstGeom prst="rect">
          <a:avLst/>
        </a:prstGeom>
      </xdr:spPr>
    </xdr:pic>
    <xdr:clientData/>
  </xdr:twoCellAnchor>
  <xdr:twoCellAnchor editAs="oneCell">
    <xdr:from>
      <xdr:col>14</xdr:col>
      <xdr:colOff>0</xdr:colOff>
      <xdr:row>0</xdr:row>
      <xdr:rowOff>0</xdr:rowOff>
    </xdr:from>
    <xdr:to>
      <xdr:col>26</xdr:col>
      <xdr:colOff>303734</xdr:colOff>
      <xdr:row>44</xdr:row>
      <xdr:rowOff>37153</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0"/>
          <a:ext cx="8533334" cy="7580953"/>
        </a:xfrm>
        <a:prstGeom prst="rect">
          <a:avLst/>
        </a:prstGeom>
      </xdr:spPr>
    </xdr:pic>
    <xdr:clientData/>
  </xdr:twoCellAnchor>
  <xdr:twoCellAnchor editAs="oneCell">
    <xdr:from>
      <xdr:col>0</xdr:col>
      <xdr:colOff>0</xdr:colOff>
      <xdr:row>41</xdr:row>
      <xdr:rowOff>0</xdr:rowOff>
    </xdr:from>
    <xdr:to>
      <xdr:col>13</xdr:col>
      <xdr:colOff>637545</xdr:colOff>
      <xdr:row>71</xdr:row>
      <xdr:rowOff>109734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891618"/>
          <a:ext cx="9523810" cy="5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2636</v>
      </c>
      <c r="B1" s="2608" t="s">
        <v>2733</v>
      </c>
    </row>
    <row r="2" spans="1:55" s="2612" customFormat="1" ht="15" thickTop="1">
      <c r="A2" s="2610" t="s">
        <v>2640</v>
      </c>
      <c r="B2" s="2611" t="str">
        <f>'预评函-封皮'!B37</f>
        <v>出让国有建设用地使用权抵押价格预评估</v>
      </c>
      <c r="AX2" s="2613"/>
      <c r="AZ2" s="2613"/>
      <c r="BA2" s="2614"/>
      <c r="BC2" s="2614"/>
    </row>
    <row r="3" spans="1:55" s="2615" customFormat="1">
      <c r="A3" s="2594" t="s">
        <v>2641</v>
      </c>
      <c r="B3" s="2597">
        <f>'预评函-封皮'!B40</f>
        <v>0</v>
      </c>
    </row>
    <row r="4" spans="1:55" s="2596" customFormat="1">
      <c r="A4" s="2594" t="s">
        <v>2642</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2643</v>
      </c>
      <c r="B5" s="2617" t="str">
        <f>'预评函-封皮'!B49</f>
        <v>康正预评字号</v>
      </c>
    </row>
    <row r="6" spans="1:55" s="2618" customFormat="1" ht="15" thickTop="1">
      <c r="A6" s="2610" t="s">
        <v>2685</v>
      </c>
      <c r="B6" s="2611" t="str">
        <f>'预评函-1'!A4</f>
        <v>受贵公司委托，我公司对出让国有建设用地使用权抵押价格进行了预评估。</v>
      </c>
      <c r="AM6" s="2619"/>
    </row>
    <row r="7" spans="1:55" s="2593" customFormat="1">
      <c r="A7" s="2594" t="s">
        <v>2637</v>
      </c>
      <c r="B7" s="2595" t="str">
        <f>'预评函-1'!A6</f>
        <v>估价对象为使用的、位于出让国有建设用地使用权。根据《国有土地使用证》[]，估价对象（分摊）出让国有建设用地使用权面积为45034平方米。根据《建设工程规划许可证》[]、《出让合同》[]，估价对象规划建筑面积为88976平方米。</v>
      </c>
    </row>
    <row r="8" spans="1:55" s="2593" customFormat="1">
      <c r="A8" s="2594" t="s">
        <v>2638</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2688</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2639</v>
      </c>
      <c r="B10" s="2595" t="str">
        <f>'预评函-1'!A11</f>
        <v>2021年7月8日（评估专业人员勘察现场之日）</v>
      </c>
    </row>
    <row r="11" spans="1:55" s="2593" customFormat="1">
      <c r="A11" s="2594" t="s">
        <v>2645</v>
      </c>
      <c r="B11" s="2595" t="str">
        <f>'预评函-1'!A14</f>
        <v>根据《国有土地使用证》[]，本次评估估价对象证载（地类）用途为。</v>
      </c>
    </row>
    <row r="12" spans="1:55" s="2593" customFormat="1">
      <c r="A12" s="2594" t="s">
        <v>2646</v>
      </c>
      <c r="B12" s="2595" t="str">
        <f>'预评函-1'!A15</f>
        <v>本次评估设定用途即为证载用途。</v>
      </c>
    </row>
    <row r="13" spans="1:55" s="2593" customFormat="1">
      <c r="A13" s="2594" t="s">
        <v>2647</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2648</v>
      </c>
      <c r="B14" s="2595" t="str">
        <f>'预评函-1'!A18</f>
        <v>。本次评估设定土地开发程度为红线外市政基础设施达“七通”、宗地红线内场地平整。</v>
      </c>
    </row>
    <row r="15" spans="1:55" s="2593" customFormat="1">
      <c r="A15" s="2594" t="s">
        <v>2644</v>
      </c>
      <c r="B15" s="2595" t="str">
        <f>'预评函-1'!A20</f>
        <v>根据《国有土地使用证》[]，估价对象（分摊）出让国有建设用地使用权面积为45034平方米。根据《建设工程规划许可证》[]、《出让合同》[]，估价对象规划建筑面积为88976平方米。</v>
      </c>
    </row>
    <row r="16" spans="1:55" s="2593" customFormat="1">
      <c r="A16" s="2594" t="s">
        <v>2649</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7月7日车库2071年7月7日。截至估价期日，出让国有建设用地使用权剩余土地使用年限为。</v>
      </c>
    </row>
    <row r="17" spans="1:48" s="2593" customFormat="1">
      <c r="A17" s="2594" t="s">
        <v>2650</v>
      </c>
      <c r="B17" s="2595" t="str">
        <f>'预评函-1'!A23</f>
        <v>本次评估设定估价对象剩余土地使用年限为。</v>
      </c>
    </row>
    <row r="18" spans="1:48" s="2593" customFormat="1">
      <c r="A18" s="2594" t="s">
        <v>2651</v>
      </c>
      <c r="B18" s="2595" t="str">
        <f>'预评函-1'!A25</f>
        <v>本次估价的“出让国有建设用地使用权价格”是指在估价对象土地所有权为国家所有，使用权性质为出让，在公开市场条件下、于估价期日2021年7月8日，在规划利用条件下、设定土地开发程度为红线外“七通”、宗地内场地，设定用途为，剩余土地使用年限为的出让国有建设用地使用权价格。</v>
      </c>
    </row>
    <row r="19" spans="1:48" s="2593" customFormat="1">
      <c r="A19" s="2594" t="s">
        <v>2652</v>
      </c>
      <c r="B19" s="2595"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593" customFormat="1">
      <c r="A20" s="2594" t="s">
        <v>2653</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2654</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2655</v>
      </c>
      <c r="B22" s="260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4" t="s">
        <v>2656</v>
      </c>
      <c r="B23" s="2595" t="str">
        <f>'预评函-2'!K2</f>
        <v>估价期日：2021年7月8日</v>
      </c>
    </row>
    <row r="24" spans="1:48">
      <c r="A24" s="2594" t="s">
        <v>2657</v>
      </c>
      <c r="B24" s="2595" t="str">
        <f>'预评函-2'!R2</f>
        <v>估价期日的国有建设用地使用权性质：出让</v>
      </c>
    </row>
    <row r="25" spans="1:48">
      <c r="A25" s="2594" t="s">
        <v>2713</v>
      </c>
      <c r="B25" s="2595" t="str">
        <f>'预评函-2'!A3</f>
        <v>估价期日土地使用者</v>
      </c>
    </row>
    <row r="26" spans="1:48">
      <c r="A26" s="2594" t="s">
        <v>2689</v>
      </c>
      <c r="B26" s="2595" t="str">
        <f>'预评函-2'!A5</f>
        <v>中信开发</v>
      </c>
    </row>
    <row r="27" spans="1:48">
      <c r="A27" s="2594" t="s">
        <v>2714</v>
      </c>
      <c r="B27" s="2595" t="str">
        <f>'预评函-2'!B3</f>
        <v>宗地编号/不动产单元号</v>
      </c>
    </row>
    <row r="28" spans="1:48">
      <c r="A28" s="2594" t="s">
        <v>2690</v>
      </c>
      <c r="B28" s="2595" t="str">
        <f>'预评函-2'!B5</f>
        <v>11111111111</v>
      </c>
    </row>
    <row r="29" spans="1:48">
      <c r="A29" s="2594" t="s">
        <v>2716</v>
      </c>
      <c r="B29" s="2595">
        <f>'预评函-2'!C5</f>
        <v>22</v>
      </c>
    </row>
    <row r="30" spans="1:48">
      <c r="A30" s="2594" t="s">
        <v>2717</v>
      </c>
      <c r="B30" s="2595" t="str">
        <f>'预评函-2'!D3</f>
        <v>土地使用证编号/不动产权证书编号</v>
      </c>
    </row>
    <row r="31" spans="1:48">
      <c r="A31" s="2594" t="s">
        <v>2691</v>
      </c>
      <c r="B31" s="2595" t="str">
        <f>'预评函-2'!D5</f>
        <v>京国土字第111号</v>
      </c>
    </row>
    <row r="32" spans="1:48">
      <c r="A32" s="2594" t="s">
        <v>2692</v>
      </c>
      <c r="B32" s="2595">
        <f>'预评函-2'!E5</f>
        <v>0</v>
      </c>
      <c r="AV32" s="2599"/>
    </row>
    <row r="33" spans="1:2">
      <c r="A33" s="2594" t="s">
        <v>2693</v>
      </c>
      <c r="B33" s="2595">
        <f>'预评函-2'!F5</f>
        <v>258</v>
      </c>
    </row>
    <row r="34" spans="1:2">
      <c r="A34" s="2594" t="s">
        <v>2694</v>
      </c>
      <c r="B34" s="2595">
        <f>'预评函-2'!G5</f>
        <v>0</v>
      </c>
    </row>
    <row r="35" spans="1:2">
      <c r="A35" s="2594" t="s">
        <v>2695</v>
      </c>
      <c r="B35" s="2595">
        <f>'预评函-2'!H5</f>
        <v>1.5</v>
      </c>
    </row>
    <row r="36" spans="1:2">
      <c r="A36" s="2594" t="s">
        <v>2696</v>
      </c>
      <c r="B36" s="2595">
        <f>'预评函-2'!I5</f>
        <v>1.5</v>
      </c>
    </row>
    <row r="37" spans="1:2">
      <c r="A37" s="2594" t="s">
        <v>2697</v>
      </c>
      <c r="B37" s="2595">
        <f>'预评函-2'!J5</f>
        <v>1.5</v>
      </c>
    </row>
    <row r="38" spans="1:2">
      <c r="A38" s="2594" t="s">
        <v>2698</v>
      </c>
      <c r="B38" s="2595" t="str">
        <f>'预评函-2'!K5</f>
        <v>红线外七通、宗地红线内</v>
      </c>
    </row>
    <row r="39" spans="1:2">
      <c r="A39" s="2594" t="s">
        <v>2699</v>
      </c>
      <c r="B39" s="2595" t="str">
        <f>'预评函-2'!L5</f>
        <v>红线外七通、宗地红线内场地</v>
      </c>
    </row>
    <row r="40" spans="1:2">
      <c r="A40" s="2594" t="s">
        <v>2718</v>
      </c>
      <c r="B40" s="2595" t="str">
        <f>'预评函-2'!M3</f>
        <v>（剩余）土地使用年限/年</v>
      </c>
    </row>
    <row r="41" spans="1:2">
      <c r="A41" s="2594" t="s">
        <v>2700</v>
      </c>
      <c r="B41" s="2595">
        <f>'预评函-2'!M5</f>
        <v>0</v>
      </c>
    </row>
    <row r="42" spans="1:2">
      <c r="A42" s="2594" t="s">
        <v>2719</v>
      </c>
      <c r="B42" s="2595" t="str">
        <f>'预评函-2'!N3</f>
        <v>（分摊）出让国有建设用地使用权面积/㎡</v>
      </c>
    </row>
    <row r="43" spans="1:2">
      <c r="A43" s="2594" t="s">
        <v>2701</v>
      </c>
      <c r="B43" s="2595">
        <f>'预评函-2'!N5</f>
        <v>45034</v>
      </c>
    </row>
    <row r="44" spans="1:2">
      <c r="A44" s="2594" t="s">
        <v>2720</v>
      </c>
      <c r="B44" s="2595" t="str">
        <f>'预评函-2'!O3</f>
        <v>规划建筑面积/㎡</v>
      </c>
    </row>
    <row r="45" spans="1:2">
      <c r="A45" s="2594" t="s">
        <v>2702</v>
      </c>
      <c r="B45" s="2595">
        <f>'预评函-2'!O5</f>
        <v>88976</v>
      </c>
    </row>
    <row r="46" spans="1:2">
      <c r="A46" s="2594" t="s">
        <v>2703</v>
      </c>
      <c r="B46" s="2595">
        <f ca="1">'预评函-2'!P5</f>
        <v>10246</v>
      </c>
    </row>
    <row r="47" spans="1:2">
      <c r="A47" s="2594" t="s">
        <v>2704</v>
      </c>
      <c r="B47" s="2595">
        <f ca="1">'预评函-2'!Q5</f>
        <v>5186</v>
      </c>
    </row>
    <row r="48" spans="1:2">
      <c r="A48" s="2594" t="s">
        <v>2705</v>
      </c>
      <c r="B48" s="2595">
        <f ca="1">'预评函-2'!R5</f>
        <v>46140</v>
      </c>
    </row>
    <row r="49" spans="1:2">
      <c r="A49" s="2594" t="s">
        <v>2721</v>
      </c>
      <c r="B49" s="2595" t="str">
        <f>'预评函-2'!A6</f>
        <v>抵押价格</v>
      </c>
    </row>
    <row r="50" spans="1:2">
      <c r="A50" s="2594" t="s">
        <v>2706</v>
      </c>
      <c r="B50" s="2595" t="str">
        <f>'预评函-2'!R6</f>
        <v>——</v>
      </c>
    </row>
    <row r="51" spans="1:2">
      <c r="A51" s="2594" t="s">
        <v>2722</v>
      </c>
      <c r="B51" s="2595" t="str">
        <f>'预评函-2'!A7</f>
        <v>——</v>
      </c>
    </row>
    <row r="52" spans="1:2">
      <c r="A52" s="2594" t="s">
        <v>2707</v>
      </c>
      <c r="B52" s="2595">
        <f ca="1">'预评函-2'!R7</f>
        <v>46140</v>
      </c>
    </row>
    <row r="53" spans="1:2">
      <c r="A53" s="2594" t="s">
        <v>2723</v>
      </c>
      <c r="B53" s="2595">
        <f>'预评函-2'!A8</f>
        <v>0</v>
      </c>
    </row>
    <row r="54" spans="1:2" s="2609" customFormat="1" ht="15" thickBot="1">
      <c r="A54" s="2616" t="s">
        <v>2708</v>
      </c>
      <c r="B54" s="2617" t="str">
        <f>'预评函-2'!R8</f>
        <v>——</v>
      </c>
    </row>
    <row r="55" spans="1:2" ht="15" thickTop="1">
      <c r="A55" s="2605" t="s">
        <v>2658</v>
      </c>
      <c r="B55" s="2606" t="str">
        <f>'预评函-3'!A2</f>
        <v>1.权利限制：根据估价对象《不动产权证书》原件、《国有土地使用权》复印件，截至估价期日，估价对象抵押权未见登记。未设定租赁等其他他项权利。</v>
      </c>
    </row>
    <row r="56" spans="1:2">
      <c r="A56" s="2594" t="s">
        <v>2659</v>
      </c>
      <c r="B56" s="2595" t="str">
        <f>'预评函-3'!A3</f>
        <v>2.基础设施条件：估价对象实际开发程度为红线外七通、宗地红线内；本次评估设定开发程度为红线外七通、宗地红线内场地。</v>
      </c>
    </row>
    <row r="57" spans="1:2">
      <c r="A57" s="2594" t="s">
        <v>2660</v>
      </c>
      <c r="B57" s="2595" t="str">
        <f>'预评函-3'!A4</f>
        <v>3.估价规划限制条件：详见《建设工程规划许可证》[]、《出让合同》[]。</v>
      </c>
    </row>
    <row r="58" spans="1:2" s="2609" customFormat="1" ht="15" thickBot="1">
      <c r="A58" s="2616" t="s">
        <v>2709</v>
      </c>
      <c r="B58" s="2617" t="str">
        <f>'预评函-3'!A5</f>
        <v>4.影响价格的其他限定条件：无。</v>
      </c>
    </row>
    <row r="59" spans="1:2" ht="15" thickTop="1">
      <c r="A59" s="2605" t="s">
        <v>2661</v>
      </c>
      <c r="B59" s="2606" t="str">
        <f>'预评函-3'!A8</f>
        <v>2.本《评估意见函》仅供金融机构进行内部审核使用，不做其他目的之用。</v>
      </c>
    </row>
    <row r="60" spans="1:2">
      <c r="A60" s="2594" t="s">
        <v>2662</v>
      </c>
      <c r="B60" s="2595" t="str">
        <f>'预评函-3'!A9</f>
        <v>3.抵押双方在办理抵押登记手续时，应使用本公司出具的正式《土地估价报告》，特提请报告使用者注意。</v>
      </c>
    </row>
    <row r="61" spans="1:2">
      <c r="A61" s="2594" t="s">
        <v>2664</v>
      </c>
      <c r="B61" s="2595" t="str">
        <f>'预评函-3'!A10</f>
        <v>4.估价师所知悉的法定优先受偿款情况为：</v>
      </c>
    </row>
    <row r="62" spans="1:2">
      <c r="A62" s="2594" t="s">
        <v>2663</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2665</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2666</v>
      </c>
      <c r="B64" s="2600" t="str">
        <f>'预评函-3'!A13</f>
        <v>（3）。</v>
      </c>
    </row>
    <row r="65" spans="1:2">
      <c r="A65" s="2594" t="s">
        <v>2667</v>
      </c>
      <c r="B65" s="2601" t="str">
        <f>'预评函-3'!A14</f>
        <v>综上，本次评估不存在估价师知悉的法定优先受偿款</v>
      </c>
    </row>
    <row r="66" spans="1:2">
      <c r="A66" s="2594" t="s">
        <v>2668</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2669</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2672</v>
      </c>
      <c r="B68" s="2620">
        <f>'预评函-3'!D30</f>
        <v>42558</v>
      </c>
    </row>
    <row r="69" spans="1:2" ht="15" thickTop="1">
      <c r="A69" s="2605" t="s">
        <v>2670</v>
      </c>
      <c r="B69" s="2606" t="str">
        <f>'预评函-3'!A20</f>
        <v>土地估价师</v>
      </c>
    </row>
    <row r="70" spans="1:2">
      <c r="A70" s="2594" t="s">
        <v>2670</v>
      </c>
      <c r="B70" s="2601">
        <f>'预评函-3'!B20</f>
        <v>0</v>
      </c>
    </row>
    <row r="71" spans="1:2">
      <c r="A71" s="2594" t="s">
        <v>2671</v>
      </c>
      <c r="B71" s="2595" t="str">
        <f>'预评函-3'!A21</f>
        <v>土地估价师</v>
      </c>
    </row>
    <row r="72" spans="1:2" s="2609" customFormat="1" ht="15" thickBot="1">
      <c r="A72" s="2616" t="s">
        <v>2671</v>
      </c>
      <c r="B72" s="2622">
        <f>'预评函-3'!B21</f>
        <v>0</v>
      </c>
    </row>
    <row r="73" spans="1:2" ht="15" thickTop="1">
      <c r="A73" s="2605" t="s">
        <v>2730</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2731</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2732</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2766</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I28" sqref="I28"/>
    </sheetView>
  </sheetViews>
  <sheetFormatPr defaultColWidth="10" defaultRowHeight="14.25"/>
  <cols>
    <col min="1" max="1" width="15.375" style="1612" customWidth="1"/>
    <col min="2" max="2" width="11.375" style="1612" customWidth="1"/>
    <col min="3" max="3" width="12.625" style="1612" customWidth="1"/>
    <col min="4" max="4" width="16.2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1926</v>
      </c>
      <c r="B1" s="3328" t="str">
        <f>IF(B10="北京市","北京市",C10)&amp;F10&amp;B16&amp;"国有建设用地使用权"&amp;B9&amp;"预评估"</f>
        <v>出让国有建设用地使用权抵押价格预评估</v>
      </c>
      <c r="C1" s="3329"/>
      <c r="D1" s="3329"/>
      <c r="E1" s="3329"/>
      <c r="F1" s="3329"/>
      <c r="G1" s="3329"/>
      <c r="H1" s="3329"/>
      <c r="I1" s="3330"/>
      <c r="J1" s="3072"/>
      <c r="K1" s="2309" t="str">
        <f>IF(B10="北京市","北京市",C10)&amp;F10&amp;B16&amp;"国有建设用地使用权"&amp;B9</f>
        <v>出让国有建设用地使用权抵押价格</v>
      </c>
      <c r="L1" s="3051"/>
      <c r="M1" s="3051"/>
      <c r="N1" s="3052"/>
      <c r="O1" s="3053"/>
      <c r="P1" s="3052"/>
      <c r="Q1" s="3052"/>
      <c r="R1" s="3052"/>
      <c r="S1" s="3052"/>
      <c r="T1" s="3052"/>
      <c r="U1" s="3052"/>
    </row>
    <row r="2" spans="1:21">
      <c r="A2" s="1586" t="s">
        <v>1927</v>
      </c>
      <c r="B2" s="1754"/>
      <c r="D2" s="3072"/>
      <c r="E2" s="3072"/>
      <c r="F2" s="3072"/>
      <c r="G2" s="3072"/>
      <c r="H2" s="3073"/>
      <c r="I2" s="3074"/>
      <c r="J2" s="3072"/>
      <c r="K2" s="2309" t="str">
        <f>IF(B10="北京市","北京市",C10)&amp;F10&amp;B16&amp;"国有建设用地使用权"</f>
        <v>出让国有建设用地使用权</v>
      </c>
      <c r="L2" s="3051"/>
      <c r="M2" s="3051"/>
      <c r="N2" s="3052"/>
      <c r="O2" s="3053"/>
      <c r="P2" s="3052"/>
      <c r="Q2" s="3052"/>
      <c r="R2" s="3052"/>
      <c r="S2" s="3052"/>
      <c r="T2" s="3052"/>
      <c r="U2" s="3052"/>
    </row>
    <row r="3" spans="1:21">
      <c r="A3" s="1587" t="s">
        <v>1928</v>
      </c>
      <c r="B3" s="1588">
        <v>44385</v>
      </c>
      <c r="C3" s="2995" t="s">
        <v>1984</v>
      </c>
      <c r="D3" s="1588">
        <v>44385</v>
      </c>
      <c r="E3" s="3072"/>
      <c r="F3" s="3072"/>
      <c r="G3" s="3072"/>
      <c r="H3" s="3073"/>
      <c r="I3" s="3074"/>
      <c r="J3" s="3072"/>
      <c r="K3" s="3055"/>
      <c r="L3" s="3051"/>
      <c r="M3" s="3051"/>
      <c r="N3" s="3052"/>
      <c r="O3" s="3053"/>
      <c r="P3" s="3052"/>
      <c r="Q3" s="3052"/>
      <c r="R3" s="3052"/>
      <c r="S3" s="3052"/>
      <c r="T3" s="3052"/>
      <c r="U3" s="3052"/>
    </row>
    <row r="4" spans="1:21" ht="15" thickBot="1">
      <c r="A4" s="1590" t="s">
        <v>1929</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2"/>
      <c r="K4" s="2309" t="str">
        <f>IF(AND(F4="——",H4="——"),B4&amp;"、"&amp;D4,IF(AND(F4&lt;&gt;"——",H4="——"),B4&amp;"、"&amp;D4&amp;"、"&amp;F4,B4&amp;"、"&amp;D4&amp;"、"&amp;F4&amp;"、"&amp;H4))</f>
        <v>土地估价师、土地估价师</v>
      </c>
      <c r="L4" s="3051"/>
      <c r="M4" s="3051"/>
      <c r="N4" s="3052"/>
      <c r="O4" s="3053"/>
      <c r="P4" s="3052"/>
      <c r="Q4" s="3052"/>
      <c r="R4" s="3052"/>
      <c r="S4" s="3052"/>
      <c r="T4" s="3052"/>
      <c r="U4" s="3052"/>
    </row>
    <row r="5" spans="1:21" ht="15" thickTop="1">
      <c r="A5" s="1591" t="s">
        <v>1930</v>
      </c>
      <c r="B5" s="1702"/>
      <c r="C5" s="1592"/>
      <c r="D5" s="1593"/>
      <c r="E5" s="3072"/>
      <c r="F5" s="3072"/>
      <c r="G5" s="3072"/>
      <c r="H5" s="3073"/>
      <c r="I5" s="3074"/>
      <c r="J5" s="3072"/>
      <c r="K5" s="3055"/>
      <c r="L5" s="3051"/>
      <c r="M5" s="3051"/>
      <c r="N5" s="3052"/>
      <c r="O5" s="3053"/>
      <c r="P5" s="3052"/>
      <c r="Q5" s="3052"/>
      <c r="R5" s="3052"/>
      <c r="S5" s="3052"/>
      <c r="T5" s="3052"/>
      <c r="U5" s="3052"/>
    </row>
    <row r="6" spans="1:21" ht="26.25">
      <c r="A6" s="1589" t="s">
        <v>2686</v>
      </c>
      <c r="B6" s="1702"/>
      <c r="C6" s="1677"/>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2687</v>
      </c>
      <c r="B7" s="1702"/>
      <c r="C7" s="1677"/>
      <c r="D7" s="1594"/>
      <c r="E7" s="3072"/>
      <c r="F7" s="3072"/>
      <c r="G7" s="3072"/>
      <c r="H7" s="3073"/>
      <c r="I7" s="3074"/>
      <c r="J7" s="3072"/>
      <c r="K7" s="3055"/>
      <c r="L7" s="3051"/>
      <c r="M7" s="3051"/>
      <c r="N7" s="3052"/>
      <c r="O7" s="3053"/>
      <c r="P7" s="3052"/>
      <c r="Q7" s="3052"/>
      <c r="R7" s="3052"/>
      <c r="S7" s="3052"/>
      <c r="T7" s="3052"/>
      <c r="U7" s="3052"/>
    </row>
    <row r="8" spans="1:21">
      <c r="A8" s="2996" t="s">
        <v>1931</v>
      </c>
      <c r="B8" s="1596" t="s">
        <v>2956</v>
      </c>
      <c r="C8" s="1597"/>
      <c r="D8" s="3334" t="s">
        <v>1933</v>
      </c>
      <c r="E8" s="1756" t="s">
        <v>3007</v>
      </c>
      <c r="F8" s="1598"/>
      <c r="G8" s="3073"/>
      <c r="H8" s="3073"/>
      <c r="I8" s="3076"/>
      <c r="J8" s="3072"/>
      <c r="K8" s="3055"/>
      <c r="L8" s="3051"/>
      <c r="M8" s="3051"/>
      <c r="N8" s="3052"/>
      <c r="O8" s="3053"/>
      <c r="P8" s="3052"/>
      <c r="Q8" s="3052"/>
      <c r="R8" s="3052"/>
      <c r="S8" s="3052"/>
      <c r="T8" s="3052"/>
      <c r="U8" s="3052"/>
    </row>
    <row r="9" spans="1:21" ht="15" thickBot="1">
      <c r="A9" s="2997" t="s">
        <v>1932</v>
      </c>
      <c r="B9" s="1599" t="s">
        <v>3006</v>
      </c>
      <c r="C9" s="1600"/>
      <c r="D9" s="3335"/>
      <c r="E9" s="1599"/>
      <c r="F9" s="1663"/>
      <c r="G9" s="3077"/>
      <c r="H9" s="3077"/>
      <c r="I9" s="3078"/>
      <c r="J9" s="3072"/>
      <c r="K9" s="3055"/>
      <c r="L9" s="3051"/>
      <c r="M9" s="3051"/>
      <c r="N9" s="3052"/>
      <c r="O9" s="3053"/>
      <c r="P9" s="3052"/>
      <c r="Q9" s="3052"/>
      <c r="R9" s="3052"/>
      <c r="S9" s="3052"/>
      <c r="T9" s="3052"/>
      <c r="U9" s="3052"/>
    </row>
    <row r="10" spans="1:21" ht="15" thickTop="1">
      <c r="A10" s="2998" t="s">
        <v>1988</v>
      </c>
      <c r="B10" s="1639" t="s">
        <v>3008</v>
      </c>
      <c r="C10" s="1601"/>
      <c r="D10" s="1593"/>
      <c r="E10" s="1602" t="s">
        <v>1935</v>
      </c>
      <c r="F10" s="1603"/>
      <c r="G10" s="1661"/>
      <c r="H10" s="1662"/>
      <c r="I10" s="1593"/>
      <c r="J10" s="3072"/>
      <c r="K10" s="3055"/>
      <c r="L10" s="3051"/>
      <c r="M10" s="3051"/>
      <c r="N10" s="3052"/>
      <c r="O10" s="3053"/>
      <c r="P10" s="3052"/>
      <c r="Q10" s="3052"/>
      <c r="R10" s="3052"/>
      <c r="S10" s="3052"/>
      <c r="T10" s="3052"/>
      <c r="U10" s="3052"/>
    </row>
    <row r="11" spans="1:21">
      <c r="A11" s="2999" t="s">
        <v>1989</v>
      </c>
      <c r="B11" s="1618" t="s">
        <v>3009</v>
      </c>
      <c r="C11" s="1604"/>
      <c r="D11" s="1678"/>
      <c r="E11" s="3071"/>
      <c r="F11" s="3071"/>
      <c r="G11" s="3071"/>
      <c r="H11" s="3071"/>
      <c r="I11" s="3071"/>
      <c r="J11" s="3072"/>
      <c r="K11" s="3055"/>
      <c r="L11" s="3051"/>
      <c r="M11" s="3051"/>
      <c r="N11" s="3052"/>
      <c r="O11" s="3053"/>
      <c r="P11" s="3052"/>
      <c r="Q11" s="3052"/>
      <c r="R11" s="3052"/>
      <c r="S11" s="3052"/>
      <c r="T11" s="3052"/>
      <c r="U11" s="3052"/>
    </row>
    <row r="12" spans="1:21">
      <c r="A12" s="1698" t="s">
        <v>2047</v>
      </c>
      <c r="B12" s="3331"/>
      <c r="C12" s="3332"/>
      <c r="D12" s="3333"/>
      <c r="E12" s="1619" t="s">
        <v>2050</v>
      </c>
      <c r="F12" s="3349" t="s">
        <v>2868</v>
      </c>
      <c r="G12" s="3350"/>
      <c r="H12" s="3350"/>
      <c r="I12" s="3351"/>
      <c r="J12" s="3072"/>
      <c r="K12" s="3055"/>
      <c r="L12" s="3051"/>
      <c r="M12" s="3051"/>
      <c r="N12" s="3052"/>
      <c r="O12" s="3053"/>
      <c r="P12" s="3052"/>
      <c r="Q12" s="3052"/>
      <c r="R12" s="3052"/>
      <c r="S12" s="3052"/>
      <c r="T12" s="3052"/>
      <c r="U12" s="3052"/>
    </row>
    <row r="13" spans="1:21">
      <c r="A13" s="1610" t="s">
        <v>2048</v>
      </c>
      <c r="B13" s="3331"/>
      <c r="C13" s="3332"/>
      <c r="D13" s="3333"/>
      <c r="E13" s="1619" t="s">
        <v>2050</v>
      </c>
      <c r="F13" s="3349" t="s">
        <v>2869</v>
      </c>
      <c r="G13" s="3350"/>
      <c r="H13" s="3350"/>
      <c r="I13" s="3351"/>
      <c r="J13" s="3072"/>
      <c r="K13" s="3055"/>
      <c r="L13" s="3051"/>
      <c r="M13" s="3051"/>
      <c r="N13" s="3052"/>
      <c r="O13" s="3053"/>
      <c r="P13" s="3052"/>
      <c r="Q13" s="3052"/>
      <c r="R13" s="3052"/>
      <c r="S13" s="3052"/>
      <c r="T13" s="3052"/>
      <c r="U13" s="3052"/>
    </row>
    <row r="14" spans="1:21">
      <c r="A14" s="1587" t="s">
        <v>2051</v>
      </c>
      <c r="B14" s="1619"/>
      <c r="C14" s="1757"/>
      <c r="D14" s="1653" t="str">
        <f>IF(C14="不一致","是否符合证载地类范围","")</f>
        <v/>
      </c>
      <c r="E14" s="1619"/>
      <c r="F14" s="1703"/>
      <c r="G14" s="1648"/>
      <c r="H14" s="1648"/>
      <c r="I14" s="1750"/>
      <c r="J14" s="3072"/>
      <c r="K14" s="3055"/>
      <c r="L14" s="3051"/>
      <c r="M14" s="3051"/>
      <c r="N14" s="3052"/>
      <c r="O14" s="3053"/>
      <c r="P14" s="3052"/>
      <c r="Q14" s="3052"/>
      <c r="R14" s="3052"/>
      <c r="S14" s="3052"/>
      <c r="T14" s="3052"/>
      <c r="U14" s="3052"/>
    </row>
    <row r="15" spans="1:21" hidden="1">
      <c r="A15" s="2486"/>
      <c r="B15" s="1589"/>
      <c r="C15" s="1589"/>
      <c r="D15" s="1682" t="s">
        <v>1938</v>
      </c>
      <c r="E15" s="1682" t="s">
        <v>1939</v>
      </c>
      <c r="F15" s="1682" t="s">
        <v>1940</v>
      </c>
      <c r="G15" s="1609" t="s">
        <v>1941</v>
      </c>
      <c r="H15" s="1609" t="s">
        <v>1942</v>
      </c>
      <c r="I15" s="1609" t="s">
        <v>1943</v>
      </c>
      <c r="J15" s="3072"/>
      <c r="K15" s="3055"/>
      <c r="L15" s="3051"/>
      <c r="M15" s="3051"/>
      <c r="N15" s="3052"/>
      <c r="O15" s="3053"/>
      <c r="P15" s="3052"/>
      <c r="Q15" s="3052"/>
      <c r="R15" s="3052"/>
      <c r="S15" s="3052"/>
      <c r="T15" s="3052"/>
      <c r="U15" s="3052"/>
    </row>
    <row r="16" spans="1:21" ht="28.5">
      <c r="A16" s="3000" t="s">
        <v>1936</v>
      </c>
      <c r="B16" s="1605" t="s">
        <v>2951</v>
      </c>
      <c r="C16" s="1619" t="s">
        <v>1937</v>
      </c>
      <c r="D16" s="2487" t="s">
        <v>1938</v>
      </c>
      <c r="E16" s="1642"/>
      <c r="F16" s="1642"/>
      <c r="G16" s="1642" t="s">
        <v>3013</v>
      </c>
      <c r="H16" s="1642"/>
      <c r="I16" s="1609" t="s">
        <v>1943</v>
      </c>
      <c r="J16" s="3072"/>
      <c r="K16" s="2310" t="str">
        <f>IF(D17="","",D16&amp;TEXT(D17,"yyyy年m月d日;;"))</f>
        <v>住宅2091年7月7日</v>
      </c>
      <c r="L16" s="1619" t="str">
        <f>IF(OR(K16="",M16=""),"","、")</f>
        <v/>
      </c>
      <c r="M16" s="2310" t="str">
        <f>IF(E17="","",E16&amp;TEXT(E17,"yyyy年m月d日;;"))</f>
        <v/>
      </c>
      <c r="N16" s="1619" t="str">
        <f>IF(OR(M16="",O16=""),"","、")</f>
        <v/>
      </c>
      <c r="O16" s="2310" t="str">
        <f>IF(F17="","",F16&amp;TEXT(F17,"yyyy年m月d日;;"))</f>
        <v/>
      </c>
      <c r="P16" s="1619" t="str">
        <f>IF(OR(O16="",Q16=""),"","、")</f>
        <v/>
      </c>
      <c r="Q16" s="2310" t="str">
        <f>IF(G17="","",G16&amp;TEXT(G17,"yyyy年m月d日;;"))</f>
        <v>车库2071年7月7日</v>
      </c>
      <c r="R16" s="1619" t="str">
        <f>IF(OR(Q16="",S16=""),"","、")</f>
        <v/>
      </c>
      <c r="S16" s="2310" t="str">
        <f>IF(H17="","",H16&amp;TEXT(H17,"yyyy年m月d日;;"))</f>
        <v/>
      </c>
      <c r="T16" s="1619" t="str">
        <f>IF(OR(S16="",U16=""),"","、")</f>
        <v/>
      </c>
      <c r="U16" s="2310" t="str">
        <f>IF(I17="","",I16&amp;TEXT(I17,"yyyy年m月d日;;"))</f>
        <v/>
      </c>
    </row>
    <row r="17" spans="1:21">
      <c r="A17" s="1679"/>
      <c r="B17" s="1606"/>
      <c r="C17" s="3001" t="s">
        <v>1944</v>
      </c>
      <c r="D17" s="1620">
        <v>69951</v>
      </c>
      <c r="E17" s="1620"/>
      <c r="F17" s="1620"/>
      <c r="G17" s="1620">
        <v>62646</v>
      </c>
      <c r="H17" s="1620"/>
      <c r="I17" s="1620"/>
      <c r="J17" s="3072"/>
      <c r="K17" s="3050" t="str">
        <f>CONCATENATE(K16,L16,M16,N16,O16,P16,Q16,R16,S16,T16,,U16)</f>
        <v>住宅2091年7月7日车库2071年7月7日</v>
      </c>
      <c r="L17" s="3051"/>
      <c r="M17" s="3051"/>
      <c r="N17" s="3052"/>
      <c r="O17" s="3053"/>
      <c r="P17" s="3052"/>
      <c r="Q17" s="3052"/>
      <c r="R17" s="3052"/>
      <c r="S17" s="3052"/>
      <c r="T17" s="3052"/>
      <c r="U17" s="3052"/>
    </row>
    <row r="18" spans="1:21">
      <c r="A18" s="1679"/>
      <c r="B18" s="1606"/>
      <c r="C18" s="3001" t="s">
        <v>1945</v>
      </c>
      <c r="D18" s="1607">
        <v>70</v>
      </c>
      <c r="E18" s="1607"/>
      <c r="F18" s="1607"/>
      <c r="G18" s="1607">
        <v>50</v>
      </c>
      <c r="H18" s="1607"/>
      <c r="I18" s="1607"/>
      <c r="J18" s="3072"/>
      <c r="K18" s="3055"/>
      <c r="L18" s="3051"/>
      <c r="M18" s="3051"/>
      <c r="N18" s="3052"/>
      <c r="O18" s="3053"/>
      <c r="P18" s="3052"/>
      <c r="Q18" s="3052"/>
      <c r="R18" s="3052"/>
      <c r="S18" s="3052"/>
      <c r="T18" s="3052"/>
      <c r="U18" s="3052"/>
    </row>
    <row r="19" spans="1:21">
      <c r="A19" s="1679"/>
      <c r="B19" s="1606"/>
      <c r="C19" s="1586" t="s">
        <v>1946</v>
      </c>
      <c r="D19" s="1674">
        <f>IF(B16="出让",IF(D17="","",ROUNDDOWN(MIN((D17-$D$3)/365,D18),2)),D18)</f>
        <v>70</v>
      </c>
      <c r="E19" s="1608" t="str">
        <f>IF(B16="出让",IF(E17="","",ROUNDDOWN(MIN((E17-$D$3)/365,E18),2)),E18)</f>
        <v/>
      </c>
      <c r="F19" s="1608" t="str">
        <f>IF(B16="出让",IF(F17="","",ROUNDDOWN(MIN((F17-$D$3)/365,F18),2)),F18)</f>
        <v/>
      </c>
      <c r="G19" s="1608">
        <f>IF(B16="出让",IF(G17="","",ROUNDDOWN(MIN((G17-$D$3)/365,G18),2)),G18)</f>
        <v>50</v>
      </c>
      <c r="H19" s="1608" t="str">
        <f>IF(B16="出让",IF(H17="","",ROUNDDOWN(MIN((H17-$D$3)/365,H18),2)),H18)</f>
        <v/>
      </c>
      <c r="I19" s="1608" t="str">
        <f>IF(B16="出让",IF(I17="","",ROUNDDOWN(MIN((I17-$D$3)/365,I18),2)),I18)</f>
        <v/>
      </c>
      <c r="J19" s="3072"/>
      <c r="K19" s="3055"/>
      <c r="L19" s="3051"/>
      <c r="M19" s="3051"/>
      <c r="N19" s="3052"/>
      <c r="O19" s="3053"/>
      <c r="P19" s="3052"/>
      <c r="Q19" s="3052"/>
      <c r="R19" s="3052"/>
      <c r="S19" s="3052"/>
      <c r="T19" s="3052"/>
      <c r="U19" s="3052"/>
    </row>
    <row r="20" spans="1:21">
      <c r="A20" s="1699"/>
      <c r="B20" s="1700"/>
      <c r="C20" s="1701" t="s">
        <v>2049</v>
      </c>
      <c r="D20" s="3346"/>
      <c r="E20" s="3347"/>
      <c r="F20" s="3347"/>
      <c r="G20" s="3347"/>
      <c r="H20" s="3347"/>
      <c r="I20" s="3348"/>
      <c r="J20" s="3072"/>
      <c r="K20" s="3055"/>
      <c r="L20" s="3051"/>
      <c r="M20" s="3051"/>
      <c r="N20" s="3052"/>
      <c r="O20" s="3053"/>
      <c r="P20" s="3052"/>
      <c r="Q20" s="3052"/>
      <c r="R20" s="3052"/>
      <c r="S20" s="3052"/>
      <c r="T20" s="3052"/>
      <c r="U20" s="3052"/>
    </row>
    <row r="21" spans="1:21">
      <c r="A21" s="1679" t="s">
        <v>1947</v>
      </c>
      <c r="B21" s="1680" t="s">
        <v>1948</v>
      </c>
      <c r="C21" s="1675">
        <f>'数据-汇总表'!E3</f>
        <v>88976</v>
      </c>
      <c r="D21" s="1676" t="s">
        <v>1949</v>
      </c>
      <c r="E21" s="3336" t="s">
        <v>1987</v>
      </c>
      <c r="F21" s="3337"/>
      <c r="G21" s="3337"/>
      <c r="H21" s="3337"/>
      <c r="I21" s="3338"/>
      <c r="J21" s="3072"/>
      <c r="K21" s="3055"/>
      <c r="L21" s="3051"/>
      <c r="M21" s="3051"/>
      <c r="N21" s="3052"/>
      <c r="O21" s="3053"/>
      <c r="P21" s="3052"/>
      <c r="Q21" s="3052"/>
      <c r="R21" s="3052"/>
      <c r="S21" s="3052"/>
      <c r="T21" s="3052"/>
      <c r="U21" s="3052"/>
    </row>
    <row r="22" spans="1:21">
      <c r="A22" s="2800" t="s">
        <v>943</v>
      </c>
      <c r="B22" s="1587" t="s">
        <v>1950</v>
      </c>
      <c r="C22" s="1609">
        <f>'数据-汇总表'!D3</f>
        <v>45034</v>
      </c>
      <c r="D22" s="1610" t="s">
        <v>1949</v>
      </c>
      <c r="E22" s="3336" t="s">
        <v>2870</v>
      </c>
      <c r="F22" s="3337"/>
      <c r="G22" s="3337"/>
      <c r="H22" s="3337"/>
      <c r="I22" s="3338"/>
      <c r="J22" s="3072"/>
      <c r="K22" s="3055"/>
      <c r="L22" s="3051"/>
      <c r="M22" s="3051"/>
      <c r="N22" s="3052"/>
      <c r="O22" s="3053"/>
      <c r="P22" s="3052"/>
      <c r="Q22" s="3052"/>
      <c r="R22" s="3052"/>
      <c r="S22" s="3052"/>
      <c r="T22" s="3052"/>
      <c r="U22" s="3052"/>
    </row>
    <row r="23" spans="1:21" ht="29.25" thickBot="1">
      <c r="A23" s="1681" t="s">
        <v>1951</v>
      </c>
      <c r="B23" s="1621" t="s">
        <v>1952</v>
      </c>
      <c r="C23" s="1622"/>
      <c r="D23" s="1623" t="s">
        <v>1953</v>
      </c>
      <c r="E23" s="1624"/>
      <c r="F23" s="1625" t="str">
        <f>IF(AND(C23="是",E23="否"),"是否提供他项权证或相关说明","")</f>
        <v/>
      </c>
      <c r="G23" s="1626"/>
      <c r="H23" s="3072"/>
      <c r="I23" s="3076"/>
      <c r="J23" s="3072"/>
      <c r="K23" s="3055"/>
      <c r="L23" s="3051"/>
      <c r="M23" s="3051"/>
      <c r="N23" s="3052"/>
      <c r="O23" s="3053"/>
      <c r="P23" s="3052"/>
      <c r="Q23" s="3052"/>
      <c r="R23" s="3052"/>
      <c r="S23" s="3052"/>
      <c r="T23" s="3052"/>
      <c r="U23" s="3052"/>
    </row>
    <row r="24" spans="1:21">
      <c r="A24" s="1666" t="s">
        <v>1954</v>
      </c>
      <c r="B24" s="3339" t="s">
        <v>1955</v>
      </c>
      <c r="C24" s="3340"/>
      <c r="D24" s="3341" t="s">
        <v>1956</v>
      </c>
      <c r="E24" s="3342"/>
      <c r="F24" s="1628" t="s">
        <v>1957</v>
      </c>
      <c r="G24" s="3072"/>
      <c r="H24" s="3072"/>
      <c r="I24" s="3076"/>
      <c r="J24" s="3072"/>
      <c r="K24" s="3327"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2"/>
      <c r="O24" s="3053"/>
      <c r="P24" s="3052"/>
      <c r="Q24" s="3052"/>
      <c r="R24" s="3052"/>
      <c r="S24" s="3052"/>
      <c r="T24" s="3052"/>
      <c r="U24" s="3052"/>
    </row>
    <row r="25" spans="1:21" ht="28.5">
      <c r="A25" s="1667"/>
      <c r="B25" s="1664" t="s">
        <v>2313</v>
      </c>
      <c r="C25" s="1629" t="s">
        <v>1959</v>
      </c>
      <c r="D25" s="1630"/>
      <c r="E25" s="1631" t="s">
        <v>943</v>
      </c>
      <c r="F25" s="1632"/>
      <c r="G25" s="3072"/>
      <c r="H25" s="3072"/>
      <c r="I25" s="3076"/>
      <c r="J25" s="3072"/>
      <c r="K25" s="3327"/>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2"/>
      <c r="O25" s="3053"/>
      <c r="P25" s="3052"/>
      <c r="Q25" s="3052"/>
      <c r="R25" s="3052"/>
      <c r="S25" s="3052"/>
      <c r="T25" s="3052"/>
      <c r="U25" s="3052"/>
    </row>
    <row r="26" spans="1:21" ht="29.25" thickBot="1">
      <c r="A26" s="1668"/>
      <c r="B26" s="1665" t="s">
        <v>1960</v>
      </c>
      <c r="C26" s="1629" t="s">
        <v>2314</v>
      </c>
      <c r="D26" s="3073"/>
      <c r="E26" s="3073"/>
      <c r="F26" s="3079"/>
      <c r="G26" s="3072"/>
      <c r="H26" s="3072"/>
      <c r="I26" s="3076"/>
      <c r="J26" s="3072"/>
      <c r="K26" s="3327"/>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2"/>
      <c r="O26" s="3053"/>
      <c r="P26" s="3052"/>
      <c r="Q26" s="3052"/>
      <c r="R26" s="3052"/>
      <c r="S26" s="3052"/>
      <c r="T26" s="3052"/>
      <c r="U26" s="3052"/>
    </row>
    <row r="27" spans="1:21">
      <c r="A27" s="1671" t="s">
        <v>1961</v>
      </c>
      <c r="B27" s="1669" t="s">
        <v>1962</v>
      </c>
      <c r="C27" s="1633"/>
      <c r="D27" s="2492" t="s">
        <v>1962</v>
      </c>
      <c r="E27" s="1634"/>
      <c r="F27" s="3079"/>
      <c r="G27" s="3072"/>
      <c r="H27" s="3072"/>
      <c r="I27" s="3076"/>
      <c r="J27" s="3072"/>
      <c r="K27" s="3055"/>
      <c r="L27" s="3051"/>
      <c r="M27" s="3051"/>
      <c r="N27" s="3052"/>
      <c r="O27" s="3053"/>
      <c r="P27" s="3052"/>
      <c r="Q27" s="3052"/>
      <c r="R27" s="3052"/>
      <c r="S27" s="3052"/>
      <c r="T27" s="3052"/>
      <c r="U27" s="3052"/>
    </row>
    <row r="28" spans="1:21">
      <c r="A28" s="1672"/>
      <c r="B28" s="1669" t="s">
        <v>1963</v>
      </c>
      <c r="C28" s="1635"/>
      <c r="D28" s="2493" t="s">
        <v>1963</v>
      </c>
      <c r="E28" s="1636"/>
      <c r="F28" s="3079"/>
      <c r="G28" s="3072"/>
      <c r="H28" s="3072"/>
      <c r="I28" s="3076"/>
      <c r="J28" s="3072"/>
      <c r="K28" s="3055"/>
      <c r="L28" s="3051"/>
      <c r="M28" s="3051"/>
      <c r="N28" s="3052"/>
      <c r="O28" s="3053"/>
      <c r="P28" s="3052"/>
      <c r="Q28" s="3052"/>
      <c r="R28" s="3052"/>
      <c r="S28" s="3052"/>
      <c r="T28" s="3052"/>
      <c r="U28" s="3052"/>
    </row>
    <row r="29" spans="1:21">
      <c r="A29" s="1672"/>
      <c r="B29" s="1669" t="s">
        <v>1964</v>
      </c>
      <c r="C29" s="1635"/>
      <c r="D29" s="2493" t="s">
        <v>1964</v>
      </c>
      <c r="E29" s="1636"/>
      <c r="F29" s="3079"/>
      <c r="G29" s="3072"/>
      <c r="H29" s="3072"/>
      <c r="I29" s="3076"/>
      <c r="J29" s="3072"/>
      <c r="K29" s="3055"/>
      <c r="L29" s="3051"/>
      <c r="M29" s="3051"/>
      <c r="N29" s="3052"/>
      <c r="O29" s="3053"/>
      <c r="P29" s="3052"/>
      <c r="Q29" s="3052"/>
      <c r="R29" s="3052"/>
      <c r="S29" s="3052"/>
      <c r="T29" s="3052"/>
      <c r="U29" s="3052"/>
    </row>
    <row r="30" spans="1:21" ht="15" thickBot="1">
      <c r="A30" s="1673"/>
      <c r="B30" s="1670" t="s">
        <v>1965</v>
      </c>
      <c r="C30" s="1637"/>
      <c r="D30" s="2494" t="s">
        <v>1965</v>
      </c>
      <c r="E30" s="1638"/>
      <c r="F30" s="3080"/>
      <c r="G30" s="3077"/>
      <c r="H30" s="3077"/>
      <c r="I30" s="3078"/>
      <c r="J30" s="3072"/>
      <c r="K30" s="3055"/>
      <c r="L30" s="3051"/>
      <c r="M30" s="3051"/>
      <c r="N30" s="3052"/>
      <c r="O30" s="3053"/>
      <c r="P30" s="3052"/>
      <c r="Q30" s="3052"/>
      <c r="R30" s="3052"/>
      <c r="S30" s="3052"/>
      <c r="T30" s="3052"/>
      <c r="U30" s="3052"/>
    </row>
    <row r="31" spans="1:21" ht="15" thickTop="1">
      <c r="A31" s="3354" t="s">
        <v>1990</v>
      </c>
      <c r="B31" s="1680" t="s">
        <v>1991</v>
      </c>
      <c r="C31" s="3352"/>
      <c r="D31" s="3353"/>
      <c r="E31" s="3072"/>
      <c r="F31" s="3072"/>
      <c r="G31" s="3072"/>
      <c r="H31" s="3072"/>
      <c r="I31" s="3076"/>
      <c r="J31" s="3072"/>
      <c r="K31" s="3058"/>
      <c r="L31" s="3052"/>
      <c r="M31" s="3052"/>
      <c r="N31" s="3052"/>
      <c r="O31" s="3052"/>
      <c r="P31" s="3052"/>
      <c r="Q31" s="3052"/>
      <c r="R31" s="3052"/>
      <c r="S31" s="3052"/>
      <c r="T31" s="3052"/>
      <c r="U31" s="3052"/>
    </row>
    <row r="32" spans="1:21">
      <c r="A32" s="3354"/>
      <c r="B32" s="1587" t="s">
        <v>1992</v>
      </c>
      <c r="C32" s="1639"/>
      <c r="D32" s="1640"/>
      <c r="E32" s="3072"/>
      <c r="F32" s="3072"/>
      <c r="G32" s="3072"/>
      <c r="H32" s="3072"/>
      <c r="I32" s="3076"/>
      <c r="J32" s="3072"/>
      <c r="K32" s="3058"/>
      <c r="L32" s="3052"/>
      <c r="M32" s="3052"/>
      <c r="N32" s="3052"/>
      <c r="O32" s="3052"/>
      <c r="P32" s="3052"/>
      <c r="Q32" s="3052"/>
      <c r="R32" s="3052"/>
      <c r="S32" s="3052"/>
      <c r="T32" s="3052"/>
      <c r="U32" s="3052"/>
    </row>
    <row r="33" spans="1:28">
      <c r="A33" s="3354"/>
      <c r="B33" s="1587" t="s">
        <v>1993</v>
      </c>
      <c r="C33" s="1641"/>
      <c r="D33" s="1751"/>
      <c r="E33" s="3072"/>
      <c r="F33" s="3072"/>
      <c r="G33" s="3072"/>
      <c r="H33" s="3072"/>
      <c r="I33" s="3076"/>
      <c r="J33" s="3072"/>
      <c r="K33" s="3058"/>
      <c r="L33" s="3052"/>
      <c r="M33" s="3052"/>
      <c r="N33" s="3052"/>
      <c r="O33" s="3052"/>
      <c r="P33" s="3052"/>
      <c r="Q33" s="3052"/>
      <c r="R33" s="3052"/>
      <c r="S33" s="3052"/>
      <c r="T33" s="3052"/>
      <c r="U33" s="3052"/>
    </row>
    <row r="34" spans="1:28">
      <c r="A34" s="3355"/>
      <c r="B34" s="1587" t="s">
        <v>1994</v>
      </c>
      <c r="C34" s="3356"/>
      <c r="D34" s="3357"/>
      <c r="E34" s="3072"/>
      <c r="F34" s="3072"/>
      <c r="G34" s="3072"/>
      <c r="H34" s="3072"/>
      <c r="I34" s="3076"/>
      <c r="J34" s="3072"/>
      <c r="K34" s="3058"/>
      <c r="L34" s="3052"/>
      <c r="M34" s="3052"/>
      <c r="N34" s="3052"/>
      <c r="O34" s="3052"/>
      <c r="P34" s="3052"/>
      <c r="Q34" s="3052"/>
      <c r="R34" s="3052"/>
      <c r="S34" s="3052"/>
      <c r="T34" s="3052"/>
      <c r="U34" s="3052"/>
    </row>
    <row r="35" spans="1:28">
      <c r="A35" s="3358" t="s">
        <v>839</v>
      </c>
      <c r="B35" s="1642"/>
      <c r="C35" s="1689" t="str">
        <f>IF(B35="场地平整","——","具体情况：")</f>
        <v>具体情况：</v>
      </c>
      <c r="D35" s="3360"/>
      <c r="E35" s="3361"/>
      <c r="F35" s="3361"/>
      <c r="G35" s="3361"/>
      <c r="H35" s="3361"/>
      <c r="I35" s="3362"/>
      <c r="J35" s="3072"/>
      <c r="K35" s="3059"/>
      <c r="L35" s="3051"/>
      <c r="M35" s="3051"/>
      <c r="N35" s="3052"/>
      <c r="O35" s="3053"/>
      <c r="P35" s="3052"/>
      <c r="Q35" s="3052"/>
      <c r="R35" s="3052"/>
      <c r="S35" s="3052"/>
      <c r="T35" s="3052"/>
      <c r="U35" s="3052"/>
    </row>
    <row r="36" spans="1:28">
      <c r="A36" s="3354"/>
      <c r="B36" s="3363" t="s">
        <v>2043</v>
      </c>
      <c r="C36" s="3364"/>
      <c r="D36" s="1705"/>
      <c r="E36" s="3365"/>
      <c r="F36" s="3365"/>
      <c r="G36" s="1610" t="str">
        <f>IF(B35="场地未平整","估价结果处理","")</f>
        <v/>
      </c>
      <c r="H36" s="3366"/>
      <c r="I36" s="3366"/>
      <c r="J36" s="3072"/>
      <c r="K36" s="3059"/>
      <c r="L36" s="3051"/>
      <c r="M36" s="3051"/>
      <c r="N36" s="3052"/>
      <c r="O36" s="3053"/>
      <c r="P36" s="3052"/>
      <c r="Q36" s="3052"/>
      <c r="R36" s="3052"/>
      <c r="S36" s="3052"/>
      <c r="T36" s="3052"/>
      <c r="U36" s="3052"/>
    </row>
    <row r="37" spans="1:28" ht="28.5">
      <c r="A37" s="3354"/>
      <c r="B37" s="3343" t="s">
        <v>840</v>
      </c>
      <c r="C37" s="1644" t="s">
        <v>841</v>
      </c>
      <c r="D37" s="1645"/>
      <c r="E37" s="1646"/>
      <c r="F37" s="3072"/>
      <c r="G37" s="3072"/>
      <c r="H37" s="3072"/>
      <c r="I37" s="3076"/>
      <c r="J37" s="3072"/>
      <c r="K37" s="3059"/>
      <c r="L37" s="3052"/>
      <c r="M37" s="3052"/>
      <c r="N37" s="3052"/>
      <c r="O37" s="3052"/>
      <c r="P37" s="3052"/>
      <c r="Q37" s="3052"/>
      <c r="R37" s="3052"/>
      <c r="S37" s="3052"/>
      <c r="T37" s="3052"/>
      <c r="U37" s="3052"/>
    </row>
    <row r="38" spans="1:28">
      <c r="A38" s="3354"/>
      <c r="B38" s="3344"/>
      <c r="C38" s="1595" t="s">
        <v>842</v>
      </c>
      <c r="D38" s="1704">
        <f>ROUNDDOWN(MIN(('数据-取费表'!$B$2-D37)/365,D34),1)</f>
        <v>121.6</v>
      </c>
      <c r="E38" s="1647" t="s">
        <v>843</v>
      </c>
      <c r="F38" s="3072"/>
      <c r="G38" s="3072"/>
      <c r="H38" s="3072"/>
      <c r="I38" s="3076"/>
      <c r="J38" s="3072"/>
      <c r="K38" s="3059"/>
      <c r="L38" s="3052"/>
      <c r="M38" s="3052"/>
      <c r="N38" s="3052"/>
      <c r="O38" s="3052"/>
      <c r="P38" s="3052"/>
      <c r="Q38" s="3052"/>
      <c r="R38" s="3052"/>
      <c r="S38" s="3052"/>
      <c r="T38" s="3052"/>
      <c r="U38" s="3052"/>
    </row>
    <row r="39" spans="1:28">
      <c r="A39" s="3355"/>
      <c r="B39" s="3345"/>
      <c r="C39" s="1617" t="str">
        <f>IF(D38&lt;1,"不存在土地闲置",IF(B35="宗地内已开工建设","已开工，不存在土地闲置","估价对象已涉嫌土地闲置"))</f>
        <v>估价对象已涉嫌土地闲置</v>
      </c>
      <c r="D39" s="1648"/>
      <c r="E39" s="1649"/>
      <c r="F39" s="3072"/>
      <c r="G39" s="3072"/>
      <c r="H39" s="3072"/>
      <c r="I39" s="3076"/>
      <c r="J39" s="3072"/>
      <c r="K39" s="3055"/>
      <c r="L39" s="3051"/>
      <c r="M39" s="3051"/>
      <c r="N39" s="3052"/>
      <c r="O39" s="3053"/>
      <c r="P39" s="3052"/>
      <c r="Q39" s="3052"/>
      <c r="R39" s="3052"/>
      <c r="S39" s="3052"/>
      <c r="T39" s="3052"/>
      <c r="U39" s="3052"/>
    </row>
    <row r="40" spans="1:28">
      <c r="A40" s="1610" t="s">
        <v>1966</v>
      </c>
      <c r="B40" s="1611"/>
      <c r="C40" s="1611"/>
      <c r="D40" s="1611"/>
      <c r="E40" s="1611"/>
      <c r="F40" s="1611"/>
      <c r="G40" s="1611"/>
      <c r="H40" s="1611"/>
      <c r="I40" s="3076"/>
      <c r="J40" s="3072"/>
      <c r="K40" s="3020">
        <f>COUNTIF(B40:H40,"——")</f>
        <v>0</v>
      </c>
      <c r="L40" s="1619" t="s">
        <v>1967</v>
      </c>
      <c r="M40" s="1616" t="s">
        <v>1968</v>
      </c>
      <c r="N40" s="1616" t="s">
        <v>1969</v>
      </c>
      <c r="O40" s="1616" t="s">
        <v>1970</v>
      </c>
      <c r="P40" s="1616" t="s">
        <v>1971</v>
      </c>
      <c r="Q40" s="1616" t="s">
        <v>1972</v>
      </c>
      <c r="R40" s="1616" t="s">
        <v>1973</v>
      </c>
      <c r="S40" s="3326" t="s">
        <v>1974</v>
      </c>
      <c r="T40" s="1651" t="str">
        <f>NUMBERSTRING(7-K40,1)&amp;"通"</f>
        <v>七通</v>
      </c>
      <c r="U40" s="3052"/>
    </row>
    <row r="41" spans="1:28">
      <c r="A41" s="1589"/>
      <c r="B41" s="3359" t="s">
        <v>1712</v>
      </c>
      <c r="C41" s="3359"/>
      <c r="D41" s="3359"/>
      <c r="E41" s="3359"/>
      <c r="F41" s="1652">
        <f>C10</f>
        <v>0</v>
      </c>
      <c r="G41" s="3072"/>
      <c r="H41" s="3072"/>
      <c r="I41" s="3076"/>
      <c r="J41" s="3072"/>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26"/>
      <c r="T41" s="1653" t="str">
        <f>IF(T40="一通",L41,IF(T40="二通",M41,IF(T40="三通",N41,IF(T40="四通",O41,IF(T40="五通",P41,IF(T40="六通",Q41,R41))))))</f>
        <v>、、、、、、</v>
      </c>
      <c r="U41" s="3052"/>
    </row>
    <row r="42" spans="1:28">
      <c r="A42" s="1655"/>
      <c r="B42" s="1682" t="s">
        <v>1888</v>
      </c>
      <c r="C42" s="1682" t="s">
        <v>1889</v>
      </c>
      <c r="D42" s="1682" t="s">
        <v>1890</v>
      </c>
      <c r="E42" s="1619" t="s">
        <v>1891</v>
      </c>
      <c r="F42" s="1656"/>
      <c r="G42" s="3072"/>
      <c r="H42" s="3072"/>
      <c r="I42" s="3076"/>
      <c r="J42" s="3072"/>
      <c r="K42" s="3055"/>
      <c r="L42" s="3051"/>
      <c r="M42" s="3051"/>
      <c r="N42" s="3052"/>
      <c r="O42" s="3053"/>
      <c r="P42" s="3052"/>
      <c r="Q42" s="3052"/>
      <c r="R42" s="3052"/>
      <c r="S42" s="3052"/>
      <c r="T42" s="3052"/>
      <c r="U42" s="3052"/>
    </row>
    <row r="43" spans="1:28">
      <c r="A43" s="3023" t="s">
        <v>1697</v>
      </c>
      <c r="B43" s="1657"/>
      <c r="C43" s="1657"/>
      <c r="D43" s="1657"/>
      <c r="E43" s="1657"/>
      <c r="F43" s="1658"/>
      <c r="G43" s="3072"/>
      <c r="H43" s="3072"/>
      <c r="I43" s="3076"/>
      <c r="J43" s="3072"/>
      <c r="K43" s="3055"/>
      <c r="L43" s="3051"/>
      <c r="M43" s="3051"/>
      <c r="N43" s="3052"/>
      <c r="O43" s="3053"/>
      <c r="P43" s="3052"/>
      <c r="Q43" s="3052"/>
      <c r="R43" s="3052"/>
      <c r="S43" s="3052"/>
      <c r="T43" s="3052"/>
      <c r="U43" s="3052"/>
    </row>
    <row r="44" spans="1:28">
      <c r="A44" s="3023" t="s">
        <v>1698</v>
      </c>
      <c r="B44" s="1657"/>
      <c r="C44" s="1657"/>
      <c r="D44" s="1657"/>
      <c r="E44" s="1705"/>
      <c r="F44" s="1658"/>
      <c r="G44" s="3072"/>
      <c r="H44" s="3072"/>
      <c r="I44" s="3076"/>
      <c r="J44" s="3072"/>
      <c r="K44" s="3055"/>
      <c r="L44" s="3051"/>
      <c r="M44" s="3051"/>
      <c r="N44" s="3052"/>
      <c r="O44" s="3053"/>
      <c r="P44" s="3052"/>
      <c r="Q44" s="3052"/>
      <c r="R44" s="3052"/>
      <c r="S44" s="3052"/>
      <c r="T44" s="3052"/>
      <c r="U44" s="3052"/>
    </row>
    <row r="45" spans="1:28" s="2771" customFormat="1" ht="21" thickBot="1">
      <c r="A45" s="2772" t="s">
        <v>2871</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7"/>
      <c r="J46" s="1614"/>
      <c r="K46" s="3055"/>
      <c r="L46" s="3051"/>
      <c r="M46" s="3051"/>
      <c r="N46" s="3052"/>
      <c r="O46" s="3053"/>
      <c r="P46" s="3052"/>
      <c r="Q46" s="3052"/>
      <c r="R46" s="3052"/>
      <c r="S46" s="3052"/>
      <c r="T46" s="3052"/>
      <c r="U46" s="3052"/>
    </row>
    <row r="47" spans="1:28">
      <c r="A47" s="1659" t="s">
        <v>1995</v>
      </c>
      <c r="B47" s="1660"/>
      <c r="C47" s="1649"/>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5" t="s">
        <v>2006</v>
      </c>
      <c r="L48" s="3065" t="s">
        <v>2007</v>
      </c>
      <c r="M48" s="3065" t="s">
        <v>2008</v>
      </c>
      <c r="N48" s="3066" t="s">
        <v>2009</v>
      </c>
      <c r="O48" s="3066" t="s">
        <v>2010</v>
      </c>
      <c r="P48" s="3066" t="s">
        <v>2011</v>
      </c>
      <c r="Q48" s="3057" t="s">
        <v>2012</v>
      </c>
      <c r="R48" s="3057" t="s">
        <v>2013</v>
      </c>
      <c r="S48" s="3052"/>
      <c r="T48" s="3052"/>
      <c r="U48" s="3052"/>
    </row>
    <row r="49" spans="1:21">
      <c r="A49" s="1616"/>
      <c r="B49" s="1650"/>
      <c r="C49" s="1650"/>
      <c r="D49" s="1650"/>
      <c r="E49" s="1650"/>
      <c r="F49" s="1650"/>
      <c r="G49" s="1650"/>
      <c r="H49" s="1650"/>
      <c r="I49" s="1650"/>
      <c r="J49" s="1752"/>
      <c r="K49" s="3067"/>
      <c r="L49" s="3067"/>
      <c r="M49" s="1656"/>
      <c r="N49" s="1656"/>
      <c r="O49" s="1656"/>
      <c r="P49" s="1656"/>
      <c r="Q49" s="1656"/>
      <c r="R49" s="1656"/>
      <c r="S49" s="3052"/>
      <c r="T49" s="3052"/>
      <c r="U49" s="3052"/>
    </row>
    <row r="50" spans="1:21">
      <c r="A50" s="1616"/>
      <c r="B50" s="1616"/>
      <c r="C50" s="1650"/>
      <c r="D50" s="1650"/>
      <c r="E50" s="1650"/>
      <c r="F50" s="1650"/>
      <c r="G50" s="1650"/>
      <c r="H50" s="1650"/>
      <c r="I50" s="1650"/>
      <c r="J50" s="1752"/>
      <c r="K50" s="3067"/>
      <c r="L50" s="3067"/>
      <c r="M50" s="1656"/>
      <c r="N50" s="1656"/>
      <c r="O50" s="1656"/>
      <c r="P50" s="1656"/>
      <c r="Q50" s="1656"/>
      <c r="R50" s="1656"/>
      <c r="S50" s="3052"/>
      <c r="T50" s="3052"/>
      <c r="U50" s="3052"/>
    </row>
    <row r="51" spans="1:21">
      <c r="A51" s="1616"/>
      <c r="B51" s="1616"/>
      <c r="C51" s="1650"/>
      <c r="D51" s="1650"/>
      <c r="E51" s="1650"/>
      <c r="F51" s="1650"/>
      <c r="G51" s="1650"/>
      <c r="H51" s="1650"/>
      <c r="I51" s="1650"/>
      <c r="J51" s="1752"/>
      <c r="K51" s="3067"/>
      <c r="L51" s="3067"/>
      <c r="M51" s="1656"/>
      <c r="N51" s="1656"/>
      <c r="O51" s="1656"/>
      <c r="P51" s="1656"/>
      <c r="Q51" s="1656"/>
      <c r="R51" s="1656"/>
      <c r="S51" s="3052"/>
      <c r="T51" s="3052"/>
      <c r="U51" s="3052"/>
    </row>
    <row r="52" spans="1:21">
      <c r="A52" s="1616"/>
      <c r="B52" s="1616"/>
      <c r="C52" s="1650"/>
      <c r="D52" s="1650"/>
      <c r="E52" s="1650"/>
      <c r="F52" s="1650"/>
      <c r="G52" s="1650"/>
      <c r="H52" s="1650"/>
      <c r="I52" s="1650"/>
      <c r="J52" s="1752"/>
      <c r="K52" s="3067"/>
      <c r="L52" s="3067"/>
      <c r="M52" s="1656"/>
      <c r="N52" s="1656"/>
      <c r="O52" s="1656"/>
      <c r="P52" s="1656"/>
      <c r="Q52" s="1656"/>
      <c r="R52" s="1656"/>
      <c r="S52" s="3052"/>
      <c r="T52" s="3052"/>
      <c r="U52" s="3052"/>
    </row>
    <row r="53" spans="1:21">
      <c r="A53" s="1616"/>
      <c r="B53" s="1616"/>
      <c r="C53" s="1650"/>
      <c r="D53" s="1650"/>
      <c r="E53" s="1650"/>
      <c r="F53" s="1650"/>
      <c r="G53" s="1650"/>
      <c r="H53" s="1650"/>
      <c r="I53" s="1650"/>
      <c r="J53" s="1752"/>
      <c r="K53" s="3067"/>
      <c r="L53" s="3067"/>
      <c r="M53" s="1656"/>
      <c r="N53" s="1656"/>
      <c r="O53" s="1656"/>
      <c r="P53" s="1656"/>
      <c r="Q53" s="1656"/>
      <c r="R53" s="1656"/>
      <c r="S53" s="3052"/>
      <c r="T53" s="3052"/>
      <c r="U53" s="3052"/>
    </row>
    <row r="54" spans="1:21">
      <c r="A54" s="1616"/>
      <c r="B54" s="1616"/>
      <c r="C54" s="1616"/>
      <c r="D54" s="1616"/>
      <c r="E54" s="1616"/>
      <c r="F54" s="1650"/>
      <c r="G54" s="1616"/>
      <c r="H54" s="1616"/>
      <c r="I54" s="1616"/>
      <c r="J54" s="1753"/>
      <c r="K54" s="3067"/>
      <c r="L54" s="3067"/>
      <c r="M54" s="3067"/>
      <c r="N54" s="3019"/>
      <c r="O54" s="3019"/>
      <c r="P54" s="3019"/>
      <c r="Q54" s="3019"/>
      <c r="R54" s="3019"/>
      <c r="S54" s="3052"/>
      <c r="T54" s="3052"/>
      <c r="U54" s="3052"/>
    </row>
    <row r="55" spans="1:21">
      <c r="A55" s="1616"/>
      <c r="B55" s="1616"/>
      <c r="C55" s="1616"/>
      <c r="D55" s="1616"/>
      <c r="E55" s="1616"/>
      <c r="F55" s="1650"/>
      <c r="G55" s="1616"/>
      <c r="H55" s="1616"/>
      <c r="I55" s="1616"/>
      <c r="J55" s="1753"/>
      <c r="K55" s="3067"/>
      <c r="L55" s="3067"/>
      <c r="M55" s="3067"/>
      <c r="N55" s="3019"/>
      <c r="O55" s="3019"/>
      <c r="P55" s="3019"/>
      <c r="Q55" s="3019"/>
      <c r="R55" s="3019"/>
      <c r="S55" s="3052"/>
      <c r="T55" s="3052"/>
      <c r="U55" s="3052"/>
    </row>
    <row r="56" spans="1:21">
      <c r="A56" s="1616"/>
      <c r="B56" s="1616"/>
      <c r="C56" s="1616"/>
      <c r="D56" s="1616"/>
      <c r="E56" s="1616"/>
      <c r="F56" s="1650"/>
      <c r="G56" s="1616"/>
      <c r="H56" s="1616"/>
      <c r="I56" s="1616"/>
      <c r="J56" s="1753"/>
      <c r="K56" s="3067"/>
      <c r="L56" s="3067"/>
      <c r="M56" s="3067"/>
      <c r="N56" s="3019"/>
      <c r="O56" s="3019"/>
      <c r="P56" s="3019"/>
      <c r="Q56" s="3019"/>
      <c r="R56" s="3019"/>
      <c r="S56" s="3052"/>
      <c r="T56" s="3052"/>
      <c r="U56" s="3052"/>
    </row>
    <row r="57" spans="1:21">
      <c r="A57" s="1616"/>
      <c r="B57" s="1616"/>
      <c r="C57" s="1616"/>
      <c r="D57" s="1616"/>
      <c r="E57" s="1616"/>
      <c r="F57" s="1650"/>
      <c r="G57" s="1616"/>
      <c r="H57" s="1616"/>
      <c r="I57" s="1616"/>
      <c r="J57" s="1753"/>
      <c r="K57" s="3067"/>
      <c r="L57" s="3067"/>
      <c r="M57" s="3067"/>
      <c r="N57" s="3019"/>
      <c r="O57" s="3019"/>
      <c r="P57" s="3019"/>
      <c r="Q57" s="3019"/>
      <c r="R57" s="3019"/>
      <c r="S57" s="3052"/>
      <c r="T57" s="3052"/>
      <c r="U57" s="3052"/>
    </row>
    <row r="58" spans="1:21">
      <c r="A58" s="1616"/>
      <c r="B58" s="1616"/>
      <c r="C58" s="1616"/>
      <c r="D58" s="1616"/>
      <c r="E58" s="1616"/>
      <c r="F58" s="1650"/>
      <c r="G58" s="1616"/>
      <c r="H58" s="1616"/>
      <c r="I58" s="1616"/>
      <c r="J58" s="1753"/>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31" sqref="M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2321</v>
      </c>
      <c r="BA2" s="2219"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45034</v>
      </c>
      <c r="B3" s="22">
        <f>IF(C3="否",G5-AT5,G5)</f>
        <v>88976</v>
      </c>
      <c r="C3" s="23" t="s">
        <v>3386</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94296</v>
      </c>
      <c r="H5" s="27">
        <f t="shared" ref="H5:AT5" si="0">SUM(H13:H641)</f>
        <v>83032</v>
      </c>
      <c r="I5" s="27">
        <f t="shared" si="0"/>
        <v>56890</v>
      </c>
      <c r="J5" s="27">
        <f t="shared" si="0"/>
        <v>0</v>
      </c>
      <c r="K5" s="27">
        <f t="shared" si="0"/>
        <v>19342</v>
      </c>
      <c r="L5" s="27">
        <f t="shared" si="0"/>
        <v>0</v>
      </c>
      <c r="M5" s="27">
        <f t="shared" si="0"/>
        <v>6800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5944</v>
      </c>
      <c r="AD5" s="27">
        <f t="shared" si="0"/>
        <v>4244</v>
      </c>
      <c r="AE5" s="27">
        <f t="shared" si="0"/>
        <v>0</v>
      </c>
      <c r="AF5" s="27">
        <f t="shared" si="0"/>
        <v>1560</v>
      </c>
      <c r="AG5" s="27">
        <f t="shared" si="0"/>
        <v>0</v>
      </c>
      <c r="AH5" s="27">
        <f t="shared" si="0"/>
        <v>0</v>
      </c>
      <c r="AI5" s="27">
        <f t="shared" si="0"/>
        <v>0</v>
      </c>
      <c r="AJ5" s="27">
        <f t="shared" si="0"/>
        <v>0</v>
      </c>
      <c r="AK5" s="27">
        <f t="shared" si="0"/>
        <v>0</v>
      </c>
      <c r="AL5" s="27">
        <f t="shared" si="0"/>
        <v>0</v>
      </c>
      <c r="AM5" s="27">
        <f t="shared" si="0"/>
        <v>0</v>
      </c>
      <c r="AN5" s="27">
        <f t="shared" si="0"/>
        <v>140</v>
      </c>
      <c r="AO5" s="27">
        <f t="shared" si="0"/>
        <v>0</v>
      </c>
      <c r="AP5" s="27">
        <f t="shared" si="0"/>
        <v>0</v>
      </c>
      <c r="AQ5" s="27">
        <f t="shared" si="0"/>
        <v>0</v>
      </c>
      <c r="AR5" s="27">
        <f t="shared" si="0"/>
        <v>0</v>
      </c>
      <c r="AS5" s="27">
        <f t="shared" si="0"/>
        <v>0</v>
      </c>
      <c r="AT5" s="27">
        <f t="shared" si="0"/>
        <v>5320</v>
      </c>
      <c r="AU5" s="975"/>
      <c r="AV5" s="26" t="s">
        <v>168</v>
      </c>
      <c r="AW5" s="976"/>
      <c r="AX5" s="976"/>
      <c r="AY5" s="28" t="s">
        <v>3</v>
      </c>
      <c r="AZ5" s="29">
        <f t="shared" ref="AZ5:BT5" si="1">SUM(AZ13:AZ641)</f>
        <v>88976</v>
      </c>
      <c r="BA5" s="29">
        <f t="shared" si="1"/>
        <v>83032</v>
      </c>
      <c r="BB5" s="29">
        <f t="shared" si="1"/>
        <v>56890</v>
      </c>
      <c r="BC5" s="29">
        <f t="shared" si="1"/>
        <v>19342</v>
      </c>
      <c r="BD5" s="29">
        <f t="shared" si="1"/>
        <v>6800</v>
      </c>
      <c r="BE5" s="29">
        <f t="shared" si="1"/>
        <v>0</v>
      </c>
      <c r="BF5" s="29">
        <f t="shared" si="1"/>
        <v>0</v>
      </c>
      <c r="BG5" s="29">
        <f t="shared" si="1"/>
        <v>0</v>
      </c>
      <c r="BH5" s="29">
        <f t="shared" si="1"/>
        <v>0</v>
      </c>
      <c r="BI5" s="29">
        <f t="shared" si="1"/>
        <v>0</v>
      </c>
      <c r="BJ5" s="29">
        <f t="shared" si="1"/>
        <v>0</v>
      </c>
      <c r="BK5" s="29">
        <f t="shared" si="1"/>
        <v>0</v>
      </c>
      <c r="BL5" s="29">
        <f t="shared" si="1"/>
        <v>5944</v>
      </c>
      <c r="BM5" s="29">
        <f t="shared" si="1"/>
        <v>4244</v>
      </c>
      <c r="BN5" s="29">
        <f t="shared" si="1"/>
        <v>1560</v>
      </c>
      <c r="BO5" s="29">
        <f t="shared" si="1"/>
        <v>0</v>
      </c>
      <c r="BP5" s="29">
        <f t="shared" si="1"/>
        <v>0</v>
      </c>
      <c r="BQ5" s="29">
        <f t="shared" si="1"/>
        <v>0</v>
      </c>
      <c r="BR5" s="29">
        <f t="shared" si="1"/>
        <v>140</v>
      </c>
      <c r="BS5" s="29">
        <f t="shared" si="1"/>
        <v>0</v>
      </c>
      <c r="BT5" s="30">
        <f t="shared" si="1"/>
        <v>0</v>
      </c>
    </row>
    <row r="6" spans="1:72" s="37" customFormat="1" ht="12.75">
      <c r="A6" s="26" t="s">
        <v>169</v>
      </c>
      <c r="B6" s="31"/>
      <c r="C6" s="31"/>
      <c r="D6" s="32"/>
      <c r="E6" s="27">
        <f>H6+AC6+AT6</f>
        <v>45033.990000000005</v>
      </c>
      <c r="F6" s="27" t="s">
        <v>1</v>
      </c>
      <c r="G6" s="27" t="s">
        <v>2</v>
      </c>
      <c r="H6" s="33">
        <f>SUMIF(I$12:AB$12,"总值",I6:AB6)</f>
        <v>42025.520000000004</v>
      </c>
      <c r="I6" s="27">
        <f t="shared" ref="I6:AB6" si="2">ROUND($A$3*I5/$B$3,2)</f>
        <v>28794.1</v>
      </c>
      <c r="J6" s="27">
        <f t="shared" si="2"/>
        <v>0</v>
      </c>
      <c r="K6" s="27">
        <f t="shared" si="2"/>
        <v>9789.69</v>
      </c>
      <c r="L6" s="27">
        <f t="shared" si="2"/>
        <v>0</v>
      </c>
      <c r="M6" s="27">
        <f t="shared" si="2"/>
        <v>3441.73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3008.4700000000003</v>
      </c>
      <c r="AD6" s="27">
        <f t="shared" ref="AD6:AS6" si="3">ROUND($A$3*AD5/$B$3,2)</f>
        <v>2148.04</v>
      </c>
      <c r="AE6" s="27">
        <f t="shared" si="3"/>
        <v>0</v>
      </c>
      <c r="AF6" s="27">
        <f t="shared" si="3"/>
        <v>789.57</v>
      </c>
      <c r="AG6" s="27">
        <f t="shared" si="3"/>
        <v>0</v>
      </c>
      <c r="AH6" s="27">
        <f t="shared" si="3"/>
        <v>0</v>
      </c>
      <c r="AI6" s="27">
        <f t="shared" si="3"/>
        <v>0</v>
      </c>
      <c r="AJ6" s="27">
        <f t="shared" si="3"/>
        <v>0</v>
      </c>
      <c r="AK6" s="27">
        <f t="shared" si="3"/>
        <v>0</v>
      </c>
      <c r="AL6" s="27">
        <f t="shared" si="3"/>
        <v>0</v>
      </c>
      <c r="AM6" s="27">
        <f t="shared" si="3"/>
        <v>0</v>
      </c>
      <c r="AN6" s="27">
        <f t="shared" si="3"/>
        <v>70.86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45034</v>
      </c>
      <c r="AZ6" s="27" t="s">
        <v>3</v>
      </c>
      <c r="BA6" s="27">
        <f>ROUND($AY$6*BA5/$AZ$5,2)</f>
        <v>42025.52</v>
      </c>
      <c r="BB6" s="27">
        <f>ROUND($AY$6*BB5/$AZ$5,2)</f>
        <v>28794.1</v>
      </c>
      <c r="BC6" s="27">
        <f t="shared" ref="BC6:BH6" si="4">ROUND($AY$6*BC5/$AZ$5,2)</f>
        <v>9789.69</v>
      </c>
      <c r="BD6" s="27">
        <f t="shared" si="4"/>
        <v>3441.73</v>
      </c>
      <c r="BE6" s="27">
        <f t="shared" si="4"/>
        <v>0</v>
      </c>
      <c r="BF6" s="27">
        <f t="shared" si="4"/>
        <v>0</v>
      </c>
      <c r="BG6" s="27">
        <f t="shared" si="4"/>
        <v>0</v>
      </c>
      <c r="BH6" s="27">
        <f t="shared" si="4"/>
        <v>0</v>
      </c>
      <c r="BI6" s="27">
        <f t="shared" ref="BI6:BT6" si="5">ROUND($AY$6*BI5/$AZ$5,2)</f>
        <v>0</v>
      </c>
      <c r="BJ6" s="27">
        <f t="shared" si="5"/>
        <v>0</v>
      </c>
      <c r="BK6" s="27">
        <f t="shared" si="5"/>
        <v>0</v>
      </c>
      <c r="BL6" s="27">
        <f t="shared" si="5"/>
        <v>3008.48</v>
      </c>
      <c r="BM6" s="27">
        <f t="shared" si="5"/>
        <v>2148.04</v>
      </c>
      <c r="BN6" s="27">
        <f t="shared" si="5"/>
        <v>789.57</v>
      </c>
      <c r="BO6" s="27">
        <f t="shared" si="5"/>
        <v>0</v>
      </c>
      <c r="BP6" s="27">
        <f t="shared" si="5"/>
        <v>0</v>
      </c>
      <c r="BQ6" s="27">
        <f t="shared" si="5"/>
        <v>0</v>
      </c>
      <c r="BR6" s="27">
        <f t="shared" si="5"/>
        <v>70.86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3010</v>
      </c>
      <c r="J9" s="51"/>
      <c r="K9" s="2730" t="s">
        <v>3012</v>
      </c>
      <c r="L9" s="51"/>
      <c r="M9" s="2730" t="s">
        <v>3010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914</v>
      </c>
      <c r="J10" s="51"/>
      <c r="K10" s="2732" t="s">
        <v>3013</v>
      </c>
      <c r="L10" s="51"/>
      <c r="M10" s="2732" t="s">
        <v>914</v>
      </c>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地下</v>
      </c>
      <c r="BD10" s="69" t="str">
        <f>M9</f>
        <v>地上</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t="s">
        <v>3011</v>
      </c>
      <c r="J11" s="71"/>
      <c r="K11" s="2731" t="s">
        <v>3013</v>
      </c>
      <c r="L11" s="71"/>
      <c r="M11" s="70" t="s">
        <v>3384</v>
      </c>
      <c r="N11" s="71"/>
      <c r="O11" s="70"/>
      <c r="P11" s="71"/>
      <c r="Q11" s="70"/>
      <c r="R11" s="71"/>
      <c r="S11" s="70"/>
      <c r="T11" s="71"/>
      <c r="U11" s="70"/>
      <c r="V11" s="71"/>
      <c r="W11" s="70"/>
      <c r="X11" s="71"/>
      <c r="Y11" s="70"/>
      <c r="Z11" s="71"/>
      <c r="AA11" s="70"/>
      <c r="AB11" s="71"/>
      <c r="AC11" s="55"/>
      <c r="AD11" s="2213" t="s">
        <v>2318</v>
      </c>
      <c r="AE11" s="989"/>
      <c r="AF11" s="2213" t="s">
        <v>2318</v>
      </c>
      <c r="AG11" s="989"/>
      <c r="AH11" s="2213" t="s">
        <v>2317</v>
      </c>
      <c r="AI11" s="2214"/>
      <c r="AJ11" s="2213" t="s">
        <v>2317</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车库</v>
      </c>
      <c r="BD11" s="50" t="str">
        <f>M10</f>
        <v>住宅</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洋房</v>
      </c>
      <c r="BC12" s="79" t="str">
        <f>K11</f>
        <v>车库</v>
      </c>
      <c r="BD12" s="79" t="str">
        <f>M11</f>
        <v>保障房</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c r="D13" s="2726" t="s">
        <v>1669</v>
      </c>
      <c r="E13" s="27">
        <f t="shared" ref="E13:E20" si="6">IF($C$3="是",ROUND($A$3*G13/$B$3,2),ROUND($A$3*(G13-AT13)/$B$3,2))</f>
        <v>45034</v>
      </c>
      <c r="F13" s="81"/>
      <c r="G13" s="82">
        <f t="shared" ref="G13:G20" si="7">H13+AC13+AT13</f>
        <v>94296</v>
      </c>
      <c r="H13" s="33">
        <f t="shared" ref="H13:H20" si="8">SUMIF(I$12:AB$12,"总值",I13:AB13)</f>
        <v>83032</v>
      </c>
      <c r="I13" s="2729">
        <f>63690-M13</f>
        <v>56890</v>
      </c>
      <c r="J13" s="2729"/>
      <c r="K13" s="2729">
        <v>19342</v>
      </c>
      <c r="L13" s="2729"/>
      <c r="M13" s="2729">
        <v>6800</v>
      </c>
      <c r="N13" s="83"/>
      <c r="O13" s="83"/>
      <c r="P13" s="83"/>
      <c r="Q13" s="83"/>
      <c r="R13" s="83"/>
      <c r="S13" s="83"/>
      <c r="T13" s="83"/>
      <c r="U13" s="83"/>
      <c r="V13" s="83"/>
      <c r="W13" s="83"/>
      <c r="X13" s="83"/>
      <c r="Y13" s="83"/>
      <c r="Z13" s="83"/>
      <c r="AA13" s="83"/>
      <c r="AB13" s="83"/>
      <c r="AC13" s="27">
        <f t="shared" ref="AC13:AC20" si="9">SUMIF(AD$12:AS$12,"总值",AD13:AS13)</f>
        <v>5944</v>
      </c>
      <c r="AD13" s="2733">
        <v>4244</v>
      </c>
      <c r="AE13" s="2733"/>
      <c r="AF13" s="2733">
        <v>1560</v>
      </c>
      <c r="AG13" s="2733"/>
      <c r="AH13" s="2733"/>
      <c r="AI13" s="2733"/>
      <c r="AJ13" s="2733"/>
      <c r="AK13" s="2733"/>
      <c r="AL13" s="2733"/>
      <c r="AM13" s="2733"/>
      <c r="AN13" s="2733">
        <v>140</v>
      </c>
      <c r="AO13" s="2733"/>
      <c r="AP13" s="2733"/>
      <c r="AQ13" s="2733"/>
      <c r="AR13" s="2733"/>
      <c r="AS13" s="2733"/>
      <c r="AT13" s="2734">
        <v>5320</v>
      </c>
      <c r="AU13" s="2735"/>
      <c r="AV13" s="17">
        <f t="shared" ref="AV13:AX20" si="10">A13</f>
        <v>0</v>
      </c>
      <c r="AW13" s="17">
        <f t="shared" si="10"/>
        <v>0</v>
      </c>
      <c r="AX13" s="17">
        <f t="shared" si="10"/>
        <v>0</v>
      </c>
      <c r="AY13" s="983">
        <f t="shared" ref="AY13:AY20" si="11">ROUND($AY$6*AZ13/$AZ$5,2)</f>
        <v>45034</v>
      </c>
      <c r="AZ13" s="27">
        <f t="shared" ref="AZ13:AZ20" si="12">BA13+BL13</f>
        <v>88976</v>
      </c>
      <c r="BA13" s="27">
        <f t="shared" ref="BA13:BA20" si="13">SUM(BB13:BK13)</f>
        <v>83032</v>
      </c>
      <c r="BB13" s="27">
        <f t="shared" ref="BB13:BB20" si="14">IF($D13="是",I13-J13,0)</f>
        <v>56890</v>
      </c>
      <c r="BC13" s="27">
        <f t="shared" ref="BC13:BC20" si="15">IF($D13="是",K13-L13,0)</f>
        <v>19342</v>
      </c>
      <c r="BD13" s="27">
        <f t="shared" ref="BD13:BD20" si="16">IF($D13="是",M13-N13,0)</f>
        <v>6800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5944</v>
      </c>
      <c r="BM13" s="27">
        <f t="shared" ref="BM13:BM20" si="25">IF($D13="是",AD13-AE13,0)</f>
        <v>4244</v>
      </c>
      <c r="BN13" s="27">
        <f t="shared" ref="BN13:BN20" si="26">IF($D13="是",AF13-AG13,0)</f>
        <v>1560</v>
      </c>
      <c r="BO13" s="27">
        <f t="shared" ref="BO13:BO20" si="27">IF($D13="是",AH13-AI13,0)</f>
        <v>0</v>
      </c>
      <c r="BP13" s="27">
        <f t="shared" ref="BP13:BP20" si="28">IF($D13="是",AJ13-AK13,0)</f>
        <v>0</v>
      </c>
      <c r="BQ13" s="27">
        <f t="shared" ref="BQ13:BQ20" si="29">IF($D13="是",AL13-AM13,0)</f>
        <v>0</v>
      </c>
      <c r="BR13" s="27">
        <f t="shared" ref="BR13:BR20" si="30">IF($D13="是",AN13-AO13,0)</f>
        <v>140</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t="s">
        <v>3370</v>
      </c>
      <c r="B15" s="2725">
        <v>46574</v>
      </c>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t="str">
        <f t="shared" si="10"/>
        <v>成交总价</v>
      </c>
      <c r="AW15" s="17">
        <f t="shared" si="10"/>
        <v>46574</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t="s">
        <v>3371</v>
      </c>
      <c r="B16" s="2725">
        <f>B15/B3*10000</f>
        <v>5234.4452436612119</v>
      </c>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t="str">
        <f t="shared" si="10"/>
        <v>楼面单价</v>
      </c>
      <c r="AW16" s="17">
        <f t="shared" si="10"/>
        <v>5234.4452436612119</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7" t="s">
        <v>0</v>
      </c>
      <c r="B1" s="3367" t="s">
        <v>4</v>
      </c>
      <c r="C1" s="3367" t="s">
        <v>5</v>
      </c>
      <c r="D1" s="3368" t="s">
        <v>40</v>
      </c>
      <c r="E1" s="3368" t="s">
        <v>41</v>
      </c>
      <c r="F1" s="3368"/>
      <c r="G1" s="3368"/>
      <c r="H1" s="3368"/>
      <c r="I1" s="3368"/>
      <c r="J1" s="3368"/>
      <c r="K1" s="3368"/>
      <c r="L1" s="3368"/>
      <c r="M1" s="3368"/>
    </row>
    <row r="2" spans="1:13" ht="27" customHeight="1">
      <c r="A2" s="3367"/>
      <c r="B2" s="3367"/>
      <c r="C2" s="3367"/>
      <c r="D2" s="3368"/>
      <c r="E2" s="3368" t="s">
        <v>24</v>
      </c>
      <c r="F2" s="3368" t="s">
        <v>25</v>
      </c>
      <c r="G2" s="3368"/>
      <c r="H2" s="3368"/>
      <c r="I2" s="3368"/>
      <c r="J2" s="3368" t="s">
        <v>26</v>
      </c>
      <c r="K2" s="3368"/>
      <c r="L2" s="3368"/>
      <c r="M2" s="3368"/>
    </row>
    <row r="3" spans="1:13" ht="28.5">
      <c r="A3" s="3367"/>
      <c r="B3" s="3367"/>
      <c r="C3" s="3367"/>
      <c r="D3" s="3368"/>
      <c r="E3" s="33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8" t="s">
        <v>42</v>
      </c>
      <c r="B9" s="3368"/>
      <c r="C9" s="33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115" zoomScaleNormal="70" zoomScaleSheetLayoutView="115" workbookViewId="0">
      <selection activeCell="F21" sqref="F21"/>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78" t="s">
        <v>203</v>
      </c>
      <c r="B2" s="3378"/>
      <c r="C2" s="3378"/>
      <c r="D2" s="1888" t="s">
        <v>204</v>
      </c>
      <c r="E2" s="106" t="s">
        <v>205</v>
      </c>
      <c r="F2" s="3081"/>
      <c r="G2" s="1180"/>
      <c r="H2" s="1181"/>
      <c r="I2" s="1182" t="s">
        <v>849</v>
      </c>
      <c r="J2" s="3081"/>
      <c r="K2" s="3081"/>
      <c r="L2" s="3081"/>
      <c r="M2" s="3081"/>
      <c r="N2" s="3081"/>
      <c r="O2" s="3081"/>
      <c r="P2" s="3081"/>
    </row>
    <row r="3" spans="1:16" ht="15.75" thickBot="1">
      <c r="A3" s="3379" t="s">
        <v>206</v>
      </c>
      <c r="B3" s="3379"/>
      <c r="C3" s="3379"/>
      <c r="D3" s="107">
        <f>'数据-基础表'!AY6</f>
        <v>45034</v>
      </c>
      <c r="E3" s="107">
        <f>'数据-基础表'!AZ5</f>
        <v>88976</v>
      </c>
      <c r="F3" s="3081"/>
      <c r="G3" s="278" t="s">
        <v>850</v>
      </c>
      <c r="H3" s="273" t="s">
        <v>851</v>
      </c>
      <c r="I3" s="1889">
        <f>ROUND('数据-基础表'!B3/'数据-基础表'!A3,2)</f>
        <v>1.98</v>
      </c>
      <c r="J3" s="3081"/>
      <c r="K3" s="3081"/>
      <c r="L3" s="3081"/>
      <c r="M3" s="3081"/>
      <c r="N3" s="3081"/>
      <c r="O3" s="3081"/>
      <c r="P3" s="3081"/>
    </row>
    <row r="4" spans="1:16" ht="15">
      <c r="A4" s="3380"/>
      <c r="B4" s="3381"/>
      <c r="C4" s="3382"/>
      <c r="D4" s="108" t="s">
        <v>204</v>
      </c>
      <c r="E4" s="109" t="s">
        <v>205</v>
      </c>
      <c r="F4" s="3081"/>
      <c r="G4" s="1183"/>
      <c r="H4" s="273" t="s">
        <v>852</v>
      </c>
      <c r="I4" s="1889">
        <f>ROUND(SUMIF('数据-基础表'!I9:AS9,"地上",'数据-基础表'!I5:AS5)/'数据-基础表'!A3,2)</f>
        <v>1.51</v>
      </c>
      <c r="J4" s="3081"/>
      <c r="K4" s="3081"/>
      <c r="L4" s="3081"/>
      <c r="M4" s="3081"/>
      <c r="N4" s="3081"/>
      <c r="O4" s="3081"/>
      <c r="P4" s="3081"/>
    </row>
    <row r="5" spans="1:16">
      <c r="A5" s="110" t="s">
        <v>207</v>
      </c>
      <c r="B5" s="3383" t="s">
        <v>230</v>
      </c>
      <c r="C5" s="3383"/>
      <c r="D5" s="111">
        <f>ROUND($D$3*E5/$E$3,2)</f>
        <v>32235.83</v>
      </c>
      <c r="E5" s="112">
        <f>SUMIF('数据-基础表'!$11:$11,"住宅",'数据-基础表'!$5:$5)</f>
        <v>63690</v>
      </c>
      <c r="F5" s="3081"/>
      <c r="G5" s="278" t="s">
        <v>853</v>
      </c>
      <c r="H5" s="273" t="s">
        <v>851</v>
      </c>
      <c r="I5" s="1889">
        <f>ROUND(E31/D31,2)</f>
        <v>1.98</v>
      </c>
      <c r="J5" s="3081"/>
      <c r="K5" s="3081"/>
      <c r="L5" s="3081"/>
      <c r="M5" s="3081"/>
      <c r="N5" s="3081"/>
      <c r="O5" s="3081"/>
      <c r="P5" s="3081"/>
    </row>
    <row r="6" spans="1:16" ht="15" thickBot="1">
      <c r="A6" s="113"/>
      <c r="B6" s="3383" t="s">
        <v>208</v>
      </c>
      <c r="C6" s="3383"/>
      <c r="D6" s="111">
        <f>ROUND($D$3*E6/$E$3,2)</f>
        <v>12798.17</v>
      </c>
      <c r="E6" s="112">
        <f>E3-E5</f>
        <v>25286</v>
      </c>
      <c r="F6" s="3081"/>
      <c r="G6" s="1183"/>
      <c r="H6" s="273" t="s">
        <v>852</v>
      </c>
      <c r="I6" s="1889">
        <f>ROUND(F31/D31,2)</f>
        <v>1.51</v>
      </c>
      <c r="J6" s="3081"/>
      <c r="K6" s="3081"/>
      <c r="L6" s="3081"/>
      <c r="M6" s="3081"/>
      <c r="N6" s="3081"/>
      <c r="O6" s="3081"/>
      <c r="P6" s="3081"/>
    </row>
    <row r="7" spans="1:16" ht="15">
      <c r="A7" s="3375"/>
      <c r="B7" s="3376"/>
      <c r="C7" s="3377"/>
      <c r="D7" s="108" t="s">
        <v>204</v>
      </c>
      <c r="E7" s="114" t="s">
        <v>231</v>
      </c>
      <c r="F7" s="3081"/>
      <c r="G7" s="1138" t="s">
        <v>1636</v>
      </c>
      <c r="H7" s="1139"/>
      <c r="I7" s="1759"/>
      <c r="J7" s="3081"/>
      <c r="K7" s="3081"/>
      <c r="L7" s="3081"/>
      <c r="M7" s="3081"/>
      <c r="N7" s="3081"/>
      <c r="O7" s="3081"/>
      <c r="P7" s="3081"/>
    </row>
    <row r="8" spans="1:16">
      <c r="A8" s="110" t="s">
        <v>209</v>
      </c>
      <c r="B8" s="115" t="s">
        <v>210</v>
      </c>
      <c r="C8" s="111" t="s">
        <v>211</v>
      </c>
      <c r="D8" s="111">
        <f t="shared" ref="D8:D15" si="0">ROUND($D$3*E8/$E$3,2)</f>
        <v>32235.83</v>
      </c>
      <c r="E8" s="116">
        <f>SUMIF('数据-基础表'!BB10:BK10,"地上",'数据-基础表'!BB5:BK5)</f>
        <v>63690</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10" t="s">
        <v>2315</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10" t="s">
        <v>2322</v>
      </c>
      <c r="D13" s="111">
        <f t="shared" si="0"/>
        <v>9789.69</v>
      </c>
      <c r="E13" s="116">
        <f>SUMPRODUCT(('数据-基础表'!BB10:BK10="地下")*('数据-基础表'!BB11:BK11="车库")*('数据-基础表'!BB5:BK5))</f>
        <v>19342</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42025.520000000004</v>
      </c>
      <c r="E16" s="120">
        <f>SUM(E8:E15)</f>
        <v>83032</v>
      </c>
      <c r="F16" s="3081"/>
      <c r="G16" s="3082"/>
      <c r="H16" s="955" t="s">
        <v>219</v>
      </c>
      <c r="I16" s="956"/>
      <c r="J16" s="1897"/>
      <c r="K16" s="3369" t="s">
        <v>2547</v>
      </c>
      <c r="L16" s="3370"/>
      <c r="M16" s="3370"/>
      <c r="N16" s="3370"/>
      <c r="O16" s="3370"/>
      <c r="P16" s="3371"/>
    </row>
    <row r="17" spans="1:19" ht="15">
      <c r="A17" s="121" t="s">
        <v>216</v>
      </c>
      <c r="B17" s="122" t="s">
        <v>217</v>
      </c>
      <c r="C17" s="2177" t="s">
        <v>2301</v>
      </c>
      <c r="D17" s="108" t="s">
        <v>204</v>
      </c>
      <c r="E17" s="124" t="s">
        <v>205</v>
      </c>
      <c r="F17" s="125"/>
      <c r="G17" s="1318"/>
      <c r="H17" s="957" t="s">
        <v>218</v>
      </c>
      <c r="I17" s="958" t="s">
        <v>2300</v>
      </c>
      <c r="J17" s="1897"/>
      <c r="K17" s="3372" t="s">
        <v>2548</v>
      </c>
      <c r="L17" s="3373"/>
      <c r="M17" s="3374"/>
      <c r="N17" s="3372" t="s">
        <v>2549</v>
      </c>
      <c r="O17" s="3373"/>
      <c r="P17" s="3374"/>
      <c r="R17" s="2178" t="s">
        <v>2299</v>
      </c>
      <c r="S17" s="142"/>
    </row>
    <row r="18" spans="1:19" ht="15">
      <c r="A18" s="117"/>
      <c r="B18" s="128"/>
      <c r="C18" s="129"/>
      <c r="D18" s="2483"/>
      <c r="E18" s="130" t="s">
        <v>220</v>
      </c>
      <c r="F18" s="131" t="s">
        <v>221</v>
      </c>
      <c r="G18" s="1319" t="s">
        <v>222</v>
      </c>
      <c r="H18" s="959" t="s">
        <v>223</v>
      </c>
      <c r="I18" s="960" t="s">
        <v>224</v>
      </c>
      <c r="J18" s="1897"/>
      <c r="K18" s="2448" t="s">
        <v>2550</v>
      </c>
      <c r="L18" s="2449" t="s">
        <v>2551</v>
      </c>
      <c r="M18" s="2450" t="s">
        <v>2552</v>
      </c>
      <c r="N18" s="2448" t="s">
        <v>2550</v>
      </c>
      <c r="O18" s="2449" t="s">
        <v>2551</v>
      </c>
      <c r="P18" s="2450" t="s">
        <v>2552</v>
      </c>
      <c r="R18" s="2179" t="s">
        <v>2297</v>
      </c>
      <c r="S18" s="2179" t="s">
        <v>2298</v>
      </c>
    </row>
    <row r="19" spans="1:19">
      <c r="A19" s="133"/>
      <c r="B19" s="115" t="s">
        <v>225</v>
      </c>
      <c r="C19" s="2736" t="s">
        <v>3014</v>
      </c>
      <c r="D19" s="111">
        <f t="shared" ref="D19:D26" si="1">ROUND($D$3*E19/$E$3,2)</f>
        <v>28794.1</v>
      </c>
      <c r="E19" s="134">
        <f t="shared" ref="E19:E26" si="2">SUM(F19:G19)</f>
        <v>56890</v>
      </c>
      <c r="F19" s="3083">
        <f>'数据-基础表'!I5</f>
        <v>56890</v>
      </c>
      <c r="G19" s="3084"/>
      <c r="H19" s="961">
        <f>ROUND($D$3*I19/$E$3,2)</f>
        <v>48.55</v>
      </c>
      <c r="I19" s="116">
        <f>IF($I$17="自定义",P19,M19)</f>
        <v>95.92</v>
      </c>
      <c r="J19" s="1897"/>
      <c r="K19" s="2451">
        <f t="shared" ref="K19:K26" si="3">ROUND(E$28*E19/E$27,2)</f>
        <v>95.92</v>
      </c>
      <c r="L19" s="273">
        <f t="shared" ref="L19:L26" si="4">ROUND(IF(COUNTIF(C19,"*住宅*")&gt;0,E$29*E19/E$32,0),2)</f>
        <v>0</v>
      </c>
      <c r="M19" s="2452">
        <f>K19+L19</f>
        <v>95.92</v>
      </c>
      <c r="N19" s="2453"/>
      <c r="O19" s="2454"/>
      <c r="P19" s="2455">
        <f>N19+O19</f>
        <v>0</v>
      </c>
      <c r="R19" s="273">
        <f t="shared" ref="R19:S26" si="5">D19+H19</f>
        <v>28842.649999999998</v>
      </c>
      <c r="S19" s="2180">
        <f t="shared" si="5"/>
        <v>56985.919999999998</v>
      </c>
    </row>
    <row r="20" spans="1:19">
      <c r="A20" s="137"/>
      <c r="B20" s="115" t="s">
        <v>226</v>
      </c>
      <c r="C20" s="2736" t="s">
        <v>3015</v>
      </c>
      <c r="D20" s="111">
        <f t="shared" si="1"/>
        <v>9789.69</v>
      </c>
      <c r="E20" s="134">
        <f t="shared" si="2"/>
        <v>19342</v>
      </c>
      <c r="F20" s="3083"/>
      <c r="G20" s="3084">
        <f>'数据-基础表'!K5</f>
        <v>19342</v>
      </c>
      <c r="H20" s="961">
        <f t="shared" ref="H20:H26" si="6">ROUND($D$3*I20/$E$3,2)</f>
        <v>16.510000000000002</v>
      </c>
      <c r="I20" s="116">
        <f t="shared" ref="I20:I26" si="7">IF($I$17="自定义",P20,M20)</f>
        <v>32.61</v>
      </c>
      <c r="J20" s="1897"/>
      <c r="K20" s="2451">
        <f t="shared" si="3"/>
        <v>32.61</v>
      </c>
      <c r="L20" s="273">
        <f t="shared" si="4"/>
        <v>0</v>
      </c>
      <c r="M20" s="2452">
        <f t="shared" ref="M20:M26" si="8">K20+L20</f>
        <v>32.61</v>
      </c>
      <c r="N20" s="2453"/>
      <c r="O20" s="2454"/>
      <c r="P20" s="2455">
        <f t="shared" ref="P20:P26" si="9">N20+O20</f>
        <v>0</v>
      </c>
      <c r="R20" s="273">
        <f t="shared" si="5"/>
        <v>9806.2000000000007</v>
      </c>
      <c r="S20" s="2180">
        <f t="shared" si="5"/>
        <v>19374.61</v>
      </c>
    </row>
    <row r="21" spans="1:19">
      <c r="A21" s="137"/>
      <c r="B21" s="115" t="s">
        <v>226</v>
      </c>
      <c r="C21" s="2736" t="s">
        <v>3387</v>
      </c>
      <c r="D21" s="111">
        <f t="shared" si="1"/>
        <v>3441.73</v>
      </c>
      <c r="E21" s="134">
        <f t="shared" si="2"/>
        <v>6800</v>
      </c>
      <c r="F21" s="3083">
        <f>'数据-基础表'!M5</f>
        <v>6800</v>
      </c>
      <c r="G21" s="3084"/>
      <c r="H21" s="961">
        <f t="shared" si="6"/>
        <v>5.81</v>
      </c>
      <c r="I21" s="116">
        <f t="shared" si="7"/>
        <v>11.47</v>
      </c>
      <c r="J21" s="1897"/>
      <c r="K21" s="2451">
        <f t="shared" si="3"/>
        <v>11.47</v>
      </c>
      <c r="L21" s="273">
        <f t="shared" si="4"/>
        <v>0</v>
      </c>
      <c r="M21" s="2452">
        <f t="shared" si="8"/>
        <v>11.47</v>
      </c>
      <c r="N21" s="2453"/>
      <c r="O21" s="2454"/>
      <c r="P21" s="2455">
        <f t="shared" si="9"/>
        <v>0</v>
      </c>
      <c r="R21" s="273">
        <f t="shared" si="5"/>
        <v>3447.54</v>
      </c>
      <c r="S21" s="2180">
        <f t="shared" si="5"/>
        <v>6811.47</v>
      </c>
    </row>
    <row r="22" spans="1:19">
      <c r="A22" s="137"/>
      <c r="B22" s="115" t="s">
        <v>226</v>
      </c>
      <c r="C22" s="1317"/>
      <c r="D22" s="111">
        <f t="shared" si="1"/>
        <v>0</v>
      </c>
      <c r="E22" s="134">
        <f t="shared" si="2"/>
        <v>0</v>
      </c>
      <c r="F22" s="3085"/>
      <c r="G22" s="3086"/>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5"/>
      <c r="G23" s="3086"/>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5"/>
      <c r="G24" s="3086"/>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5"/>
      <c r="G25" s="3086"/>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5"/>
      <c r="G26" s="3086"/>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43.5" thickBot="1">
      <c r="A27" s="137"/>
      <c r="B27" s="111"/>
      <c r="C27" s="127" t="s">
        <v>215</v>
      </c>
      <c r="D27" s="134">
        <f>SUM(D19:D26)</f>
        <v>42025.520000000004</v>
      </c>
      <c r="E27" s="141">
        <f>IF(SUM(E19:E26)='数据-基础表'!BA5,SUM(E19:E26),IF(F27="地上面积有误","面积有误","地下面积有误"))</f>
        <v>83032</v>
      </c>
      <c r="F27" s="134">
        <f>IF(SUM(F19:F26)=E8,SUM(F19:F26),"地上面积有误")</f>
        <v>63690</v>
      </c>
      <c r="G27" s="112">
        <f>SUM(G19:G26)</f>
        <v>19342</v>
      </c>
      <c r="H27" s="962">
        <f>SUM(H19:H26)</f>
        <v>70.87</v>
      </c>
      <c r="I27" s="963">
        <f>SUM(I19:I26)</f>
        <v>140</v>
      </c>
      <c r="J27" s="1897"/>
      <c r="K27" s="2460">
        <f>SUM(K19:K26)</f>
        <v>140</v>
      </c>
      <c r="L27" s="2461">
        <f>SUM(L19:L26)</f>
        <v>0</v>
      </c>
      <c r="M27" s="2462">
        <f>SUM(M19:M26)</f>
        <v>140</v>
      </c>
      <c r="N27" s="2460">
        <f t="shared" ref="N27:O27" si="10">SUM(N19:N26)</f>
        <v>0</v>
      </c>
      <c r="O27" s="2461">
        <f t="shared" si="10"/>
        <v>0</v>
      </c>
      <c r="P27" s="2463">
        <f>SUM(P19:P26)</f>
        <v>0</v>
      </c>
      <c r="R27" s="2184" t="str">
        <f>IF(SUM(R19:R26)=$D$3,SUM(R19:R26),SUM(R19:R26)&amp;"误差"&amp;ROUND(SUM(R19:R26)-$D$3,2))</f>
        <v>42096.39误差-2937.61</v>
      </c>
      <c r="S27" s="273" t="str">
        <f>IF(SUM(S19:S26)=$E$3,SUM(S19:S26),SUM(S19:S26)&amp;"误差"&amp;ROUND(SUM(S19:S26)-E3,2))</f>
        <v>83172误差-5804</v>
      </c>
    </row>
    <row r="28" spans="1:19">
      <c r="A28" s="137"/>
      <c r="B28" s="115" t="s">
        <v>227</v>
      </c>
      <c r="C28" s="135" t="s">
        <v>228</v>
      </c>
      <c r="D28" s="111">
        <f>ROUND($D$3*E28/$E$3,2)</f>
        <v>70.86</v>
      </c>
      <c r="E28" s="134">
        <f>SUM(F28:G28)</f>
        <v>140</v>
      </c>
      <c r="F28" s="142">
        <f>'数据-基础表'!BQ5+'数据-基础表'!BS5</f>
        <v>0</v>
      </c>
      <c r="G28" s="143">
        <f>'数据-基础表'!BR5+'数据-基础表'!BT5</f>
        <v>140</v>
      </c>
      <c r="H28" s="3081"/>
      <c r="I28" s="3081"/>
      <c r="J28" s="3081"/>
      <c r="K28" s="3081"/>
      <c r="L28" s="3081"/>
      <c r="M28" s="3081"/>
      <c r="N28" s="3081"/>
      <c r="O28" s="3081"/>
      <c r="P28" s="3081"/>
    </row>
    <row r="29" spans="1:19">
      <c r="A29" s="137"/>
      <c r="B29" s="115" t="s">
        <v>227</v>
      </c>
      <c r="C29" s="2192" t="s">
        <v>2308</v>
      </c>
      <c r="D29" s="111">
        <f>ROUND($D$3*E29/$E$3,2)</f>
        <v>2937.62</v>
      </c>
      <c r="E29" s="134">
        <f>SUM(F29:G29)</f>
        <v>5804</v>
      </c>
      <c r="F29" s="142">
        <f>'数据-基础表'!BM5+'数据-基础表'!BO5</f>
        <v>4244</v>
      </c>
      <c r="G29" s="144">
        <f>'数据-基础表'!BN5+'数据-基础表'!BP5</f>
        <v>1560</v>
      </c>
      <c r="H29" s="3081"/>
      <c r="I29" s="3081"/>
      <c r="J29" s="3081"/>
      <c r="K29" s="3081"/>
      <c r="L29" s="3081"/>
      <c r="M29" s="3081"/>
      <c r="N29" s="3081"/>
      <c r="O29" s="3081"/>
      <c r="P29" s="3081"/>
    </row>
    <row r="30" spans="1:19">
      <c r="A30" s="137"/>
      <c r="B30" s="111"/>
      <c r="C30" s="145" t="s">
        <v>215</v>
      </c>
      <c r="D30" s="134">
        <f>SUM(D28:D29)</f>
        <v>3008.48</v>
      </c>
      <c r="E30" s="134">
        <f>SUM(E28:E29)</f>
        <v>5944</v>
      </c>
      <c r="F30" s="134">
        <f>SUM(F28:F29)</f>
        <v>4244</v>
      </c>
      <c r="G30" s="112">
        <f>SUM(G28:G29)</f>
        <v>1700</v>
      </c>
      <c r="H30" s="3081"/>
      <c r="I30" s="3081"/>
      <c r="J30" s="3081"/>
      <c r="K30" s="3081"/>
      <c r="L30" s="3081"/>
      <c r="M30" s="3081"/>
      <c r="N30" s="3081"/>
      <c r="O30" s="3081"/>
      <c r="P30" s="3081"/>
    </row>
    <row r="31" spans="1:19" ht="32.25" customHeight="1" thickBot="1">
      <c r="A31" s="1320"/>
      <c r="B31" s="1321" t="s">
        <v>229</v>
      </c>
      <c r="C31" s="2209" t="s">
        <v>2310</v>
      </c>
      <c r="D31" s="1322">
        <f>D27+D30</f>
        <v>45034.000000000007</v>
      </c>
      <c r="E31" s="1322">
        <f>E27+E30</f>
        <v>88976</v>
      </c>
      <c r="F31" s="1323">
        <f>F27+F30</f>
        <v>67934</v>
      </c>
      <c r="G31" s="1324">
        <f>G27+G30</f>
        <v>21042</v>
      </c>
      <c r="H31" s="3081"/>
      <c r="I31" s="3081"/>
      <c r="J31" s="3081"/>
      <c r="K31" s="3081"/>
      <c r="L31" s="3081"/>
      <c r="M31" s="3081"/>
      <c r="N31" s="3081"/>
      <c r="O31" s="3081"/>
      <c r="P31" s="3081"/>
    </row>
    <row r="32" spans="1:19">
      <c r="A32" s="1897"/>
      <c r="B32" s="2221" t="s">
        <v>2309</v>
      </c>
      <c r="C32" s="2488"/>
      <c r="D32" s="1183"/>
      <c r="E32" s="1183">
        <f>SUMIF(C19:C26,"*住宅*",E19:E26)</f>
        <v>0</v>
      </c>
      <c r="F32" s="1183"/>
      <c r="G32" s="1183"/>
      <c r="H32" s="3081"/>
      <c r="I32" s="3081"/>
      <c r="J32" s="3081"/>
      <c r="K32" s="3081"/>
      <c r="L32" s="3081"/>
      <c r="M32" s="3081"/>
      <c r="N32" s="3081"/>
      <c r="O32" s="3081"/>
      <c r="P32" s="3081"/>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5" zoomScaleNormal="115" workbookViewId="0">
      <pane xSplit="3" ySplit="5" topLeftCell="L6" activePane="bottomRight" state="frozen"/>
      <selection pane="topRight" activeCell="D1" sqref="D1"/>
      <selection pane="bottomLeft" activeCell="A4" sqref="A4"/>
      <selection pane="bottomRight" activeCell="Y26" sqref="Y26"/>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8"/>
      <c r="AO1" s="3088"/>
      <c r="AP1" s="3088"/>
      <c r="AQ1" s="3088"/>
      <c r="AR1" s="3088"/>
      <c r="AS1" s="3088"/>
      <c r="AT1" s="3088"/>
      <c r="AU1" s="3088"/>
      <c r="AV1" s="3088"/>
      <c r="AW1" s="3088"/>
      <c r="AX1" s="3088"/>
      <c r="AY1" s="3088"/>
      <c r="AZ1" s="3088"/>
    </row>
    <row r="2" spans="1:83" s="1188" customFormat="1" ht="15.75" thickBot="1">
      <c r="A2" s="147" t="s">
        <v>235</v>
      </c>
      <c r="B2" s="2217">
        <f>项目基本情况!D3</f>
        <v>44385</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1"/>
      <c r="AO2" s="3091"/>
      <c r="AP2" s="3091"/>
      <c r="AQ2" s="3091"/>
      <c r="AR2" s="3091"/>
      <c r="AS2" s="3091"/>
      <c r="AT2" s="3091"/>
      <c r="AU2" s="3091"/>
      <c r="AV2" s="3091"/>
      <c r="AW2" s="3091"/>
      <c r="AX2" s="3091"/>
      <c r="AY2" s="3091"/>
      <c r="AZ2" s="3091"/>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1"/>
      <c r="AO3" s="3091"/>
      <c r="AP3" s="3091"/>
      <c r="AQ3" s="3091"/>
      <c r="AR3" s="3091"/>
      <c r="AS3" s="3091"/>
      <c r="AT3" s="3091"/>
      <c r="AU3" s="3091"/>
      <c r="AV3" s="3091"/>
      <c r="AW3" s="3091"/>
      <c r="AX3" s="3091"/>
      <c r="AY3" s="3091"/>
      <c r="AZ3" s="3091"/>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4" t="s">
        <v>2553</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2"/>
      <c r="AP5" s="3087" t="s">
        <v>2975</v>
      </c>
      <c r="AQ5" s="3102"/>
      <c r="AR5" s="3102"/>
      <c r="AS5" s="3102"/>
      <c r="AT5" s="3102"/>
      <c r="AU5" s="3102"/>
      <c r="AV5" s="3102"/>
      <c r="AW5" s="3102"/>
      <c r="AX5" s="3102"/>
      <c r="AY5" s="3102"/>
      <c r="AZ5" s="3102"/>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洋房</v>
      </c>
      <c r="B6" s="2216" t="str">
        <f>IF(A6=0,"","经营性")</f>
        <v>经营性</v>
      </c>
      <c r="C6" s="171" t="s">
        <v>914</v>
      </c>
      <c r="D6" s="2187">
        <f>SUMIF(项目基本情况!D$15:I$15,C6,项目基本情况!D$18:I$18)</f>
        <v>70</v>
      </c>
      <c r="E6" s="2188">
        <f>IF(B6="","",SUMIF(项目基本情况!D$15:I$15,C6,项目基本情况!D$17:I$17))</f>
        <v>69951</v>
      </c>
      <c r="F6" s="172">
        <f>SUMIF(项目基本情况!D$15:I$15,C6,项目基本情况!D$19:I$19)</f>
        <v>70</v>
      </c>
      <c r="G6" s="173">
        <f>IF(ISERROR(ROUND(POWER(1+H6,D6-F6)*(POWER(1+H6,F6)-1)/(POWER(1+H6,D6)-1),3)),0,ROUND(POWER(1+H6,D6-F6)*(POWER(1+H6,F6)-1)/(POWER(1+H6,D6)-1),3))</f>
        <v>1</v>
      </c>
      <c r="H6" s="2737">
        <v>0.04</v>
      </c>
      <c r="I6" s="2737">
        <v>4.4999999999999998E-2</v>
      </c>
      <c r="J6" s="174">
        <v>8.5000000000000006E-2</v>
      </c>
      <c r="K6" s="177">
        <f>SUMIF('数据-汇总表'!C$19:C$33,'数据-取费表'!A6,'数据-汇总表'!E$19:E$33)</f>
        <v>56890</v>
      </c>
      <c r="L6" s="2738">
        <v>3300</v>
      </c>
      <c r="M6" s="175">
        <f t="shared" ref="M6:M14" si="0">ROUND(K6*L6/10000,0)</f>
        <v>18774</v>
      </c>
      <c r="N6" s="2739">
        <v>0</v>
      </c>
      <c r="O6" s="175">
        <f>IF($N$5="成新度","——",ROUND(M6*N6,0))</f>
        <v>0</v>
      </c>
      <c r="P6" s="176">
        <f>IF($N$5="成新度","——",M6-O6)</f>
        <v>18774</v>
      </c>
      <c r="Q6" s="2740">
        <v>0.12</v>
      </c>
      <c r="R6" s="177">
        <f>SUMIF('数据-汇总表'!C$19:C$33,A6,'数据-汇总表'!R$19:R$33)</f>
        <v>28842.649999999998</v>
      </c>
      <c r="S6" s="132">
        <f>IF('数据-汇总表'!$I$17="按面积比例",SUMIF('数据-汇总表'!C$19:C$33,A6,'数据-汇总表'!K$19:K$33),SUMIF('数据-汇总表'!C$19:C$33,A6,'数据-汇总表'!N$19:N$33))</f>
        <v>95.92</v>
      </c>
      <c r="T6" s="2113">
        <f>IF($T$4="按面积比例",IF(ISERROR(ROUND($M$14*S6/S$16,0)),"0",ROUND($M$14*S6/S$16,0)),"需自行计算录入")</f>
        <v>21</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c r="AL6" s="188"/>
      <c r="AM6" s="2751"/>
      <c r="AN6" s="2246"/>
      <c r="AO6" s="3091"/>
      <c r="AP6" s="1186">
        <f>ROUND(1-1/(1+H6)^F6,3)</f>
        <v>0.93600000000000005</v>
      </c>
      <c r="AQ6" s="3091"/>
      <c r="AR6" s="3091"/>
      <c r="AS6" s="3091"/>
      <c r="AT6" s="3091"/>
      <c r="AU6" s="3091"/>
      <c r="AV6" s="3091"/>
      <c r="AW6" s="3091"/>
      <c r="AX6" s="3091"/>
      <c r="AY6" s="3091"/>
      <c r="AZ6" s="3091"/>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地下车库</v>
      </c>
      <c r="B7" s="2216" t="str">
        <f t="shared" ref="B7:B13" si="1">IF(A7=0,"","经营性")</f>
        <v>经营性</v>
      </c>
      <c r="C7" s="171" t="s">
        <v>3013</v>
      </c>
      <c r="D7" s="2187">
        <f>SUMIF(项目基本情况!D$15:I$15,C7,项目基本情况!D$18:I$18)</f>
        <v>50</v>
      </c>
      <c r="E7" s="2188">
        <f>IF(B7="","",SUMIF(项目基本情况!D$15:I$15,C7,项目基本情况!D$17:I$17))</f>
        <v>62646</v>
      </c>
      <c r="F7" s="172">
        <f>SUMIF(项目基本情况!D$15:I$15,C7,项目基本情况!D$19:I$19)</f>
        <v>50</v>
      </c>
      <c r="G7" s="173">
        <f t="shared" ref="G7:G11" si="2">IF(ISERROR(ROUND(POWER(1+H7,D7-F7)*(POWER(1+H7,F7)-1)/(POWER(1+H7,D7)-1),3)),0,ROUND(POWER(1+H7,D7-F7)*(POWER(1+H7,F7)-1)/(POWER(1+H7,D7)-1),3))</f>
        <v>1</v>
      </c>
      <c r="H7" s="2737">
        <v>4.4999999999999998E-2</v>
      </c>
      <c r="I7" s="2737">
        <v>0.05</v>
      </c>
      <c r="J7" s="174">
        <v>8.5000000000000006E-2</v>
      </c>
      <c r="K7" s="177">
        <f>SUMIF('数据-汇总表'!C$19:C$33,'数据-取费表'!A7,'数据-汇总表'!E$19:E$33)</f>
        <v>19342</v>
      </c>
      <c r="L7" s="2738">
        <v>2200</v>
      </c>
      <c r="M7" s="175">
        <f t="shared" si="0"/>
        <v>4255</v>
      </c>
      <c r="N7" s="2739">
        <v>0</v>
      </c>
      <c r="O7" s="175">
        <f t="shared" ref="O7:O14" si="3">IF($N$5="成新度","——",ROUND(M7*N7,0))</f>
        <v>0</v>
      </c>
      <c r="P7" s="176">
        <f t="shared" ref="P7:P14" si="4">IF($N$5="成新度","——",M7-O7)</f>
        <v>4255</v>
      </c>
      <c r="Q7" s="2740">
        <v>0.05</v>
      </c>
      <c r="R7" s="177">
        <f>SUMIF('数据-汇总表'!C$19:C$33,A7,'数据-汇总表'!R$19:R$33)</f>
        <v>9806.2000000000007</v>
      </c>
      <c r="S7" s="132">
        <f>IF('数据-汇总表'!$I$17="按面积比例",SUMIF('数据-汇总表'!C$19:C$33,A7,'数据-汇总表'!K$19:K$33),SUMIF('数据-汇总表'!C$19:C$33,A7,'数据-汇总表'!N$19:N$33))</f>
        <v>32.61</v>
      </c>
      <c r="T7" s="2113">
        <f t="shared" ref="T7:T13" si="5">IF($T$4="按面积比例",IF(ISERROR(ROUND($M$14*S7/S$16,0)),"0",ROUND($M$14*S7/S$16,0)),"需自行计算录入")</f>
        <v>7</v>
      </c>
      <c r="U7" s="178">
        <v>450</v>
      </c>
      <c r="V7" s="179">
        <v>2.5000000000000001E-2</v>
      </c>
      <c r="W7" s="179">
        <v>0.1</v>
      </c>
      <c r="X7" s="2200"/>
      <c r="Y7" s="180">
        <v>1</v>
      </c>
      <c r="Z7" s="181"/>
      <c r="AA7" s="174"/>
      <c r="AB7" s="174"/>
      <c r="AC7" s="2203"/>
      <c r="AD7" s="182"/>
      <c r="AE7" s="959">
        <f t="shared" ref="AE7:AE13" ca="1" si="6">IF(AN7="",0,SUMIF(INDIRECT("'"&amp;AN7&amp;"'"&amp;"!E:E"),$AE$5,INDIRECT("'"&amp;AN7&amp;"'"&amp;"!F:F")))</f>
        <v>48.5</v>
      </c>
      <c r="AF7" s="139"/>
      <c r="AG7" s="1195">
        <f t="shared" ref="AG7:AG13" si="7">IF(AF7="",0,AE7-AF7)</f>
        <v>0</v>
      </c>
      <c r="AH7" s="139">
        <v>509</v>
      </c>
      <c r="AI7" s="185">
        <v>12</v>
      </c>
      <c r="AJ7" s="186"/>
      <c r="AK7" s="187">
        <v>6.0000000000000001E-3</v>
      </c>
      <c r="AL7" s="188">
        <v>1E-3</v>
      </c>
      <c r="AM7" s="2244">
        <v>0.01</v>
      </c>
      <c r="AN7" s="2246" t="s">
        <v>3391</v>
      </c>
      <c r="AO7" s="3091"/>
      <c r="AP7" s="1186">
        <f t="shared" ref="AP7:AP13" si="8">ROUND(1-1/(1+H7)^F7,3)</f>
        <v>0.88900000000000001</v>
      </c>
      <c r="AQ7" s="3091"/>
      <c r="AR7" s="3091"/>
      <c r="AS7" s="3091"/>
      <c r="AT7" s="3091"/>
      <c r="AU7" s="3091"/>
      <c r="AV7" s="3091"/>
      <c r="AW7" s="3091"/>
      <c r="AX7" s="3091"/>
      <c r="AY7" s="3091"/>
      <c r="AZ7" s="3091"/>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t="str">
        <f>'数据-汇总表'!C21</f>
        <v>保障房</v>
      </c>
      <c r="B8" s="2216" t="str">
        <f t="shared" si="1"/>
        <v>经营性</v>
      </c>
      <c r="C8" s="171" t="s">
        <v>914</v>
      </c>
      <c r="D8" s="2187">
        <f>SUMIF(项目基本情况!D$15:I$15,C8,项目基本情况!D$18:I$18)</f>
        <v>70</v>
      </c>
      <c r="E8" s="2188">
        <f>IF(B8="","",SUMIF(项目基本情况!D$15:I$15,C8,项目基本情况!D$17:I$17))</f>
        <v>69951</v>
      </c>
      <c r="F8" s="172">
        <f>SUMIF(项目基本情况!D$15:I$15,C8,项目基本情况!D$19:I$19)</f>
        <v>70</v>
      </c>
      <c r="G8" s="173">
        <f t="shared" si="2"/>
        <v>1</v>
      </c>
      <c r="H8" s="2737">
        <v>0.04</v>
      </c>
      <c r="I8" s="2737">
        <v>4.4999999999999998E-2</v>
      </c>
      <c r="J8" s="174">
        <v>8.5000000000000006E-2</v>
      </c>
      <c r="K8" s="177">
        <f>SUMIF('数据-汇总表'!C$19:C$33,'数据-取费表'!A8,'数据-汇总表'!E$19:E$33)</f>
        <v>6800</v>
      </c>
      <c r="L8" s="2738">
        <v>2200</v>
      </c>
      <c r="M8" s="175">
        <f>ROUND(K8*L8/10000,0)</f>
        <v>1496</v>
      </c>
      <c r="N8" s="2739">
        <f>N6</f>
        <v>0</v>
      </c>
      <c r="O8" s="175">
        <f t="shared" si="3"/>
        <v>0</v>
      </c>
      <c r="P8" s="176">
        <f t="shared" si="4"/>
        <v>1496</v>
      </c>
      <c r="Q8" s="2740">
        <v>0</v>
      </c>
      <c r="R8" s="177">
        <f>SUMIF('数据-汇总表'!C$19:C$33,A8,'数据-汇总表'!R$19:R$33)</f>
        <v>3447.54</v>
      </c>
      <c r="S8" s="132">
        <f>IF('数据-汇总表'!$I$17="按面积比例",SUMIF('数据-汇总表'!C$19:C$33,A8,'数据-汇总表'!K$19:K$33),SUMIF('数据-汇总表'!C$19:C$33,A8,'数据-汇总表'!N$19:N$33))</f>
        <v>11.47</v>
      </c>
      <c r="T8" s="2113">
        <f t="shared" si="5"/>
        <v>3</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1"/>
      <c r="AP8" s="1186">
        <f t="shared" si="8"/>
        <v>0.93600000000000005</v>
      </c>
      <c r="AQ8" s="3091"/>
      <c r="AR8" s="3091"/>
      <c r="AS8" s="3091"/>
      <c r="AT8" s="3091"/>
      <c r="AU8" s="3091"/>
      <c r="AV8" s="3091"/>
      <c r="AW8" s="3091"/>
      <c r="AX8" s="3091"/>
      <c r="AY8" s="3091"/>
      <c r="AZ8" s="3091"/>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1"/>
      <c r="AP9" s="1186">
        <f t="shared" si="8"/>
        <v>0</v>
      </c>
      <c r="AQ9" s="3091"/>
      <c r="AR9" s="3091"/>
      <c r="AS9" s="3091"/>
      <c r="AT9" s="3091"/>
      <c r="AU9" s="3091"/>
      <c r="AV9" s="3091"/>
      <c r="AW9" s="3091"/>
      <c r="AX9" s="3091"/>
      <c r="AY9" s="3091"/>
      <c r="AZ9" s="3091"/>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1"/>
      <c r="AP10" s="1186">
        <f t="shared" si="8"/>
        <v>0</v>
      </c>
      <c r="AQ10" s="3091"/>
      <c r="AR10" s="3091"/>
      <c r="AS10" s="3091"/>
      <c r="AT10" s="3091"/>
      <c r="AU10" s="3091"/>
      <c r="AV10" s="3091"/>
      <c r="AW10" s="3091"/>
      <c r="AX10" s="3091"/>
      <c r="AY10" s="3091"/>
      <c r="AZ10" s="3091"/>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1"/>
      <c r="AP11" s="1186">
        <f t="shared" si="8"/>
        <v>0</v>
      </c>
      <c r="AQ11" s="3091"/>
      <c r="AR11" s="3091"/>
      <c r="AS11" s="3091"/>
      <c r="AT11" s="3091"/>
      <c r="AU11" s="3091"/>
      <c r="AV11" s="3091"/>
      <c r="AW11" s="3091"/>
      <c r="AX11" s="3091"/>
      <c r="AY11" s="3091"/>
      <c r="AZ11" s="3091"/>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1"/>
      <c r="AP12" s="1186">
        <f t="shared" si="8"/>
        <v>0</v>
      </c>
      <c r="AQ12" s="3091"/>
      <c r="AR12" s="3091"/>
      <c r="AS12" s="3091"/>
      <c r="AT12" s="3091"/>
      <c r="AU12" s="3091"/>
      <c r="AV12" s="3091"/>
      <c r="AW12" s="3091"/>
      <c r="AX12" s="3091"/>
      <c r="AY12" s="3091"/>
      <c r="AZ12" s="3091"/>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1"/>
      <c r="AP13" s="1186">
        <f t="shared" si="8"/>
        <v>0</v>
      </c>
      <c r="AQ13" s="3091"/>
      <c r="AR13" s="3091"/>
      <c r="AS13" s="3091"/>
      <c r="AT13" s="3091"/>
      <c r="AU13" s="3091"/>
      <c r="AV13" s="3091"/>
      <c r="AW13" s="3091"/>
      <c r="AX13" s="3091"/>
      <c r="AY13" s="3091"/>
      <c r="AZ13" s="3091"/>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2302</v>
      </c>
      <c r="B14" s="2185" t="s">
        <v>1670</v>
      </c>
      <c r="C14" s="2186" t="s">
        <v>2302</v>
      </c>
      <c r="D14" s="2187"/>
      <c r="E14" s="2188"/>
      <c r="F14" s="172"/>
      <c r="G14" s="173"/>
      <c r="H14" s="2189"/>
      <c r="I14" s="2189"/>
      <c r="J14" s="2189"/>
      <c r="K14" s="177">
        <f>SUMIF('数据-汇总表'!C$19:C$33,'数据-取费表'!A14,'数据-汇总表'!E$19:E$33)</f>
        <v>140</v>
      </c>
      <c r="L14" s="191">
        <v>2200</v>
      </c>
      <c r="M14" s="175">
        <f t="shared" si="0"/>
        <v>31</v>
      </c>
      <c r="N14" s="192">
        <v>0</v>
      </c>
      <c r="O14" s="175">
        <f t="shared" si="3"/>
        <v>0</v>
      </c>
      <c r="P14" s="176">
        <f t="shared" si="4"/>
        <v>31</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1"/>
      <c r="AO14" s="3091"/>
      <c r="AP14" s="3091"/>
      <c r="AQ14" s="3091"/>
      <c r="AR14" s="3091"/>
      <c r="AS14" s="3091"/>
      <c r="AT14" s="3091"/>
      <c r="AU14" s="3091"/>
      <c r="AV14" s="3091"/>
      <c r="AW14" s="3091"/>
      <c r="AX14" s="3091"/>
      <c r="AY14" s="3091"/>
      <c r="AZ14" s="3091"/>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2304</v>
      </c>
      <c r="B15" s="2185" t="s">
        <v>1670</v>
      </c>
      <c r="C15" s="2186" t="s">
        <v>2303</v>
      </c>
      <c r="D15" s="2187"/>
      <c r="E15" s="2188"/>
      <c r="F15" s="172"/>
      <c r="G15" s="173"/>
      <c r="H15" s="2189"/>
      <c r="I15" s="2189"/>
      <c r="J15" s="2189"/>
      <c r="K15" s="177">
        <f>SUMIF('数据-汇总表'!C$19:C$33,'数据-取费表'!A15,'数据-汇总表'!E$19:E$33)</f>
        <v>5804</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1"/>
      <c r="AO15" s="3091"/>
      <c r="AP15" s="3091"/>
      <c r="AQ15" s="3091"/>
      <c r="AR15" s="3091"/>
      <c r="AS15" s="3091"/>
      <c r="AT15" s="3091"/>
      <c r="AU15" s="3091"/>
      <c r="AV15" s="3091"/>
      <c r="AW15" s="3091"/>
      <c r="AX15" s="3091"/>
      <c r="AY15" s="3091"/>
      <c r="AZ15" s="3091"/>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1</v>
      </c>
      <c r="H16" s="201">
        <f>ROUND(SUMPRODUCT(H6:H13,K6:K13)/SUMPRODUCT((H6:H13&gt;0)*(K6:K13)),3)</f>
        <v>4.1000000000000002E-2</v>
      </c>
      <c r="I16" s="202"/>
      <c r="J16" s="202"/>
      <c r="K16" s="203">
        <f>SUM(K6:K15)</f>
        <v>88976</v>
      </c>
      <c r="L16" s="204">
        <f>ROUND(M16*10000/SUM(K6:K14),0)</f>
        <v>2952</v>
      </c>
      <c r="M16" s="204">
        <f>SUM(M6:M14)</f>
        <v>24556</v>
      </c>
      <c r="N16" s="205">
        <f>ROUND(SUMPRODUCT(M6:M14,N6:N14)/M16,3)</f>
        <v>0</v>
      </c>
      <c r="O16" s="204">
        <f>SUM(O6:O14)</f>
        <v>0</v>
      </c>
      <c r="P16" s="204">
        <f>SUM(P6:P14)</f>
        <v>24556</v>
      </c>
      <c r="Q16" s="206">
        <f>ROUND(SUMPRODUCT(Q6:Q13,K6:K13)/SUMPRODUCT((Q6:Q13&gt;0)*(K6:K13)),2)</f>
        <v>0.1</v>
      </c>
      <c r="R16" s="2190">
        <f>SUM(R6:R13)</f>
        <v>42096.39</v>
      </c>
      <c r="S16" s="207">
        <f>SUM(S6:S13)</f>
        <v>140</v>
      </c>
      <c r="T16" s="208">
        <f>IF(SUMIF(T6:T13,"&lt;9E307")=M14,SUMIF(T6:T13,"&lt;9E307"),"有误，请检查")</f>
        <v>31</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0.92500000000000004</v>
      </c>
      <c r="AQ16" s="3091"/>
      <c r="AR16" s="3091"/>
      <c r="AS16" s="3091"/>
      <c r="AT16" s="3091"/>
      <c r="AU16" s="3091"/>
      <c r="AV16" s="3091"/>
      <c r="AW16" s="3091"/>
      <c r="AX16" s="3091"/>
      <c r="AY16" s="3091"/>
      <c r="AZ16" s="3091"/>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2987</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1.5</v>
      </c>
      <c r="C20" s="3103" t="s">
        <v>2323</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1.5</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1.5</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2325</v>
      </c>
      <c r="B27" s="225">
        <v>90</v>
      </c>
      <c r="C27" s="3104" t="s">
        <v>2988</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2326</v>
      </c>
      <c r="B28" s="227">
        <v>140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2324</v>
      </c>
      <c r="B29" s="230">
        <v>0</v>
      </c>
      <c r="C29" s="3105" t="s">
        <v>2327</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150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80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70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6" t="s">
        <v>2976</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0.02</v>
      </c>
      <c r="C34" s="3106" t="s">
        <v>2977</v>
      </c>
      <c r="D34" s="3107" t="s">
        <v>2984</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150</v>
      </c>
      <c r="C35" s="3106" t="s">
        <v>2978</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2979</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1.4999999999999999E-2</v>
      </c>
      <c r="C37" s="3106" t="s">
        <v>2980</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1.4999999999999999E-2</v>
      </c>
      <c r="C38" s="3106" t="s">
        <v>2980</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1" t="s">
        <v>2438</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3278" t="s">
        <v>3003</v>
      </c>
      <c r="B40" s="2333">
        <f ca="1">IF(A40="利息：取LPR",存贷款利率!E2,存贷款利率!E2+C40)</f>
        <v>3.85E-2</v>
      </c>
      <c r="C40" s="3279">
        <v>5.0000000000000001E-3</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5.5000000000000007E-2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5.000000000000001E-3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0.05</v>
      </c>
      <c r="C44" s="3106" t="s">
        <v>2985</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2981</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2982</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2989</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2981</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2983</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5</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1317</v>
      </c>
      <c r="C53" s="3099" t="s">
        <v>2872</v>
      </c>
      <c r="D53" s="3110" t="s">
        <v>2986</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2873</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2874</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2875</v>
      </c>
      <c r="B56" s="184">
        <v>5</v>
      </c>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2876</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2877</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2878</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2879</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2880</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2881</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2882</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384" t="s">
        <v>1654</v>
      </c>
      <c r="B1" s="3385"/>
      <c r="C1" s="3385"/>
      <c r="D1" s="3385"/>
      <c r="E1" s="3385"/>
      <c r="F1" s="3385"/>
      <c r="G1" s="3385"/>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40.5">
      <c r="A3" s="3123" t="s">
        <v>1657</v>
      </c>
      <c r="B3" s="3124" t="s">
        <v>1644</v>
      </c>
      <c r="C3" s="3125" t="s">
        <v>2889</v>
      </c>
      <c r="D3" s="3126"/>
      <c r="E3" s="3127" t="s">
        <v>1657</v>
      </c>
      <c r="F3" s="3128" t="s">
        <v>1645</v>
      </c>
      <c r="G3" s="3129" t="s">
        <v>2888</v>
      </c>
      <c r="H3" s="3122"/>
      <c r="I3" s="3122"/>
      <c r="J3" s="3122"/>
      <c r="K3" s="3122"/>
      <c r="L3" s="3122"/>
      <c r="M3" s="3122"/>
      <c r="N3" s="3122"/>
      <c r="O3" s="3122"/>
      <c r="P3" s="3122"/>
      <c r="Q3" s="3122"/>
      <c r="R3" s="3122"/>
    </row>
    <row r="4" spans="1:18" ht="40.5">
      <c r="A4" s="3127"/>
      <c r="B4" s="3130" t="s">
        <v>1658</v>
      </c>
      <c r="C4" s="3131" t="s">
        <v>2890</v>
      </c>
      <c r="D4" s="3126"/>
      <c r="E4" s="3132"/>
      <c r="F4" s="3133" t="s">
        <v>1659</v>
      </c>
      <c r="G4" s="3134" t="s">
        <v>2885</v>
      </c>
      <c r="H4" s="3122"/>
      <c r="I4" s="3122"/>
      <c r="J4" s="3122"/>
      <c r="K4" s="3122"/>
      <c r="L4" s="3122"/>
      <c r="M4" s="3122"/>
      <c r="N4" s="3122"/>
      <c r="O4" s="3122"/>
      <c r="P4" s="3122"/>
      <c r="Q4" s="3122"/>
      <c r="R4" s="3122"/>
    </row>
    <row r="5" spans="1:18" ht="41.25">
      <c r="A5" s="3127"/>
      <c r="B5" s="3130" t="s">
        <v>1660</v>
      </c>
      <c r="C5" s="3131" t="s">
        <v>2891</v>
      </c>
      <c r="D5" s="3126"/>
      <c r="E5" s="3132"/>
      <c r="F5" s="3130" t="s">
        <v>2527</v>
      </c>
      <c r="G5" s="3134" t="s">
        <v>2886</v>
      </c>
      <c r="H5" s="3122"/>
      <c r="I5" s="3122"/>
      <c r="J5" s="3122"/>
      <c r="K5" s="3122"/>
      <c r="L5" s="3122"/>
      <c r="M5" s="3122"/>
      <c r="N5" s="3122"/>
      <c r="O5" s="3122"/>
      <c r="P5" s="3122"/>
      <c r="Q5" s="3122"/>
      <c r="R5" s="3122"/>
    </row>
    <row r="6" spans="1:18" ht="40.5">
      <c r="A6" s="3127"/>
      <c r="B6" s="3130" t="s">
        <v>1646</v>
      </c>
      <c r="C6" s="3134" t="s">
        <v>2885</v>
      </c>
      <c r="D6" s="3126"/>
      <c r="E6" s="3132"/>
      <c r="F6" s="3130" t="s">
        <v>2528</v>
      </c>
      <c r="G6" s="3134" t="s">
        <v>2883</v>
      </c>
      <c r="H6" s="3122"/>
      <c r="I6" s="3122"/>
      <c r="J6" s="3122"/>
      <c r="K6" s="3122"/>
      <c r="L6" s="3122"/>
      <c r="M6" s="3122"/>
      <c r="N6" s="3122"/>
      <c r="O6" s="3122"/>
      <c r="P6" s="3122"/>
      <c r="Q6" s="3122"/>
      <c r="R6" s="3122"/>
    </row>
    <row r="7" spans="1:18" ht="27.75" thickBot="1">
      <c r="A7" s="3127"/>
      <c r="B7" s="3130" t="s">
        <v>2527</v>
      </c>
      <c r="C7" s="3134" t="s">
        <v>2886</v>
      </c>
      <c r="D7" s="3135"/>
      <c r="E7" s="3136"/>
      <c r="F7" s="3137" t="s">
        <v>1661</v>
      </c>
      <c r="G7" s="3138" t="s">
        <v>2887</v>
      </c>
      <c r="H7" s="3122"/>
      <c r="I7" s="3122"/>
      <c r="J7" s="3122"/>
      <c r="K7" s="3122"/>
      <c r="L7" s="3122"/>
      <c r="M7" s="3122"/>
      <c r="N7" s="3122"/>
      <c r="O7" s="3122"/>
      <c r="P7" s="3122"/>
      <c r="Q7" s="3122"/>
      <c r="R7" s="3122"/>
    </row>
    <row r="8" spans="1:18">
      <c r="A8" s="3127"/>
      <c r="B8" s="3130" t="s">
        <v>2528</v>
      </c>
      <c r="C8" s="3134" t="s">
        <v>2883</v>
      </c>
      <c r="D8" s="3135"/>
      <c r="E8" s="3135"/>
      <c r="F8" s="3139"/>
      <c r="G8" s="3139"/>
      <c r="H8" s="3122"/>
      <c r="I8" s="3122"/>
      <c r="J8" s="3122"/>
      <c r="K8" s="3122"/>
      <c r="L8" s="3122"/>
      <c r="M8" s="3122"/>
      <c r="N8" s="3122"/>
      <c r="O8" s="3122"/>
      <c r="P8" s="3122"/>
      <c r="Q8" s="3122"/>
      <c r="R8" s="3122"/>
    </row>
    <row r="9" spans="1:18" ht="27">
      <c r="A9" s="3127"/>
      <c r="B9" s="3130" t="s">
        <v>1647</v>
      </c>
      <c r="C9" s="3131" t="s">
        <v>2884</v>
      </c>
      <c r="D9" s="3126"/>
      <c r="E9" s="3135"/>
      <c r="F9" s="3139"/>
      <c r="G9" s="3139"/>
      <c r="H9" s="3122"/>
      <c r="I9" s="3122"/>
      <c r="J9" s="3122"/>
      <c r="K9" s="3122"/>
      <c r="L9" s="3122"/>
      <c r="M9" s="3122"/>
      <c r="N9" s="3122"/>
      <c r="O9" s="3122"/>
      <c r="P9" s="3122"/>
      <c r="Q9" s="3122"/>
      <c r="R9" s="3122"/>
    </row>
    <row r="10" spans="1:18" s="3146" customFormat="1" ht="15" thickBot="1">
      <c r="A10" s="3140"/>
      <c r="B10" s="3141" t="s">
        <v>1662</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1663</v>
      </c>
      <c r="B13" s="3149"/>
      <c r="C13" s="3149"/>
      <c r="D13" s="3120"/>
      <c r="E13" s="3149"/>
      <c r="F13" s="3149"/>
      <c r="G13" s="3149"/>
    </row>
    <row r="14" spans="1:18" ht="14.25" thickBot="1">
      <c r="A14" s="3161"/>
      <c r="B14" s="3161"/>
      <c r="C14" s="3162" t="s">
        <v>1655</v>
      </c>
      <c r="D14" s="3126"/>
      <c r="E14" s="3163"/>
      <c r="F14" s="3163"/>
      <c r="G14" s="3119" t="s">
        <v>1656</v>
      </c>
    </row>
    <row r="15" spans="1:18" ht="40.5">
      <c r="A15" s="3164" t="s">
        <v>1648</v>
      </c>
      <c r="B15" s="3165" t="s">
        <v>1644</v>
      </c>
      <c r="C15" s="3166" t="str">
        <f>C3</f>
        <v>估价对象周边居住用地比例、居住小区规模和社区发展完善程度，综合评价居住社区成熟度一般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估价对象位于XX商圈，周边商业氛围成熟，人流量大，商业繁华度好</v>
      </c>
      <c r="D16" s="3126"/>
      <c r="E16" s="3172"/>
      <c r="F16" s="3173" t="s">
        <v>1659</v>
      </c>
      <c r="G16" s="3174" t="str">
        <f>G4</f>
        <v>估价对象周边道路状况、公共交通通达情况、停车便捷程度，综合评价交通便捷度较好</v>
      </c>
    </row>
    <row r="17" spans="1:7" ht="40.5">
      <c r="A17" s="3169"/>
      <c r="B17" s="3170" t="s">
        <v>1660</v>
      </c>
      <c r="C17" s="3171" t="str">
        <f>C5</f>
        <v>估价对象位于XX商圈，周边办公楼项目较多，入驻率高，办公集聚程度较好</v>
      </c>
      <c r="D17" s="3135"/>
      <c r="E17" s="3172"/>
      <c r="F17" s="3173" t="s">
        <v>1665</v>
      </c>
      <c r="G17" s="3175"/>
    </row>
    <row r="18" spans="1:7" ht="40.5">
      <c r="A18" s="3169"/>
      <c r="B18" s="3173" t="s">
        <v>1646</v>
      </c>
      <c r="C18" s="3174" t="str">
        <f>C6</f>
        <v>估价对象周边道路状况、公共交通通达情况、停车便捷程度，综合评价交通便捷度较好</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2527</v>
      </c>
      <c r="G19" s="3174" t="str">
        <f>G5</f>
        <v>估价对象所在区域公共配套设施齐备情况</v>
      </c>
    </row>
    <row r="20" spans="1:7" ht="27">
      <c r="A20" s="3169"/>
      <c r="B20" s="3173" t="s">
        <v>1651</v>
      </c>
      <c r="C20" s="3171" t="str">
        <f>C9</f>
        <v>区域自然环境：；人文环境；综合评价环境状况一般</v>
      </c>
      <c r="D20" s="3135"/>
      <c r="E20" s="3172"/>
      <c r="F20" s="3130" t="s">
        <v>2528</v>
      </c>
      <c r="G20" s="3174" t="str">
        <f>G6</f>
        <v>估价对象所在区域基础设施水平</v>
      </c>
    </row>
    <row r="21" spans="1:7" ht="27">
      <c r="A21" s="3169"/>
      <c r="B21" s="3130" t="s">
        <v>2527</v>
      </c>
      <c r="C21" s="3174" t="str">
        <f>C7</f>
        <v>估价对象所在区域公共配套设施齐备情况</v>
      </c>
      <c r="D21" s="3126"/>
      <c r="E21" s="3172"/>
      <c r="F21" s="3173" t="s">
        <v>1652</v>
      </c>
      <c r="G21" s="3176"/>
    </row>
    <row r="22" spans="1:7" ht="14.25">
      <c r="A22" s="3169"/>
      <c r="B22" s="3130" t="s">
        <v>2528</v>
      </c>
      <c r="C22" s="3174" t="str">
        <f>C8</f>
        <v>估价对象所在区域基础设施水平</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f>C10</f>
        <v>0</v>
      </c>
      <c r="E24" s="3182"/>
      <c r="F24" s="3182"/>
      <c r="G24" s="3183"/>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5" customWidth="1"/>
    <col min="2" max="16384" width="14.625" style="3185"/>
  </cols>
  <sheetData>
    <row r="1" spans="1:10" ht="16.5">
      <c r="A1" s="3184" t="s">
        <v>2823</v>
      </c>
      <c r="B1" s="3184">
        <f>SUM(B14:B23)</f>
        <v>88976</v>
      </c>
      <c r="C1" s="3193"/>
      <c r="D1" s="3193"/>
      <c r="E1" s="3193"/>
      <c r="F1" s="3193"/>
      <c r="G1" s="3194"/>
      <c r="H1" s="3194"/>
      <c r="I1" s="3194"/>
      <c r="J1" s="3194"/>
    </row>
    <row r="2" spans="1:10" ht="16.5">
      <c r="A2" s="3184" t="s">
        <v>2824</v>
      </c>
      <c r="B2" s="3184">
        <f>SUM(C14:C23)</f>
        <v>45034</v>
      </c>
      <c r="C2" s="3193"/>
      <c r="D2" s="3193"/>
      <c r="E2" s="3193"/>
      <c r="F2" s="3193"/>
      <c r="G2" s="3194"/>
      <c r="H2" s="3194"/>
      <c r="I2" s="3194"/>
      <c r="J2" s="3194"/>
    </row>
    <row r="3" spans="1:10" ht="16.5">
      <c r="A3" s="3184" t="s">
        <v>2825</v>
      </c>
      <c r="B3" s="3186">
        <f>项目基本情况!D3</f>
        <v>44385</v>
      </c>
      <c r="C3" s="3193"/>
      <c r="D3" s="3193"/>
      <c r="E3" s="3193"/>
      <c r="F3" s="3193"/>
      <c r="G3" s="3194"/>
      <c r="H3" s="3194"/>
      <c r="I3" s="3194"/>
      <c r="J3" s="3194"/>
    </row>
    <row r="4" spans="1:10" ht="33">
      <c r="A4" s="3184" t="s">
        <v>2826</v>
      </c>
      <c r="B4" s="3184" t="s">
        <v>2827</v>
      </c>
      <c r="C4" s="3184" t="s">
        <v>2828</v>
      </c>
      <c r="D4" s="3184" t="s">
        <v>2829</v>
      </c>
      <c r="E4" s="3193"/>
      <c r="F4" s="3193"/>
      <c r="G4" s="3194"/>
      <c r="H4" s="3194"/>
      <c r="I4" s="3194"/>
      <c r="J4" s="3194"/>
    </row>
    <row r="5" spans="1:10" ht="16.5">
      <c r="A5" s="3184" t="s">
        <v>2830</v>
      </c>
      <c r="B5" s="3184">
        <f ca="1">SUM(D14:D23)</f>
        <v>46140</v>
      </c>
      <c r="C5" s="3184">
        <f ca="1">ROUND(B5*10000/$B$1,0)</f>
        <v>5186</v>
      </c>
      <c r="D5" s="3184">
        <f ca="1">ROUND(B5*10000/$B$2,0)</f>
        <v>10246</v>
      </c>
      <c r="E5" s="3193"/>
      <c r="F5" s="3193"/>
      <c r="G5" s="3194"/>
      <c r="H5" s="3194"/>
      <c r="I5" s="3194"/>
      <c r="J5" s="3194"/>
    </row>
    <row r="6" spans="1:10" ht="16.5">
      <c r="A6" s="3184" t="s">
        <v>2831</v>
      </c>
      <c r="B6" s="3184">
        <f>SUM(G14:G23)</f>
        <v>0</v>
      </c>
      <c r="C6" s="3184">
        <f t="shared" ref="C6:C8" si="0">ROUND(B6*10000/$B$1,0)</f>
        <v>0</v>
      </c>
      <c r="D6" s="3184">
        <f t="shared" ref="D6:D8" si="1">ROUND(B6*10000/$B$2,0)</f>
        <v>0</v>
      </c>
      <c r="E6" s="3193"/>
      <c r="F6" s="3193"/>
      <c r="G6" s="3194"/>
      <c r="H6" s="3194"/>
      <c r="I6" s="3194"/>
      <c r="J6" s="3194"/>
    </row>
    <row r="7" spans="1:10" ht="16.5">
      <c r="A7" s="3184" t="s">
        <v>2832</v>
      </c>
      <c r="B7" s="3184">
        <f ca="1">SUM(H14:H23)</f>
        <v>46140</v>
      </c>
      <c r="C7" s="3184">
        <f t="shared" ca="1" si="0"/>
        <v>5186</v>
      </c>
      <c r="D7" s="3184">
        <f t="shared" ca="1" si="1"/>
        <v>10246</v>
      </c>
      <c r="E7" s="3193"/>
      <c r="F7" s="3193"/>
      <c r="G7" s="3194"/>
      <c r="H7" s="3194"/>
      <c r="I7" s="3194"/>
      <c r="J7" s="3194"/>
    </row>
    <row r="8" spans="1:10" ht="16.5">
      <c r="A8" s="3184" t="s">
        <v>2833</v>
      </c>
      <c r="B8" s="3184">
        <f>SUM(I14:I23)</f>
        <v>0</v>
      </c>
      <c r="C8" s="3184">
        <f t="shared" si="0"/>
        <v>0</v>
      </c>
      <c r="D8" s="3184">
        <f t="shared" si="1"/>
        <v>0</v>
      </c>
      <c r="E8" s="3193"/>
      <c r="F8" s="3193"/>
      <c r="G8" s="3194"/>
      <c r="H8" s="3194"/>
      <c r="I8" s="3194"/>
      <c r="J8" s="3194"/>
    </row>
    <row r="9" spans="1:10" ht="16.5">
      <c r="A9" s="3184" t="s">
        <v>2834</v>
      </c>
      <c r="B9" s="3192"/>
      <c r="C9" s="3193"/>
      <c r="D9" s="3193"/>
      <c r="E9" s="3193"/>
      <c r="F9" s="3193"/>
      <c r="G9" s="3194"/>
      <c r="H9" s="3194"/>
      <c r="I9" s="3194"/>
      <c r="J9" s="3194"/>
    </row>
    <row r="10" spans="1:10" ht="16.5">
      <c r="A10" s="3184" t="s">
        <v>2835</v>
      </c>
      <c r="B10" s="3192"/>
      <c r="C10" s="3193"/>
      <c r="D10" s="3193"/>
      <c r="E10" s="3193"/>
      <c r="F10" s="3193"/>
      <c r="G10" s="3194"/>
      <c r="H10" s="3194"/>
      <c r="I10" s="3194"/>
      <c r="J10" s="3194"/>
    </row>
    <row r="11" spans="1:10" ht="16.5">
      <c r="A11" s="3184" t="s">
        <v>2852</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2851</v>
      </c>
      <c r="B13" s="3188" t="s">
        <v>2823</v>
      </c>
      <c r="C13" s="3188" t="s">
        <v>2824</v>
      </c>
      <c r="D13" s="3188" t="s">
        <v>2836</v>
      </c>
      <c r="E13" s="3184" t="s">
        <v>2850</v>
      </c>
      <c r="F13" s="3184" t="s">
        <v>2829</v>
      </c>
      <c r="G13" s="3188" t="s">
        <v>2837</v>
      </c>
      <c r="H13" s="3188" t="s">
        <v>2838</v>
      </c>
      <c r="I13" s="3188" t="s">
        <v>2839</v>
      </c>
      <c r="J13" s="3194"/>
    </row>
    <row r="14" spans="1:10" ht="16.5">
      <c r="A14" s="3189" t="s">
        <v>2849</v>
      </c>
      <c r="B14" s="3190">
        <f>结果表!L38</f>
        <v>88976</v>
      </c>
      <c r="C14" s="3190">
        <f>结果表!K38</f>
        <v>45034</v>
      </c>
      <c r="D14" s="3190">
        <f ca="1">结果表!C42</f>
        <v>46140</v>
      </c>
      <c r="E14" s="3190">
        <f ca="1">ROUND(D14*10000/B14,0)</f>
        <v>5186</v>
      </c>
      <c r="F14" s="3190">
        <f ca="1">ROUND(D14*10000/C14,0)</f>
        <v>10246</v>
      </c>
      <c r="G14" s="3190" t="str">
        <f>结果表!C44</f>
        <v>——</v>
      </c>
      <c r="H14" s="3190">
        <f ca="1">结果表!C45</f>
        <v>46140</v>
      </c>
      <c r="I14" s="3190" t="str">
        <f>结果表!C46</f>
        <v>——</v>
      </c>
      <c r="J14" s="3194"/>
    </row>
    <row r="15" spans="1:10" ht="16.5">
      <c r="A15" s="3189" t="s">
        <v>2840</v>
      </c>
      <c r="B15" s="3191"/>
      <c r="C15" s="3191"/>
      <c r="D15" s="3191"/>
      <c r="E15" s="3190" t="e">
        <f t="shared" ref="E15:E23" si="2">ROUND(D15*10000/B15,0)</f>
        <v>#DIV/0!</v>
      </c>
      <c r="F15" s="3190" t="e">
        <f t="shared" ref="F15:F23" si="3">ROUND(D15*10000/C15,0)</f>
        <v>#DIV/0!</v>
      </c>
      <c r="G15" s="2756"/>
      <c r="H15" s="2756"/>
      <c r="I15" s="3191"/>
      <c r="J15" s="3194"/>
    </row>
    <row r="16" spans="1:10" ht="16.5">
      <c r="A16" s="3189" t="s">
        <v>2841</v>
      </c>
      <c r="B16" s="3191"/>
      <c r="C16" s="3191"/>
      <c r="D16" s="3191"/>
      <c r="E16" s="3190" t="e">
        <f t="shared" si="2"/>
        <v>#DIV/0!</v>
      </c>
      <c r="F16" s="3190" t="e">
        <f t="shared" si="3"/>
        <v>#DIV/0!</v>
      </c>
      <c r="G16" s="2756"/>
      <c r="H16" s="2756"/>
      <c r="I16" s="3191"/>
      <c r="J16" s="3194"/>
    </row>
    <row r="17" spans="1:10" ht="16.5">
      <c r="A17" s="3189" t="s">
        <v>2842</v>
      </c>
      <c r="B17" s="3191"/>
      <c r="C17" s="3191"/>
      <c r="D17" s="3191"/>
      <c r="E17" s="3190" t="e">
        <f t="shared" si="2"/>
        <v>#DIV/0!</v>
      </c>
      <c r="F17" s="3190" t="e">
        <f t="shared" si="3"/>
        <v>#DIV/0!</v>
      </c>
      <c r="G17" s="2756"/>
      <c r="H17" s="2756"/>
      <c r="I17" s="3191"/>
      <c r="J17" s="3194"/>
    </row>
    <row r="18" spans="1:10" ht="16.5">
      <c r="A18" s="3189" t="s">
        <v>2843</v>
      </c>
      <c r="B18" s="3191"/>
      <c r="C18" s="3191"/>
      <c r="D18" s="3191"/>
      <c r="E18" s="3190" t="e">
        <f t="shared" si="2"/>
        <v>#DIV/0!</v>
      </c>
      <c r="F18" s="3190" t="e">
        <f t="shared" si="3"/>
        <v>#DIV/0!</v>
      </c>
      <c r="G18" s="3191"/>
      <c r="H18" s="3191"/>
      <c r="I18" s="3191"/>
      <c r="J18" s="3194"/>
    </row>
    <row r="19" spans="1:10" ht="16.5">
      <c r="A19" s="3189" t="s">
        <v>2844</v>
      </c>
      <c r="B19" s="3191"/>
      <c r="C19" s="3191"/>
      <c r="D19" s="3191"/>
      <c r="E19" s="3190" t="e">
        <f t="shared" si="2"/>
        <v>#DIV/0!</v>
      </c>
      <c r="F19" s="3190" t="e">
        <f t="shared" si="3"/>
        <v>#DIV/0!</v>
      </c>
      <c r="G19" s="3191"/>
      <c r="H19" s="3191"/>
      <c r="I19" s="3191"/>
      <c r="J19" s="3194"/>
    </row>
    <row r="20" spans="1:10" ht="16.5">
      <c r="A20" s="3189" t="s">
        <v>2845</v>
      </c>
      <c r="B20" s="3191"/>
      <c r="C20" s="3191"/>
      <c r="D20" s="3191"/>
      <c r="E20" s="3190" t="e">
        <f t="shared" si="2"/>
        <v>#DIV/0!</v>
      </c>
      <c r="F20" s="3190" t="e">
        <f t="shared" si="3"/>
        <v>#DIV/0!</v>
      </c>
      <c r="G20" s="3191"/>
      <c r="H20" s="3191"/>
      <c r="I20" s="3191"/>
      <c r="J20" s="3194"/>
    </row>
    <row r="21" spans="1:10" ht="16.5">
      <c r="A21" s="3189" t="s">
        <v>2846</v>
      </c>
      <c r="B21" s="3191"/>
      <c r="C21" s="3191"/>
      <c r="D21" s="3191"/>
      <c r="E21" s="3190" t="e">
        <f t="shared" si="2"/>
        <v>#DIV/0!</v>
      </c>
      <c r="F21" s="3190" t="e">
        <f t="shared" si="3"/>
        <v>#DIV/0!</v>
      </c>
      <c r="G21" s="3191"/>
      <c r="H21" s="3191"/>
      <c r="I21" s="3191"/>
      <c r="J21" s="3194"/>
    </row>
    <row r="22" spans="1:10" ht="16.5">
      <c r="A22" s="3189" t="s">
        <v>2847</v>
      </c>
      <c r="B22" s="3191"/>
      <c r="C22" s="3191"/>
      <c r="D22" s="3191"/>
      <c r="E22" s="3190" t="e">
        <f t="shared" si="2"/>
        <v>#DIV/0!</v>
      </c>
      <c r="F22" s="3190" t="e">
        <f t="shared" si="3"/>
        <v>#DIV/0!</v>
      </c>
      <c r="G22" s="3191"/>
      <c r="H22" s="3191"/>
      <c r="I22" s="3191"/>
      <c r="J22" s="3194"/>
    </row>
    <row r="23" spans="1:10" ht="16.5">
      <c r="A23" s="3189" t="s">
        <v>2848</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N17" sqref="N17"/>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30" t="str">
        <f>项目基本情况!K2</f>
        <v>出让国有建设用地使用权</v>
      </c>
      <c r="B2" s="3431"/>
      <c r="C2" s="3432"/>
      <c r="D2" s="3432"/>
      <c r="E2" s="3432"/>
      <c r="F2" s="3432"/>
      <c r="G2" s="3431"/>
      <c r="H2" s="3431"/>
      <c r="I2" s="3433"/>
      <c r="J2" s="1912"/>
      <c r="K2" s="1911"/>
      <c r="L2" s="1911"/>
      <c r="M2" s="1911"/>
      <c r="N2" s="1911"/>
      <c r="O2" s="1911"/>
      <c r="P2" s="1911"/>
      <c r="Q2" s="1911"/>
      <c r="R2" s="1911"/>
      <c r="S2" s="1911"/>
      <c r="T2" s="1911"/>
      <c r="U2" s="1911"/>
      <c r="V2" s="1911"/>
    </row>
    <row r="3" spans="1:22" ht="14.25">
      <c r="A3" s="3441" t="s">
        <v>298</v>
      </c>
      <c r="B3" s="3442"/>
      <c r="C3" s="3442"/>
      <c r="D3" s="3442"/>
      <c r="E3" s="3442"/>
      <c r="F3" s="3442"/>
      <c r="G3" s="3442"/>
      <c r="H3" s="3442"/>
      <c r="I3" s="3442"/>
      <c r="J3" s="1912"/>
      <c r="K3" s="1911"/>
      <c r="L3" s="1911"/>
      <c r="M3" s="1911"/>
      <c r="N3" s="1911"/>
      <c r="O3" s="1911"/>
      <c r="P3" s="1911"/>
      <c r="Q3" s="1911"/>
      <c r="R3" s="1911"/>
      <c r="S3" s="1911"/>
      <c r="T3" s="1911"/>
      <c r="U3" s="1911"/>
      <c r="V3" s="1911"/>
    </row>
    <row r="4" spans="1:22" ht="14.25">
      <c r="A4" s="256" t="s">
        <v>299</v>
      </c>
      <c r="B4" s="257" t="s">
        <v>300</v>
      </c>
      <c r="C4" s="258" t="s">
        <v>3374</v>
      </c>
      <c r="D4" s="258" t="s">
        <v>3375</v>
      </c>
      <c r="E4" s="3405" t="s">
        <v>301</v>
      </c>
      <c r="F4" s="3447"/>
      <c r="G4" s="3447"/>
      <c r="H4" s="3447"/>
      <c r="I4" s="3406"/>
      <c r="J4" s="1912"/>
      <c r="K4" s="1911"/>
      <c r="L4" s="3195" t="str">
        <f>IF(ISNUMBER(FIND("比较法",C4)),"比较法",IF(ISNUMBER(FIND("成本法",C4)),"成本法",IF(ISNUMBER(FIND("剩余法",C4)),"剩余法",IF(ISNUMBER(FIND("收益法",C4)),"收益法","基准地价系数修正法"))))</f>
        <v>剩余法</v>
      </c>
      <c r="M4" s="936" t="str">
        <f>IF(ISNUMBER(FIND("比较法",D4)),"比较法",IF(ISNUMBER(FIND("成本法",D4)),"成本法",IF(ISNUMBER(FIND("剩余法",D4)),"剩余法",IF(ISNUMBER(FIND("收益法",D4)),"收益法","基准地价系数修正法"))))</f>
        <v>比较法</v>
      </c>
      <c r="N4" s="1911"/>
      <c r="O4" s="1911"/>
      <c r="P4" s="1911"/>
      <c r="Q4" s="1911"/>
      <c r="R4" s="1911"/>
      <c r="S4" s="1911"/>
      <c r="T4" s="1911"/>
      <c r="U4" s="1911"/>
      <c r="V4" s="1911"/>
    </row>
    <row r="5" spans="1:22" ht="14.25">
      <c r="A5" s="3434" t="s">
        <v>302</v>
      </c>
      <c r="B5" s="3435">
        <v>25</v>
      </c>
      <c r="C5" s="3443"/>
      <c r="D5" s="3446"/>
      <c r="E5" s="259" t="s">
        <v>303</v>
      </c>
      <c r="F5" s="260"/>
      <c r="G5" s="260"/>
      <c r="H5" s="260"/>
      <c r="I5" s="261"/>
      <c r="J5" s="1912"/>
      <c r="K5" s="1911"/>
      <c r="L5" s="1911"/>
      <c r="M5" s="1911"/>
      <c r="N5" s="1911"/>
      <c r="O5" s="1911"/>
      <c r="P5" s="1911"/>
      <c r="Q5" s="1911"/>
      <c r="R5" s="1911"/>
      <c r="S5" s="1911"/>
      <c r="T5" s="1911"/>
      <c r="U5" s="1911"/>
      <c r="V5" s="1911"/>
    </row>
    <row r="6" spans="1:22" ht="14.25">
      <c r="A6" s="3434"/>
      <c r="B6" s="3435"/>
      <c r="C6" s="3444"/>
      <c r="D6" s="3446"/>
      <c r="E6" s="259" t="s">
        <v>304</v>
      </c>
      <c r="F6" s="260"/>
      <c r="G6" s="260"/>
      <c r="H6" s="260"/>
      <c r="I6" s="261"/>
      <c r="J6" s="1912"/>
      <c r="K6" s="1911"/>
      <c r="L6" s="1911"/>
      <c r="M6" s="1911"/>
      <c r="N6" s="1911"/>
      <c r="O6" s="1911"/>
      <c r="P6" s="1911"/>
      <c r="Q6" s="1911"/>
      <c r="R6" s="1911"/>
      <c r="S6" s="1911"/>
      <c r="T6" s="1911"/>
      <c r="U6" s="1911"/>
      <c r="V6" s="1911"/>
    </row>
    <row r="7" spans="1:22" ht="14.25">
      <c r="A7" s="3434"/>
      <c r="B7" s="3435"/>
      <c r="C7" s="3445"/>
      <c r="D7" s="3446"/>
      <c r="E7" s="259" t="s">
        <v>305</v>
      </c>
      <c r="F7" s="260"/>
      <c r="G7" s="260"/>
      <c r="H7" s="260"/>
      <c r="I7" s="261"/>
      <c r="J7" s="1912"/>
      <c r="K7" s="1911"/>
      <c r="L7" s="1911"/>
      <c r="M7" s="1911"/>
      <c r="N7" s="1911"/>
      <c r="O7" s="1911"/>
      <c r="P7" s="1911"/>
      <c r="Q7" s="1911"/>
      <c r="R7" s="1911"/>
      <c r="S7" s="1911"/>
      <c r="T7" s="1911"/>
      <c r="U7" s="1911"/>
      <c r="V7" s="1911"/>
    </row>
    <row r="8" spans="1:22" ht="14.25">
      <c r="A8" s="3434" t="s">
        <v>306</v>
      </c>
      <c r="B8" s="3435">
        <v>15</v>
      </c>
      <c r="C8" s="3443"/>
      <c r="D8" s="3446"/>
      <c r="E8" s="259" t="s">
        <v>307</v>
      </c>
      <c r="F8" s="260"/>
      <c r="G8" s="260"/>
      <c r="H8" s="260"/>
      <c r="I8" s="261"/>
      <c r="J8" s="1912"/>
      <c r="K8" s="1911"/>
      <c r="L8" s="1911"/>
      <c r="M8" s="1911"/>
      <c r="N8" s="1911"/>
      <c r="O8" s="1911"/>
      <c r="P8" s="1911"/>
      <c r="Q8" s="1911"/>
      <c r="R8" s="1911"/>
      <c r="S8" s="1911"/>
      <c r="T8" s="1911"/>
      <c r="U8" s="1911"/>
      <c r="V8" s="1911"/>
    </row>
    <row r="9" spans="1:22" ht="14.25">
      <c r="A9" s="3434"/>
      <c r="B9" s="3435"/>
      <c r="C9" s="3445"/>
      <c r="D9" s="3446"/>
      <c r="E9" s="259" t="s">
        <v>308</v>
      </c>
      <c r="F9" s="260"/>
      <c r="G9" s="260"/>
      <c r="H9" s="260"/>
      <c r="I9" s="261"/>
      <c r="J9" s="1912"/>
      <c r="K9" s="1911"/>
      <c r="L9" s="1911"/>
      <c r="M9" s="1911"/>
      <c r="N9" s="1911"/>
      <c r="O9" s="1911"/>
      <c r="P9" s="1911"/>
      <c r="Q9" s="1911"/>
      <c r="R9" s="1911"/>
      <c r="S9" s="1911"/>
      <c r="T9" s="1911"/>
      <c r="U9" s="1911"/>
      <c r="V9" s="1911"/>
    </row>
    <row r="10" spans="1:22" ht="14.25">
      <c r="A10" s="3434" t="s">
        <v>309</v>
      </c>
      <c r="B10" s="3435">
        <v>15</v>
      </c>
      <c r="C10" s="3443"/>
      <c r="D10" s="3446"/>
      <c r="E10" s="259" t="s">
        <v>310</v>
      </c>
      <c r="F10" s="260"/>
      <c r="G10" s="260"/>
      <c r="H10" s="260"/>
      <c r="I10" s="261"/>
      <c r="J10" s="1912"/>
      <c r="K10" s="1911"/>
      <c r="L10" s="1911"/>
      <c r="M10" s="1911"/>
      <c r="N10" s="1911"/>
      <c r="O10" s="1911"/>
      <c r="P10" s="1911"/>
      <c r="Q10" s="1911"/>
      <c r="R10" s="1911"/>
      <c r="S10" s="1911"/>
      <c r="T10" s="1911"/>
      <c r="U10" s="1911"/>
      <c r="V10" s="1911"/>
    </row>
    <row r="11" spans="1:22" ht="14.25">
      <c r="A11" s="3434"/>
      <c r="B11" s="3435"/>
      <c r="C11" s="3445"/>
      <c r="D11" s="3446"/>
      <c r="E11" s="259" t="s">
        <v>311</v>
      </c>
      <c r="F11" s="260"/>
      <c r="G11" s="260"/>
      <c r="H11" s="260"/>
      <c r="I11" s="261"/>
      <c r="J11" s="1912"/>
      <c r="K11" s="1911"/>
      <c r="L11" s="1911"/>
      <c r="M11" s="1911"/>
      <c r="N11" s="1911"/>
      <c r="O11" s="1911"/>
      <c r="P11" s="1911"/>
      <c r="Q11" s="1911"/>
      <c r="R11" s="1911"/>
      <c r="S11" s="1911"/>
      <c r="T11" s="1911"/>
      <c r="U11" s="1911"/>
      <c r="V11" s="1911"/>
    </row>
    <row r="12" spans="1:22" ht="14.25">
      <c r="A12" s="3434" t="s">
        <v>312</v>
      </c>
      <c r="B12" s="3435">
        <v>15</v>
      </c>
      <c r="C12" s="3443"/>
      <c r="D12" s="3446"/>
      <c r="E12" s="259" t="s">
        <v>313</v>
      </c>
      <c r="F12" s="260"/>
      <c r="G12" s="260"/>
      <c r="H12" s="260"/>
      <c r="I12" s="261"/>
      <c r="J12" s="1912"/>
      <c r="K12" s="1911"/>
      <c r="L12" s="1911"/>
      <c r="M12" s="1911"/>
      <c r="N12" s="1911"/>
      <c r="O12" s="1911"/>
      <c r="P12" s="1911"/>
      <c r="Q12" s="1911"/>
      <c r="R12" s="1911"/>
      <c r="S12" s="1911"/>
      <c r="T12" s="1911"/>
      <c r="U12" s="1911"/>
      <c r="V12" s="1911"/>
    </row>
    <row r="13" spans="1:22" ht="14.25">
      <c r="A13" s="3434"/>
      <c r="B13" s="3435"/>
      <c r="C13" s="3445"/>
      <c r="D13" s="3446"/>
      <c r="E13" s="259" t="s">
        <v>314</v>
      </c>
      <c r="F13" s="260"/>
      <c r="G13" s="260"/>
      <c r="H13" s="260"/>
      <c r="I13" s="261"/>
      <c r="J13" s="1912"/>
      <c r="K13" s="1911"/>
      <c r="L13" s="1911"/>
      <c r="M13" s="1911"/>
      <c r="N13" s="1911"/>
      <c r="O13" s="1911"/>
      <c r="P13" s="1911"/>
      <c r="Q13" s="1911"/>
      <c r="R13" s="1911"/>
      <c r="S13" s="1911"/>
      <c r="T13" s="1911"/>
      <c r="U13" s="1911"/>
      <c r="V13" s="1911"/>
    </row>
    <row r="14" spans="1:22" ht="14.25">
      <c r="A14" s="3434" t="s">
        <v>315</v>
      </c>
      <c r="B14" s="3435">
        <v>30</v>
      </c>
      <c r="C14" s="3443">
        <v>7</v>
      </c>
      <c r="D14" s="3446">
        <v>3</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34"/>
      <c r="B15" s="3435"/>
      <c r="C15" s="3444"/>
      <c r="D15" s="3446"/>
      <c r="E15" s="259" t="s">
        <v>317</v>
      </c>
      <c r="F15" s="260"/>
      <c r="G15" s="260"/>
      <c r="H15" s="260"/>
      <c r="I15" s="261"/>
      <c r="J15" s="1912"/>
      <c r="K15" s="1911"/>
      <c r="L15" s="1911"/>
      <c r="M15" s="1911"/>
      <c r="N15" s="1911"/>
      <c r="O15" s="1911"/>
      <c r="P15" s="1911"/>
      <c r="Q15" s="1911"/>
      <c r="R15" s="1911"/>
      <c r="S15" s="1911"/>
      <c r="T15" s="1911"/>
      <c r="U15" s="1911"/>
      <c r="V15" s="1911"/>
    </row>
    <row r="16" spans="1:22" ht="14.25">
      <c r="A16" s="3434"/>
      <c r="B16" s="3435"/>
      <c r="C16" s="3445"/>
      <c r="D16" s="3446"/>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7</v>
      </c>
      <c r="D17" s="263">
        <f>SUM(D5:D16)</f>
        <v>3</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0.7</v>
      </c>
      <c r="D18" s="265">
        <f>1-C18</f>
        <v>0.30000000000000004</v>
      </c>
      <c r="E18" s="3448" t="s">
        <v>2964</v>
      </c>
      <c r="F18" s="3449"/>
      <c r="G18" s="3449"/>
      <c r="H18" s="3449"/>
      <c r="I18" s="3449"/>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50123</v>
      </c>
      <c r="D19" s="269">
        <f ca="1">SUMIF(INDIRECT("'"&amp;D4&amp;"'"&amp;"!A:A"),结果表!B19,INDIRECT("'"&amp;D4&amp;"'"&amp;"!B:B"))</f>
        <v>36845</v>
      </c>
      <c r="E19" s="266" t="s">
        <v>323</v>
      </c>
      <c r="F19" s="267" t="s">
        <v>322</v>
      </c>
      <c r="G19" s="270">
        <f ca="1">ROUND(C19*$C$18+D19*$D$18,0)</f>
        <v>46140</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5633</v>
      </c>
      <c r="D20" s="275">
        <f ca="1">SUMIF(INDIRECT("'"&amp;D4&amp;"'"&amp;"!A:A"),结果表!B20,INDIRECT("'"&amp;D4&amp;"'"&amp;"!B:B"))</f>
        <v>4141</v>
      </c>
      <c r="E20" s="272"/>
      <c r="F20" s="273" t="s">
        <v>325</v>
      </c>
      <c r="G20" s="276">
        <f ca="1">ROUND(C20*$C$18+D20*$D$18,0)</f>
        <v>5185</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11130</v>
      </c>
      <c r="D21" s="149">
        <f ca="1">SUMIF(INDIRECT("'"&amp;D4&amp;"'"&amp;"!A:A"),结果表!B21,INDIRECT("'"&amp;D4&amp;"'"&amp;"!B:B"))</f>
        <v>8182</v>
      </c>
      <c r="E21" s="272"/>
      <c r="F21" s="278" t="s">
        <v>327</v>
      </c>
      <c r="G21" s="280">
        <f ca="1">ROUND(C21*$C$18+D21*$D$18,0)</f>
        <v>10246</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0.3603745420002713</v>
      </c>
      <c r="E22" s="282"/>
      <c r="F22" s="283"/>
      <c r="G22" s="284">
        <f ca="1">ROUND(G19/('数据-汇总表'!D3/666.67),0)</f>
        <v>683</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07"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54"/>
      <c r="B25" s="1274" t="s">
        <v>331</v>
      </c>
      <c r="C25" s="288">
        <f>IF(B30=0,0,C30)</f>
        <v>0</v>
      </c>
      <c r="D25" s="289"/>
      <c r="E25" s="309"/>
      <c r="F25" s="309"/>
      <c r="G25" s="309"/>
      <c r="H25" s="309"/>
      <c r="I25" s="309"/>
      <c r="J25" s="1911"/>
      <c r="K25" s="1208" t="str">
        <f ca="1">项目基本情况!B16&amp;"国有建设用地使用权价格："&amp;O38&amp;"万元"</f>
        <v>出让国有建设用地使用权价格：46140万元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大写金额：人民币肆亿陆仟壹佰肆拾万元整</v>
      </c>
      <c r="L26" s="1205"/>
      <c r="M26" s="1205"/>
      <c r="N26" s="1205"/>
      <c r="O26" s="1204"/>
      <c r="P26" s="1911"/>
      <c r="Q26" s="1911"/>
      <c r="R26" s="1911"/>
      <c r="S26" s="1911"/>
      <c r="T26" s="1911"/>
      <c r="U26" s="1911"/>
      <c r="V26" s="1911"/>
      <c r="W26" s="290"/>
      <c r="X26" s="290"/>
      <c r="Y26" s="290"/>
      <c r="Z26" s="290"/>
    </row>
    <row r="27" spans="1:26" ht="18">
      <c r="A27" s="291"/>
      <c r="B27" s="292"/>
      <c r="C27" s="292"/>
      <c r="D27" s="293">
        <f ca="1">G19/'数据-汇总表'!F31</f>
        <v>0.67918862425295135</v>
      </c>
      <c r="E27" s="309"/>
      <c r="F27" s="309"/>
      <c r="G27" s="309"/>
      <c r="H27" s="309"/>
      <c r="I27" s="309"/>
      <c r="J27" s="1911"/>
      <c r="K27" s="1211" t="str">
        <f ca="1">"单位面积地价："&amp;M38&amp;"元/平方米"</f>
        <v>单位面积地价：10246元/平方米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楼面地价：5186元/平方米</v>
      </c>
      <c r="L28" s="1205"/>
      <c r="M28" s="1205"/>
      <c r="N28" s="1205"/>
      <c r="O28" s="1204"/>
      <c r="P28" s="1911"/>
      <c r="V28" s="1911"/>
    </row>
    <row r="29" spans="1:26" ht="18">
      <c r="A29" s="291"/>
      <c r="B29" s="292"/>
      <c r="C29" s="292"/>
      <c r="D29" s="293"/>
      <c r="E29" s="309"/>
      <c r="F29" s="309"/>
      <c r="G29" s="309"/>
      <c r="H29" s="309"/>
      <c r="I29" s="309"/>
      <c r="J29" s="1911"/>
      <c r="K29" s="1211" t="str">
        <f>IF(OR(项目基本情况!E8="抵押价格",项目基本情况!E8="已注销及未注销"),"抵押价格："&amp;O39&amp;"万元","——")</f>
        <v>——</v>
      </c>
      <c r="L29" s="1205"/>
      <c r="M29" s="1205"/>
      <c r="N29" s="1205"/>
      <c r="O29" s="1204"/>
      <c r="P29" s="1911"/>
      <c r="V29" s="1911"/>
    </row>
    <row r="30" spans="1:26" ht="18.75" thickBot="1">
      <c r="A30" s="2799" t="s">
        <v>336</v>
      </c>
      <c r="B30" s="307"/>
      <c r="C30" s="307"/>
      <c r="D30" s="308"/>
      <c r="E30" s="3002" t="s">
        <v>2965</v>
      </c>
      <c r="F30" s="309"/>
      <c r="G30" s="309"/>
      <c r="H30" s="309"/>
      <c r="I30" s="309"/>
      <c r="J30" s="1911"/>
      <c r="K30" s="1211" t="str">
        <f>IF(K29="——","——","大写金额：人民币"&amp;NUMBERSTRING(INT(O39*10000),2)&amp;"元整")</f>
        <v>——</v>
      </c>
      <c r="L30" s="1205"/>
      <c r="M30" s="1205"/>
      <c r="N30" s="1205"/>
      <c r="O30" s="1204"/>
      <c r="P30" s="1911"/>
      <c r="V30" s="1911"/>
    </row>
    <row r="31" spans="1:26" ht="24" customHeight="1" thickBot="1">
      <c r="A31" s="3450" t="s">
        <v>2966</v>
      </c>
      <c r="B31" s="3450"/>
      <c r="C31" s="3450"/>
      <c r="D31" s="3450"/>
      <c r="E31" s="3450"/>
      <c r="F31" s="3450"/>
      <c r="G31" s="3450"/>
      <c r="H31" s="3450"/>
      <c r="I31" s="3450"/>
      <c r="J31" s="1911"/>
      <c r="K31" s="2322" t="str">
        <f ca="1">IF(项目基本情况!E8="抵押价格","——","抵押担保权已注销时的抵押价格："&amp;O40&amp;"万元")</f>
        <v>抵押担保权已注销时的抵押价格：46140万元</v>
      </c>
      <c r="L31" s="2318"/>
      <c r="M31" s="2318"/>
      <c r="N31" s="2318"/>
      <c r="O31" s="2319"/>
      <c r="P31" s="1911"/>
      <c r="V31" s="1911"/>
    </row>
    <row r="32" spans="1:26" ht="19.5" thickTop="1" thickBot="1">
      <c r="A32" s="272" t="s">
        <v>337</v>
      </c>
      <c r="B32" s="3003" t="s">
        <v>1679</v>
      </c>
      <c r="C32" s="264">
        <f ca="1">G19-C24</f>
        <v>46140</v>
      </c>
      <c r="D32" s="3004" t="s">
        <v>1680</v>
      </c>
      <c r="E32" s="309"/>
      <c r="F32" s="309"/>
      <c r="G32" s="309"/>
      <c r="H32" s="309"/>
      <c r="I32" s="309"/>
      <c r="J32" s="1911"/>
      <c r="K32" s="2317" t="str">
        <f ca="1">IF(K31="——","——","大写金额：人民币"&amp;NUMBERSTRING(INT(O40*10000),2)&amp;"元整")</f>
        <v>大写金额：人民币肆亿陆仟壹佰肆拾万元整</v>
      </c>
      <c r="L32" s="2320"/>
      <c r="M32" s="2320"/>
      <c r="N32" s="2320"/>
      <c r="O32" s="2321"/>
      <c r="P32" s="1911"/>
      <c r="V32" s="1911"/>
    </row>
    <row r="33" spans="1:26" ht="18.75" thickBot="1">
      <c r="A33" s="296" t="s">
        <v>340</v>
      </c>
      <c r="B33" s="1332" t="s">
        <v>1681</v>
      </c>
      <c r="C33" s="262">
        <f ca="1">ROUND(C32*10000/'数据-汇总表'!E3,0)</f>
        <v>5186</v>
      </c>
      <c r="D33" s="1333" t="s">
        <v>1682</v>
      </c>
      <c r="E33" s="3407"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1683</v>
      </c>
      <c r="C34" s="262">
        <f ca="1">ROUND(C32*10000/'数据-汇总表'!D3,0)</f>
        <v>10246</v>
      </c>
      <c r="D34" s="1335" t="s">
        <v>1682</v>
      </c>
      <c r="E34" s="3408"/>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683</v>
      </c>
      <c r="D35" s="1338" t="s">
        <v>1684</v>
      </c>
      <c r="E35" s="3409"/>
      <c r="F35" s="299" t="s">
        <v>342</v>
      </c>
      <c r="G35" s="969"/>
      <c r="H35" s="968" t="s">
        <v>343</v>
      </c>
      <c r="I35" s="309"/>
      <c r="J35" s="1911"/>
      <c r="K35" s="3413" t="s">
        <v>350</v>
      </c>
      <c r="L35" s="3413" t="s">
        <v>351</v>
      </c>
      <c r="M35" s="1217" t="s">
        <v>352</v>
      </c>
      <c r="N35" s="3413" t="s">
        <v>353</v>
      </c>
      <c r="O35" s="3413" t="s">
        <v>354</v>
      </c>
      <c r="P35" s="1911"/>
      <c r="V35" s="1911"/>
    </row>
    <row r="36" spans="1:26" ht="16.5" customHeight="1">
      <c r="A36" s="301" t="s">
        <v>344</v>
      </c>
      <c r="B36" s="302" t="s">
        <v>333</v>
      </c>
      <c r="C36" s="303" t="s">
        <v>345</v>
      </c>
      <c r="D36" s="303" t="s">
        <v>346</v>
      </c>
      <c r="E36" s="304" t="s">
        <v>347</v>
      </c>
      <c r="F36" s="309"/>
      <c r="G36" s="309"/>
      <c r="H36" s="309"/>
      <c r="I36" s="309"/>
      <c r="J36" s="1913"/>
      <c r="K36" s="3414"/>
      <c r="L36" s="3414"/>
      <c r="M36" s="1219" t="s">
        <v>355</v>
      </c>
      <c r="N36" s="3414"/>
      <c r="O36" s="3414"/>
      <c r="P36" s="1911"/>
      <c r="V36" s="1911"/>
    </row>
    <row r="37" spans="1:26" ht="16.5" customHeight="1" thickBot="1">
      <c r="A37" s="1213" t="s">
        <v>348</v>
      </c>
      <c r="B37" s="305"/>
      <c r="C37" s="292"/>
      <c r="D37" s="292"/>
      <c r="E37" s="293"/>
      <c r="F37" s="309"/>
      <c r="G37" s="309"/>
      <c r="H37" s="309"/>
      <c r="I37" s="309"/>
      <c r="J37" s="1913"/>
      <c r="K37" s="3415"/>
      <c r="L37" s="3415"/>
      <c r="M37" s="1220"/>
      <c r="N37" s="3415"/>
      <c r="O37" s="3415"/>
      <c r="P37" s="1911"/>
      <c r="V37" s="1911"/>
    </row>
    <row r="38" spans="1:26" ht="16.5" customHeight="1" thickBot="1">
      <c r="A38" s="1213" t="s">
        <v>349</v>
      </c>
      <c r="B38" s="305"/>
      <c r="C38" s="292"/>
      <c r="D38" s="292"/>
      <c r="E38" s="293"/>
      <c r="F38" s="309"/>
      <c r="G38" s="309"/>
      <c r="H38" s="309"/>
      <c r="I38" s="309"/>
      <c r="J38" s="1913"/>
      <c r="K38" s="1221">
        <f>'数据-汇总表'!D3</f>
        <v>45034</v>
      </c>
      <c r="L38" s="1222">
        <f>'数据-汇总表'!E3</f>
        <v>88976</v>
      </c>
      <c r="M38" s="1222">
        <f ca="1">C34</f>
        <v>10246</v>
      </c>
      <c r="N38" s="1222">
        <f ca="1">C33</f>
        <v>5186</v>
      </c>
      <c r="O38" s="1223">
        <f ca="1">C32</f>
        <v>46140</v>
      </c>
      <c r="P38" s="1911"/>
      <c r="V38" s="1911"/>
    </row>
    <row r="39" spans="1:26" ht="16.5" customHeight="1" thickBot="1">
      <c r="A39" s="1218"/>
      <c r="B39" s="306"/>
      <c r="C39" s="307"/>
      <c r="D39" s="307"/>
      <c r="E39" s="308"/>
      <c r="F39" s="309"/>
      <c r="G39" s="309"/>
      <c r="H39" s="309"/>
      <c r="I39" s="309"/>
      <c r="J39" s="1913"/>
      <c r="K39" s="3426" t="str">
        <f>MID(A44,3,LEN(A44)-2)</f>
        <v/>
      </c>
      <c r="L39" s="3427"/>
      <c r="M39" s="3427"/>
      <c r="N39" s="3428"/>
      <c r="O39" s="1340" t="str">
        <f>C44</f>
        <v>——</v>
      </c>
      <c r="P39" s="1911"/>
      <c r="V39" s="1911"/>
    </row>
    <row r="40" spans="1:26" ht="19.5" thickBot="1">
      <c r="A40" s="104" t="s">
        <v>864</v>
      </c>
      <c r="B40" s="309"/>
      <c r="C40" s="309"/>
      <c r="D40" s="309"/>
      <c r="E40" s="309"/>
      <c r="F40" s="309"/>
      <c r="G40" s="309"/>
      <c r="H40" s="309"/>
      <c r="I40" s="309"/>
      <c r="J40" s="1913"/>
      <c r="K40" s="3426" t="str">
        <f t="shared" ref="K40:K41" si="0">MID(A45,3,LEN(A45)-2)</f>
        <v>抵押担保权已注销时的抵押价格</v>
      </c>
      <c r="L40" s="3427"/>
      <c r="M40" s="3427"/>
      <c r="N40" s="3428"/>
      <c r="O40" s="1340">
        <f ca="1">C45</f>
        <v>46140</v>
      </c>
      <c r="P40" s="1911"/>
      <c r="V40" s="1911"/>
    </row>
    <row r="41" spans="1:26" ht="16.5" thickBot="1">
      <c r="A41" s="310" t="s">
        <v>356</v>
      </c>
      <c r="B41" s="311"/>
      <c r="C41" s="312" t="s">
        <v>357</v>
      </c>
      <c r="D41" s="313" t="s">
        <v>358</v>
      </c>
      <c r="E41" s="313" t="s">
        <v>359</v>
      </c>
      <c r="F41" s="314" t="s">
        <v>360</v>
      </c>
      <c r="G41" s="309"/>
      <c r="H41" s="309"/>
      <c r="I41" s="309"/>
      <c r="J41" s="1913"/>
      <c r="K41" s="3426" t="str">
        <f t="shared" si="0"/>
        <v/>
      </c>
      <c r="L41" s="3427"/>
      <c r="M41" s="3427"/>
      <c r="N41" s="3428"/>
      <c r="O41" s="1340" t="str">
        <f>C46</f>
        <v>——</v>
      </c>
      <c r="P41" s="1911"/>
      <c r="V41" s="1911"/>
    </row>
    <row r="42" spans="1:26" ht="29.25">
      <c r="A42" s="3455" t="s">
        <v>2056</v>
      </c>
      <c r="B42" s="3456"/>
      <c r="C42" s="262">
        <f ca="1">C32</f>
        <v>46140</v>
      </c>
      <c r="D42" s="315">
        <f ca="1">C33</f>
        <v>5186</v>
      </c>
      <c r="E42" s="315">
        <f ca="1">C34</f>
        <v>10246</v>
      </c>
      <c r="F42" s="316">
        <f ca="1">C35</f>
        <v>683</v>
      </c>
      <c r="G42" s="309"/>
      <c r="H42" s="309"/>
      <c r="I42" s="317"/>
      <c r="J42" s="1913"/>
      <c r="K42" s="1224" t="s">
        <v>361</v>
      </c>
      <c r="L42" s="1930" t="s">
        <v>362</v>
      </c>
      <c r="M42" s="1225" t="s">
        <v>363</v>
      </c>
      <c r="N42" s="1931" t="s">
        <v>364</v>
      </c>
      <c r="O42" s="1932" t="s">
        <v>365</v>
      </c>
      <c r="P42" s="1911"/>
      <c r="V42" s="1911"/>
    </row>
    <row r="43" spans="1:26" ht="30">
      <c r="A43" s="3465" t="s">
        <v>2710</v>
      </c>
      <c r="B43" s="3466"/>
      <c r="C43" s="262">
        <f>IF(H33="正常操作",G33+G34+G35,G34+G35)</f>
        <v>0</v>
      </c>
      <c r="D43" s="315" t="s">
        <v>43</v>
      </c>
      <c r="E43" s="315" t="s">
        <v>44</v>
      </c>
      <c r="F43" s="316" t="s">
        <v>44</v>
      </c>
      <c r="G43" s="2583" t="s">
        <v>943</v>
      </c>
      <c r="H43" s="309"/>
      <c r="I43" s="317"/>
      <c r="J43" s="1913"/>
      <c r="K43" s="1226" t="str">
        <f>C4</f>
        <v>剩余法-待开发</v>
      </c>
      <c r="L43" s="1227">
        <f ca="1">IF(L42="估价结果/万元",C19,C20)</f>
        <v>50123</v>
      </c>
      <c r="M43" s="1228">
        <f>C18</f>
        <v>0.7</v>
      </c>
      <c r="N43" s="1229">
        <f ca="1">IF(N42="测算结果/万元",G19,G20)</f>
        <v>46140</v>
      </c>
      <c r="O43" s="1230">
        <f ca="1">IF(O42="最终结果/万元",C32,C33)</f>
        <v>46140</v>
      </c>
      <c r="P43" s="1911"/>
      <c r="V43" s="1911"/>
    </row>
    <row r="44" spans="1:26" ht="30.75" thickBot="1">
      <c r="A44" s="3455" t="str">
        <f>IF(OR(项目基本情况!E8="抵押价格",项目基本情况!E8="已注销及未注销"),"3.抵押价格","——")</f>
        <v>——</v>
      </c>
      <c r="B44" s="3456"/>
      <c r="C44" s="262" t="str">
        <f>IF(A44="——","——",C42-C43)</f>
        <v>——</v>
      </c>
      <c r="D44" s="315" t="e">
        <f>ROUND(C44*10000/'数据-汇总表'!E3,0)</f>
        <v>#VALUE!</v>
      </c>
      <c r="E44" s="315" t="e">
        <f>ROUND(C44*10000/'数据-汇总表'!D3,0)</f>
        <v>#VALUE!</v>
      </c>
      <c r="F44" s="316" t="e">
        <f>ROUND(C44/('数据-汇总表'!D3/666.67),0)</f>
        <v>#VALUE!</v>
      </c>
      <c r="G44" s="309"/>
      <c r="H44" s="309"/>
      <c r="I44" s="317"/>
      <c r="J44" s="1913"/>
      <c r="K44" s="1231" t="str">
        <f>D4</f>
        <v>比较法-住宅、综合</v>
      </c>
      <c r="L44" s="1232">
        <f ca="1">IF(L42="估价结果/万元",D19,D20)</f>
        <v>36845</v>
      </c>
      <c r="M44" s="1233">
        <f>D18</f>
        <v>0.30000000000000004</v>
      </c>
      <c r="N44" s="1234"/>
      <c r="O44" s="1235"/>
      <c r="P44" s="1911"/>
      <c r="V44" s="1911"/>
    </row>
    <row r="45" spans="1:26" ht="15">
      <c r="A45" s="3460" t="str">
        <f>IF(项目基本情况!E8="已注销及未注销","4.抵押担保权已注销时的抵押价格",IF(项目基本情况!E8="已注销","3.抵押担保权已注销时的抵押价格","——"))</f>
        <v>3.抵押担保权已注销时的抵押价格</v>
      </c>
      <c r="B45" s="3461"/>
      <c r="C45" s="1718">
        <f ca="1">IF(A45="——","——",IF(项目基本情况!E8="抵押价格","——",C32-G34-G35))</f>
        <v>46140</v>
      </c>
      <c r="D45" s="315">
        <f ca="1">ROUND(C45*10000/'数据-汇总表'!E3,0)</f>
        <v>5186</v>
      </c>
      <c r="E45" s="315">
        <f ca="1">ROUND(C45*10000/'数据-汇总表'!D3,0)</f>
        <v>10246</v>
      </c>
      <c r="F45" s="316">
        <f ca="1">ROUND(C45/('数据-汇总表'!D3/666.67),0)</f>
        <v>683</v>
      </c>
      <c r="G45" s="309"/>
      <c r="H45" s="309"/>
      <c r="I45" s="317"/>
      <c r="J45" s="1913"/>
      <c r="K45" s="1911"/>
      <c r="L45" s="1911"/>
      <c r="M45" s="1911"/>
      <c r="N45" s="1911"/>
      <c r="O45" s="1911"/>
      <c r="P45" s="1911"/>
      <c r="V45" s="1911"/>
    </row>
    <row r="46" spans="1:26" ht="15.75" thickBot="1">
      <c r="A46" s="3457" t="str">
        <f>IF(项目基本情况!E9="抵押净值",IF(A45="——","4.抵押净值","5.抵押净值"),"——")</f>
        <v>——</v>
      </c>
      <c r="B46" s="3458"/>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18" t="s">
        <v>374</v>
      </c>
      <c r="B63" s="3419"/>
      <c r="C63" s="3420"/>
      <c r="D63" s="339">
        <f ca="1">ROUND(C42*F63,0)</f>
        <v>46140</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62" t="s">
        <v>378</v>
      </c>
      <c r="B64" s="3463"/>
      <c r="C64" s="3463"/>
      <c r="D64" s="3463"/>
      <c r="E64" s="3463"/>
      <c r="F64" s="3463"/>
      <c r="G64" s="3464"/>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59" t="s">
        <v>386</v>
      </c>
      <c r="B66" s="3425"/>
      <c r="C66" s="3425"/>
      <c r="D66" s="259" t="b">
        <f>IF(H66="情况1",0,IF(H66="情况2",D70,IF(H66="情况3",D71,IF(H66="情况4",D72))))</f>
        <v>0</v>
      </c>
      <c r="E66" s="980" t="str">
        <f>IF(H66="情况4","(销售额-原购置价)×税（费）率","销售额×税（费）率")</f>
        <v>销售额×税（费）率</v>
      </c>
      <c r="F66" s="348">
        <f>IF(H66="情况1","免征",'数据-取费表'!B41)</f>
        <v>5.5000000000000007E-2</v>
      </c>
      <c r="G66" s="349" t="s">
        <v>387</v>
      </c>
      <c r="H66" s="189"/>
      <c r="I66" s="1241"/>
      <c r="J66" s="1917"/>
      <c r="K66" s="1244">
        <v>1</v>
      </c>
      <c r="L66" s="3386" t="s">
        <v>385</v>
      </c>
      <c r="M66" s="3387"/>
      <c r="N66" s="2312"/>
      <c r="O66" s="2313"/>
      <c r="P66" s="2314"/>
      <c r="Q66" s="1911"/>
      <c r="R66" s="1911"/>
      <c r="S66" s="1911"/>
      <c r="T66" s="1911"/>
      <c r="U66" s="1911"/>
      <c r="V66" s="1911"/>
    </row>
    <row r="67" spans="1:22" ht="25.5" customHeight="1">
      <c r="A67" s="350" t="s">
        <v>389</v>
      </c>
      <c r="B67" s="3437" t="s">
        <v>390</v>
      </c>
      <c r="C67" s="3437"/>
      <c r="D67" s="351">
        <v>0</v>
      </c>
      <c r="E67" s="41" t="s">
        <v>391</v>
      </c>
      <c r="F67" s="62" t="s">
        <v>21</v>
      </c>
      <c r="G67" s="3421"/>
      <c r="H67" s="3005" t="s">
        <v>2967</v>
      </c>
      <c r="I67" s="3007"/>
      <c r="J67" s="1918"/>
      <c r="K67" s="1890">
        <v>2</v>
      </c>
      <c r="L67" s="3391" t="s">
        <v>388</v>
      </c>
      <c r="M67" s="3391"/>
      <c r="N67" s="1278">
        <f>'数据-取费表'!B2</f>
        <v>44385</v>
      </c>
      <c r="O67" s="1278"/>
      <c r="P67" s="1278"/>
      <c r="Q67" s="1911"/>
      <c r="R67" s="1911"/>
      <c r="S67" s="1911"/>
      <c r="T67" s="1911"/>
      <c r="U67" s="1911"/>
      <c r="V67" s="1911"/>
    </row>
    <row r="68" spans="1:22" ht="25.5" customHeight="1">
      <c r="A68" s="352"/>
      <c r="B68" s="3437" t="s">
        <v>393</v>
      </c>
      <c r="C68" s="3437"/>
      <c r="D68" s="353"/>
      <c r="E68" s="77"/>
      <c r="F68" s="354"/>
      <c r="G68" s="3422"/>
      <c r="H68" s="3006" t="s">
        <v>2968</v>
      </c>
      <c r="I68" s="3007"/>
      <c r="J68" s="1918"/>
      <c r="K68" s="1890">
        <v>3</v>
      </c>
      <c r="L68" s="3391" t="s">
        <v>392</v>
      </c>
      <c r="M68" s="3391"/>
      <c r="N68" s="1246">
        <f ca="1">C42</f>
        <v>46140</v>
      </c>
      <c r="O68" s="1246"/>
      <c r="P68" s="1246"/>
      <c r="Q68" s="1911"/>
      <c r="R68" s="1911"/>
      <c r="S68" s="1911"/>
      <c r="T68" s="1911"/>
      <c r="U68" s="1911"/>
      <c r="V68" s="1911"/>
    </row>
    <row r="69" spans="1:22" ht="23.45" customHeight="1">
      <c r="A69" s="355"/>
      <c r="B69" s="3437" t="s">
        <v>394</v>
      </c>
      <c r="C69" s="3437"/>
      <c r="D69" s="356"/>
      <c r="E69" s="73"/>
      <c r="F69" s="354"/>
      <c r="G69" s="3423"/>
      <c r="H69" s="3006" t="s">
        <v>2969</v>
      </c>
      <c r="I69" s="3007"/>
      <c r="J69" s="1918"/>
      <c r="K69" s="1247">
        <v>4</v>
      </c>
      <c r="L69" s="3392" t="s">
        <v>2862</v>
      </c>
      <c r="M69" s="3393"/>
      <c r="N69" s="1248" t="str">
        <f>C44</f>
        <v>——</v>
      </c>
      <c r="O69" s="1248"/>
      <c r="P69" s="1248"/>
      <c r="Q69" s="1911"/>
      <c r="R69" s="1911"/>
      <c r="S69" s="1911"/>
      <c r="T69" s="1911"/>
      <c r="U69" s="1911"/>
      <c r="V69" s="1911"/>
    </row>
    <row r="70" spans="1:22" ht="24" customHeight="1">
      <c r="A70" s="357" t="s">
        <v>395</v>
      </c>
      <c r="B70" s="3437" t="s">
        <v>396</v>
      </c>
      <c r="C70" s="3437"/>
      <c r="D70" s="356">
        <f ca="1">ROUND(D63*'数据-取费表'!B41/(1+'数据-取费表'!C42),0)</f>
        <v>2417</v>
      </c>
      <c r="E70" s="17" t="s">
        <v>397</v>
      </c>
      <c r="F70" s="358">
        <f>'数据-取费表'!B41</f>
        <v>5.5000000000000007E-2</v>
      </c>
      <c r="G70" s="359"/>
      <c r="H70" s="309"/>
      <c r="I70" s="1245"/>
      <c r="J70" s="1918"/>
      <c r="K70" s="2764"/>
      <c r="L70" s="2765"/>
      <c r="M70" s="2765"/>
      <c r="N70" s="2766" t="s">
        <v>2866</v>
      </c>
      <c r="O70" s="2765"/>
      <c r="P70" s="2767"/>
      <c r="Q70" s="1911"/>
      <c r="R70" s="1911"/>
      <c r="S70" s="1911"/>
      <c r="T70" s="1911"/>
      <c r="U70" s="1911"/>
      <c r="V70" s="1911"/>
    </row>
    <row r="71" spans="1:22" ht="12" customHeight="1">
      <c r="A71" s="357" t="s">
        <v>403</v>
      </c>
      <c r="B71" s="3436" t="s">
        <v>2998</v>
      </c>
      <c r="C71" s="3453"/>
      <c r="D71" s="356">
        <f ca="1">ROUND(D63*'数据-取费表'!B41/(1+'数据-取费表'!C42),0)</f>
        <v>2417</v>
      </c>
      <c r="E71" s="17" t="s">
        <v>397</v>
      </c>
      <c r="F71" s="358">
        <f>'数据-取费表'!B41</f>
        <v>5.5000000000000007E-2</v>
      </c>
      <c r="G71" s="359"/>
      <c r="H71" s="309"/>
      <c r="I71" s="1245"/>
      <c r="J71" s="1918"/>
      <c r="K71" s="2763" t="s">
        <v>398</v>
      </c>
      <c r="L71" s="3394" t="s">
        <v>399</v>
      </c>
      <c r="M71" s="3394"/>
      <c r="N71" s="2763" t="s">
        <v>400</v>
      </c>
      <c r="O71" s="2763" t="s">
        <v>401</v>
      </c>
      <c r="P71" s="2763" t="s">
        <v>402</v>
      </c>
      <c r="Q71" s="1911"/>
      <c r="R71" s="1911"/>
      <c r="S71" s="1911"/>
      <c r="T71" s="1911"/>
      <c r="U71" s="1911"/>
      <c r="V71" s="1911"/>
    </row>
    <row r="72" spans="1:22" ht="12" customHeight="1">
      <c r="A72" s="357" t="s">
        <v>405</v>
      </c>
      <c r="B72" s="3436" t="s">
        <v>2999</v>
      </c>
      <c r="C72" s="3453"/>
      <c r="D72" s="356">
        <f ca="1">C86</f>
        <v>2417</v>
      </c>
      <c r="E72" s="73" t="s">
        <v>406</v>
      </c>
      <c r="F72" s="358">
        <f>'数据-取费表'!B41</f>
        <v>5.5000000000000007E-2</v>
      </c>
      <c r="G72" s="359"/>
      <c r="H72" s="1251"/>
      <c r="I72" s="1245"/>
      <c r="J72" s="1918"/>
      <c r="K72" s="1890">
        <v>1</v>
      </c>
      <c r="L72" s="3390" t="s">
        <v>404</v>
      </c>
      <c r="M72" s="3390"/>
      <c r="N72" s="1249" t="b">
        <f>D66</f>
        <v>0</v>
      </c>
      <c r="O72" s="1773" t="str">
        <f>E66</f>
        <v>销售额×税（费）率</v>
      </c>
      <c r="P72" s="1250">
        <f>F66</f>
        <v>5.5000000000000007E-2</v>
      </c>
      <c r="Q72" s="1911"/>
      <c r="R72" s="1911"/>
      <c r="S72" s="1911"/>
      <c r="T72" s="1911"/>
      <c r="U72" s="1911"/>
      <c r="V72" s="1911"/>
    </row>
    <row r="73" spans="1:22" ht="24" customHeight="1">
      <c r="A73" s="3424" t="s">
        <v>408</v>
      </c>
      <c r="B73" s="3425"/>
      <c r="C73" s="3425"/>
      <c r="D73" s="360">
        <f ca="1">IF(H73="个人住宅",0,ROUND(D63*I73,0))</f>
        <v>23</v>
      </c>
      <c r="E73" s="17" t="s">
        <v>409</v>
      </c>
      <c r="F73" s="358" t="str">
        <f>IF(H73="正常",I73,"免征")</f>
        <v>免征</v>
      </c>
      <c r="G73" s="359"/>
      <c r="H73" s="189"/>
      <c r="I73" s="358">
        <f>'数据-取费表'!B49</f>
        <v>5.0000000000000001E-4</v>
      </c>
      <c r="J73" s="1918"/>
      <c r="K73" s="1890">
        <v>2</v>
      </c>
      <c r="L73" s="3390" t="s">
        <v>407</v>
      </c>
      <c r="M73" s="3390"/>
      <c r="N73" s="1249">
        <f t="shared" ref="N73:P74" ca="1" si="1">D73</f>
        <v>23</v>
      </c>
      <c r="O73" s="1773" t="str">
        <f t="shared" si="1"/>
        <v>销售额×税（费）率</v>
      </c>
      <c r="P73" s="1250" t="str">
        <f t="shared" si="1"/>
        <v>免征</v>
      </c>
      <c r="Q73" s="1911"/>
      <c r="R73" s="1911"/>
      <c r="S73" s="1911"/>
      <c r="T73" s="1911"/>
      <c r="U73" s="1911"/>
      <c r="V73" s="1911"/>
    </row>
    <row r="74" spans="1:22" ht="24.75">
      <c r="A74" s="3424" t="s">
        <v>411</v>
      </c>
      <c r="B74" s="3425"/>
      <c r="C74" s="3425"/>
      <c r="D74" s="360">
        <f ca="1">IF(H74="个人住宅",D75,D76)</f>
        <v>26157</v>
      </c>
      <c r="E74" s="17" t="s">
        <v>412</v>
      </c>
      <c r="F74" s="358" t="str">
        <f>IF(H74="正常",F76,"免征")</f>
        <v>免征</v>
      </c>
      <c r="G74" s="970" t="s">
        <v>413</v>
      </c>
      <c r="H74" s="361"/>
      <c r="I74" s="42"/>
      <c r="J74" s="1918"/>
      <c r="K74" s="1890">
        <v>3</v>
      </c>
      <c r="L74" s="3390" t="s">
        <v>410</v>
      </c>
      <c r="M74" s="3390"/>
      <c r="N74" s="1249">
        <f t="shared" ca="1" si="1"/>
        <v>26157</v>
      </c>
      <c r="O74" s="1773" t="str">
        <f t="shared" si="1"/>
        <v>增值额×税（费）率</v>
      </c>
      <c r="P74" s="1252" t="str">
        <f t="shared" si="1"/>
        <v>免征</v>
      </c>
      <c r="Q74" s="1911"/>
      <c r="R74" s="1911"/>
      <c r="S74" s="1911"/>
      <c r="T74" s="1911"/>
      <c r="U74" s="1911"/>
      <c r="V74" s="1911"/>
    </row>
    <row r="75" spans="1:22" ht="12.75">
      <c r="A75" s="357" t="s">
        <v>414</v>
      </c>
      <c r="B75" s="3405" t="s">
        <v>415</v>
      </c>
      <c r="C75" s="3406"/>
      <c r="D75" s="362">
        <v>0</v>
      </c>
      <c r="E75" s="41" t="s">
        <v>416</v>
      </c>
      <c r="F75" s="363"/>
      <c r="G75" s="359"/>
      <c r="H75" s="42"/>
      <c r="I75" s="42"/>
      <c r="J75" s="1918"/>
      <c r="K75" s="2757">
        <f>IF(H77="非个人房产","",4)</f>
        <v>4</v>
      </c>
      <c r="L75" s="3390" t="str">
        <f>IF(H77="非个人房产","——","个人所得税")</f>
        <v>个人所得税</v>
      </c>
      <c r="M75" s="3390"/>
      <c r="N75" s="1253">
        <f>D77</f>
        <v>0</v>
      </c>
      <c r="O75" s="1786" t="str">
        <f>E77</f>
        <v>差额计税</v>
      </c>
      <c r="P75" s="1254">
        <f>F77</f>
        <v>0.01</v>
      </c>
      <c r="Q75" s="1911"/>
      <c r="R75" s="1911"/>
      <c r="S75" s="1911"/>
      <c r="T75" s="1911"/>
      <c r="U75" s="1911"/>
      <c r="V75" s="1911"/>
    </row>
    <row r="76" spans="1:22" ht="24.75">
      <c r="A76" s="357" t="s">
        <v>395</v>
      </c>
      <c r="B76" s="3405" t="s">
        <v>418</v>
      </c>
      <c r="C76" s="3447"/>
      <c r="D76" s="360">
        <f ca="1">IF(H76="转让取得",C99,C115)</f>
        <v>26157</v>
      </c>
      <c r="E76" s="17" t="s">
        <v>419</v>
      </c>
      <c r="F76" s="53" t="s">
        <v>21</v>
      </c>
      <c r="G76" s="359"/>
      <c r="H76" s="361"/>
      <c r="I76" s="42"/>
      <c r="J76" s="1918"/>
      <c r="K76" s="2757" t="str">
        <f>IF(项目基本情况!K6="上海银行",IF(K75="",4,K75+1),"")</f>
        <v/>
      </c>
      <c r="L76" s="3401" t="str">
        <f>IF(项目基本情况!K6="上海银行","其他处置费用","")</f>
        <v/>
      </c>
      <c r="M76" s="3402"/>
      <c r="N76" s="1249" t="str">
        <f>IF(项目基本情况!K6="上海银行",N89,"")</f>
        <v/>
      </c>
      <c r="O76" s="3403" t="str">
        <f>IF(项目基本情况!K6="上海银行","包含处置中涉及的律师、诉讼、拍卖、评估等费用","")</f>
        <v/>
      </c>
      <c r="P76" s="3404"/>
      <c r="Q76" s="1911"/>
      <c r="R76" s="1911"/>
      <c r="S76" s="1911"/>
      <c r="T76" s="1911"/>
      <c r="U76" s="1911"/>
      <c r="V76" s="1911"/>
    </row>
    <row r="77" spans="1:22" ht="24.75" thickBot="1">
      <c r="A77" s="3416" t="s">
        <v>421</v>
      </c>
      <c r="B77" s="3417"/>
      <c r="C77" s="3417"/>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2970</v>
      </c>
      <c r="J77" s="1918"/>
      <c r="K77" s="3412">
        <f>IF(AND(K75="",K76=""),4,IF(项目基本情况!K6="上海银行",K76+1,K75+1))</f>
        <v>5</v>
      </c>
      <c r="L77" s="3390" t="s">
        <v>2863</v>
      </c>
      <c r="M77" s="2762" t="s">
        <v>417</v>
      </c>
      <c r="N77" s="1255"/>
      <c r="O77" s="1256">
        <f ca="1">SUMIF(N72:N76,"&lt;9e307")</f>
        <v>26180</v>
      </c>
      <c r="P77" s="1257"/>
      <c r="Q77" s="2760" t="e">
        <f ca="1">O77/N69</f>
        <v>#VALUE!</v>
      </c>
      <c r="R77" s="1911"/>
      <c r="S77" s="1911"/>
      <c r="T77" s="1911"/>
      <c r="U77" s="1911"/>
      <c r="V77" s="1911"/>
    </row>
    <row r="78" spans="1:22" ht="12" customHeight="1">
      <c r="A78" s="1258"/>
      <c r="B78" s="309"/>
      <c r="C78" s="309"/>
      <c r="D78" s="309"/>
      <c r="E78" s="42"/>
      <c r="F78" s="42"/>
      <c r="G78" s="42"/>
      <c r="H78" s="990"/>
      <c r="I78" s="309"/>
      <c r="J78" s="1918"/>
      <c r="K78" s="3412"/>
      <c r="L78" s="3390"/>
      <c r="M78" s="2762" t="s">
        <v>420</v>
      </c>
      <c r="N78" s="1255"/>
      <c r="O78" s="1256" t="str">
        <f ca="1">NUMBERSTRING(INT(O77*10000),2)&amp;"元整"</f>
        <v>贰亿陆仟壹佰捌拾万元整</v>
      </c>
      <c r="P78" s="1257"/>
      <c r="Q78" s="1911"/>
      <c r="R78" s="1911"/>
      <c r="S78" s="1911"/>
      <c r="T78" s="1911"/>
      <c r="U78" s="1911"/>
      <c r="V78" s="1911"/>
    </row>
    <row r="79" spans="1:22" ht="13.5" thickBot="1">
      <c r="A79" s="3467" t="s">
        <v>422</v>
      </c>
      <c r="B79" s="3467"/>
      <c r="C79" s="3467"/>
      <c r="D79" s="3467"/>
      <c r="E79" s="3467"/>
      <c r="F79" s="42"/>
      <c r="G79" s="42"/>
      <c r="H79" s="990"/>
      <c r="I79" s="309"/>
      <c r="J79" s="1918"/>
      <c r="K79" s="3388">
        <f>K77+1</f>
        <v>6</v>
      </c>
      <c r="L79" s="3390" t="s">
        <v>2864</v>
      </c>
      <c r="M79" s="2762" t="s">
        <v>417</v>
      </c>
      <c r="N79" s="1255"/>
      <c r="O79" s="1256" t="e">
        <f ca="1">N69-O77</f>
        <v>#VALUE!</v>
      </c>
      <c r="P79" s="1257"/>
      <c r="Q79" s="1911"/>
      <c r="R79" s="1911"/>
      <c r="S79" s="1911"/>
      <c r="T79" s="1911"/>
      <c r="U79" s="1911"/>
      <c r="V79" s="1911"/>
    </row>
    <row r="80" spans="1:22" ht="12.75">
      <c r="A80" s="3398" t="s">
        <v>423</v>
      </c>
      <c r="B80" s="3399"/>
      <c r="C80" s="981"/>
      <c r="D80" s="981" t="s">
        <v>424</v>
      </c>
      <c r="E80" s="364" t="s">
        <v>425</v>
      </c>
      <c r="F80" s="42"/>
      <c r="G80" s="42"/>
      <c r="H80" s="990"/>
      <c r="I80" s="309"/>
      <c r="J80" s="1911"/>
      <c r="K80" s="3389"/>
      <c r="L80" s="3390"/>
      <c r="M80" s="2762" t="s">
        <v>420</v>
      </c>
      <c r="N80" s="1255"/>
      <c r="O80" s="1256" t="e">
        <f ca="1">NUMBERSTRING(INT(O79*10000),2)&amp;"元整"</f>
        <v>#VALUE!</v>
      </c>
      <c r="P80" s="1257"/>
      <c r="Q80" s="1911"/>
      <c r="R80" s="1911"/>
      <c r="S80" s="1911"/>
      <c r="T80" s="1911"/>
      <c r="U80" s="1911"/>
      <c r="V80" s="1911"/>
    </row>
    <row r="81" spans="1:26" ht="13.5" thickBot="1">
      <c r="A81" s="375" t="s">
        <v>1814</v>
      </c>
      <c r="B81" s="365" t="s">
        <v>426</v>
      </c>
      <c r="C81" s="366">
        <f ca="1">ROUND((C82+C83)/(1+'数据-取费表'!C42),0)</f>
        <v>43943</v>
      </c>
      <c r="D81" s="367"/>
      <c r="E81" s="368"/>
      <c r="F81" s="42"/>
      <c r="G81" s="42"/>
      <c r="H81" s="990"/>
      <c r="I81" s="309"/>
      <c r="J81" s="1911"/>
      <c r="K81" s="2757">
        <f>K79+1</f>
        <v>7</v>
      </c>
      <c r="L81" s="3410" t="s">
        <v>2865</v>
      </c>
      <c r="M81" s="3411"/>
      <c r="N81" s="1259"/>
      <c r="O81" s="1260" t="e">
        <f ca="1">ROUND(O79*10000/'数据-汇总表'!E3,0)</f>
        <v>#VALUE!</v>
      </c>
      <c r="P81" s="1261"/>
      <c r="Q81" s="1911"/>
      <c r="R81" s="1911"/>
      <c r="S81" s="1911"/>
      <c r="T81" s="1911"/>
      <c r="U81" s="1911"/>
      <c r="V81" s="1911"/>
    </row>
    <row r="82" spans="1:26" ht="13.5" thickTop="1">
      <c r="A82" s="369" t="s">
        <v>1815</v>
      </c>
      <c r="B82" s="370" t="s">
        <v>427</v>
      </c>
      <c r="C82" s="371">
        <f ca="1">D63</f>
        <v>46140</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0"/>
      <c r="I83" s="309"/>
      <c r="J83" s="1911"/>
      <c r="K83" s="3400" t="s">
        <v>2853</v>
      </c>
      <c r="L83" s="2768" t="s">
        <v>2854</v>
      </c>
      <c r="M83" s="2758" t="e">
        <f>IF(N69&gt;10000,N69*0.5%,IF(AND(N69&gt;1000,N69&lt;=10000),N69*1%,IF(AND(N69&gt;100,N69&lt;=1000),N69*3%,IF(AND(N69&gt;10,N69&lt;=100),N69*5%,N69*8%))))</f>
        <v>#VALUE!</v>
      </c>
      <c r="N83" s="53" t="e">
        <f>ROUND(M83,1)</f>
        <v>#VALUE!</v>
      </c>
      <c r="O83" s="2761"/>
      <c r="P83" s="1911"/>
      <c r="Q83" s="1911"/>
      <c r="R83" s="1911"/>
      <c r="S83" s="1911"/>
      <c r="T83" s="1911"/>
      <c r="U83" s="1911"/>
      <c r="V83" s="1911"/>
    </row>
    <row r="84" spans="1:26" ht="12.75">
      <c r="A84" s="375" t="s">
        <v>1817</v>
      </c>
      <c r="B84" s="376" t="s">
        <v>429</v>
      </c>
      <c r="C84" s="377"/>
      <c r="D84" s="378" t="s">
        <v>19</v>
      </c>
      <c r="E84" s="2786" t="s">
        <v>2908</v>
      </c>
      <c r="F84" s="42"/>
      <c r="G84" s="42"/>
      <c r="H84" s="990"/>
      <c r="I84" s="309"/>
      <c r="J84" s="1911"/>
      <c r="K84" s="3400"/>
      <c r="L84" s="2768" t="s">
        <v>2855</v>
      </c>
      <c r="M84" s="27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5" t="s">
        <v>1818</v>
      </c>
      <c r="B85" s="376" t="s">
        <v>430</v>
      </c>
      <c r="C85" s="379">
        <f ca="1">C81-C84</f>
        <v>43943</v>
      </c>
      <c r="D85" s="372" t="s">
        <v>19</v>
      </c>
      <c r="E85" s="373"/>
      <c r="F85" s="42"/>
      <c r="G85" s="42"/>
      <c r="H85" s="990"/>
      <c r="I85" s="309"/>
      <c r="J85" s="1911"/>
      <c r="K85" s="3400"/>
      <c r="L85" s="2768" t="s">
        <v>2857</v>
      </c>
      <c r="M85" s="2758"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80" t="s">
        <v>1819</v>
      </c>
      <c r="B86" s="381" t="s">
        <v>431</v>
      </c>
      <c r="C86" s="382">
        <f ca="1">IF(C85&lt;=0,0,ROUND(C85*D86,0))</f>
        <v>2417</v>
      </c>
      <c r="D86" s="383">
        <f>'数据-取费表'!B41</f>
        <v>5.5000000000000007E-2</v>
      </c>
      <c r="E86" s="384"/>
      <c r="F86" s="42"/>
      <c r="G86" s="42"/>
      <c r="H86" s="990"/>
      <c r="I86" s="309"/>
      <c r="J86" s="1911"/>
      <c r="K86" s="3400"/>
      <c r="L86" s="2768" t="s">
        <v>2858</v>
      </c>
      <c r="M86" s="2758" t="e">
        <f>N69*0.5%</f>
        <v>#VALUE!</v>
      </c>
      <c r="N86" s="53" t="e">
        <f>IF(M86&gt;0.5,0.5,ROUND(M86,0))</f>
        <v>#VALUE!</v>
      </c>
      <c r="O86" s="1911" t="s">
        <v>2859</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00"/>
      <c r="L87" s="2768" t="s">
        <v>2860</v>
      </c>
      <c r="M87" s="27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1"/>
      <c r="P87" s="1911"/>
      <c r="Q87" s="1911"/>
      <c r="R87" s="1911"/>
      <c r="S87" s="1911"/>
      <c r="T87" s="1911"/>
      <c r="U87" s="1911"/>
      <c r="V87" s="1911"/>
      <c r="W87" s="290"/>
      <c r="X87" s="290"/>
      <c r="Y87" s="290"/>
      <c r="Z87" s="290"/>
    </row>
    <row r="88" spans="1:26" s="1267" customFormat="1" ht="15" thickBot="1">
      <c r="A88" s="3439" t="s">
        <v>432</v>
      </c>
      <c r="B88" s="3440"/>
      <c r="C88" s="3440"/>
      <c r="D88" s="3440"/>
      <c r="E88" s="3440"/>
      <c r="F88" s="3440"/>
      <c r="G88" s="3440"/>
      <c r="H88" s="3440"/>
      <c r="I88" s="1268"/>
      <c r="J88" s="1919"/>
      <c r="K88" s="3400"/>
      <c r="L88" s="2768" t="s">
        <v>2861</v>
      </c>
      <c r="M88" s="2758" t="e">
        <f>IF(N69&gt;10000,N69*0.5%,IF(AND(N69&gt;5000,N69&lt;=10000),N69*1%,IF(AND(N69&gt;1000,N69&lt;=5000),N69*2%,IF(AND(N69&gt;200,N69&lt;=1000),N69*3%,N69*5%))))</f>
        <v>#VALUE!</v>
      </c>
      <c r="N88" s="53" t="e">
        <f>ROUND(M88,1)</f>
        <v>#VALUE!</v>
      </c>
      <c r="O88" s="2761"/>
      <c r="P88" s="1916"/>
      <c r="Q88" s="1916"/>
      <c r="R88" s="1916"/>
      <c r="S88" s="1916"/>
      <c r="T88" s="1916"/>
      <c r="U88" s="1916"/>
      <c r="V88" s="1916"/>
      <c r="W88" s="1920"/>
      <c r="X88" s="1920"/>
      <c r="Y88" s="1920"/>
      <c r="Z88" s="1920"/>
    </row>
    <row r="89" spans="1:26" s="1267" customFormat="1" ht="14.25">
      <c r="A89" s="3398" t="s">
        <v>423</v>
      </c>
      <c r="B89" s="3399"/>
      <c r="C89" s="981"/>
      <c r="D89" s="981" t="s">
        <v>424</v>
      </c>
      <c r="E89" s="385" t="s">
        <v>433</v>
      </c>
      <c r="F89" s="386"/>
      <c r="G89" s="386"/>
      <c r="H89" s="387"/>
      <c r="I89" s="1269"/>
      <c r="J89" s="1921"/>
      <c r="K89" s="3400"/>
      <c r="L89" s="2768" t="s">
        <v>27</v>
      </c>
      <c r="M89" s="2759"/>
      <c r="N89" s="53" t="e">
        <f>ROUND(SUM(N83:N88),0)</f>
        <v>#VALUE!</v>
      </c>
      <c r="O89" s="2769" t="e">
        <f>N89/N69</f>
        <v>#VALUE!</v>
      </c>
      <c r="P89" s="1916"/>
      <c r="Q89" s="1916"/>
      <c r="R89" s="1916"/>
      <c r="S89" s="1916"/>
      <c r="T89" s="1916"/>
      <c r="U89" s="1916"/>
      <c r="V89" s="1916"/>
      <c r="W89" s="1920"/>
      <c r="X89" s="1920"/>
      <c r="Y89" s="1920"/>
      <c r="Z89" s="1920"/>
    </row>
    <row r="90" spans="1:26" s="1267" customFormat="1" ht="14.25">
      <c r="A90" s="375" t="s">
        <v>1814</v>
      </c>
      <c r="B90" s="376" t="s">
        <v>434</v>
      </c>
      <c r="C90" s="379">
        <f ca="1">ROUND(D63/(1+'数据-取费表'!C42),0)</f>
        <v>43943</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1820</v>
      </c>
      <c r="B91" s="346" t="s">
        <v>435</v>
      </c>
      <c r="C91" s="379">
        <f ca="1">C92+C96</f>
        <v>220</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1823</v>
      </c>
      <c r="B94" s="394" t="s">
        <v>440</v>
      </c>
      <c r="C94" s="372">
        <f>IF(F93="购房发票",ROUND(C93*H93*5%,0),0)</f>
        <v>0</v>
      </c>
      <c r="D94" s="395">
        <v>0.05</v>
      </c>
      <c r="E94" s="3436" t="s">
        <v>441</v>
      </c>
      <c r="F94" s="3437"/>
      <c r="G94" s="3437"/>
      <c r="H94" s="3438"/>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1825</v>
      </c>
      <c r="B96" s="370" t="s">
        <v>444</v>
      </c>
      <c r="C96" s="399">
        <f ca="1">ROUND(D63*D96/(1+'数据-取费表'!C42),0)</f>
        <v>220</v>
      </c>
      <c r="D96" s="400">
        <f>'数据-取费表'!B43</f>
        <v>5.000000000000001E-3</v>
      </c>
      <c r="E96" s="3395" t="s">
        <v>2413</v>
      </c>
      <c r="F96" s="3396"/>
      <c r="G96" s="3396"/>
      <c r="H96" s="3397"/>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6" t="s">
        <v>445</v>
      </c>
      <c r="C97" s="379">
        <f ca="1">C90-C91</f>
        <v>43723</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6" t="s">
        <v>446</v>
      </c>
      <c r="C98" s="401">
        <f ca="1">IF(C97&lt;=0,0,C97/C91)</f>
        <v>198.7409090909091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1" t="s">
        <v>447</v>
      </c>
      <c r="C99" s="402">
        <f ca="1">ROUND(IF(C97&lt;=0,0,IF(C98&gt;=200%,C97*60%-C91*35%,IF(C98&gt;=100%,C97*50%-C91*15%,IF(C98&gt;=50%,C97*40%-C91*5%,IF(C98&lt;50%,C97*30%,0))))),0)</f>
        <v>26157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39" t="s">
        <v>448</v>
      </c>
      <c r="B101" s="3440"/>
      <c r="C101" s="3440"/>
      <c r="D101" s="3440"/>
      <c r="E101" s="3440"/>
      <c r="F101" s="3440"/>
      <c r="G101" s="3440"/>
      <c r="H101" s="3440"/>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398" t="s">
        <v>423</v>
      </c>
      <c r="B102" s="3399"/>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1814</v>
      </c>
      <c r="B103" s="376" t="s">
        <v>434</v>
      </c>
      <c r="C103" s="379">
        <f ca="1">ROUND(D63/(1+'数据-取费表'!C42),0)</f>
        <v>43943</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1820</v>
      </c>
      <c r="B104" s="346" t="s">
        <v>435</v>
      </c>
      <c r="C104" s="379">
        <f ca="1">IF(H106="仅含出让金",C105+C108+C109+C110+C111+C112,C105+C109+C110+C111+C112)</f>
        <v>220</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1821</v>
      </c>
      <c r="B105" s="370" t="s">
        <v>449</v>
      </c>
      <c r="C105" s="399">
        <f>C106+C107</f>
        <v>0</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1822</v>
      </c>
      <c r="B106" s="370" t="s">
        <v>450</v>
      </c>
      <c r="C106" s="410"/>
      <c r="D106" s="400"/>
      <c r="E106" s="411" t="s">
        <v>451</v>
      </c>
      <c r="F106" s="973"/>
      <c r="G106" s="412" t="s">
        <v>452</v>
      </c>
      <c r="H106" s="413"/>
      <c r="I106" s="11"/>
      <c r="J106" s="1916"/>
      <c r="K106" s="3243" t="s">
        <v>2991</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1825</v>
      </c>
      <c r="B108" s="370" t="s">
        <v>454</v>
      </c>
      <c r="C108" s="410"/>
      <c r="D108" s="400"/>
      <c r="E108" s="411" t="str">
        <f>IF(H106="-","土地取得成本中已包含该笔费用"," ")</f>
        <v xml:space="preserve"> </v>
      </c>
      <c r="F108" s="973"/>
      <c r="G108" s="3451" t="s">
        <v>2962</v>
      </c>
      <c r="H108" s="3452"/>
      <c r="I108" s="2858"/>
      <c r="J108" s="1916"/>
      <c r="K108" s="3243" t="s">
        <v>2992</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70" t="s">
        <v>455</v>
      </c>
      <c r="C109" s="399">
        <f>IF(H109="——",IF(F1="现房",'剩余法-现房'!C18,0),I109)</f>
        <v>0</v>
      </c>
      <c r="D109" s="400"/>
      <c r="E109" s="3429" t="s">
        <v>456</v>
      </c>
      <c r="F109" s="3396"/>
      <c r="G109" s="3396"/>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70" t="s">
        <v>457</v>
      </c>
      <c r="C110" s="399">
        <f>ROUND((C105+C108+C109)*D110,0)</f>
        <v>0</v>
      </c>
      <c r="D110" s="3274">
        <v>0</v>
      </c>
      <c r="E110" s="3429" t="s">
        <v>458</v>
      </c>
      <c r="F110" s="3396"/>
      <c r="G110" s="3396"/>
      <c r="H110" s="3397"/>
      <c r="I110" s="11"/>
      <c r="J110" s="1916"/>
      <c r="K110" s="3244" t="s">
        <v>2993</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70" t="s">
        <v>444</v>
      </c>
      <c r="C111" s="399">
        <f ca="1">ROUND(D63*D111/(1+'数据-取费表'!C42),0)</f>
        <v>220</v>
      </c>
      <c r="D111" s="400">
        <f>'数据-取费表'!B43</f>
        <v>5.000000000000001E-3</v>
      </c>
      <c r="E111" s="3395" t="s">
        <v>2413</v>
      </c>
      <c r="F111" s="3396"/>
      <c r="G111" s="3396"/>
      <c r="H111" s="3397"/>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70" t="s">
        <v>459</v>
      </c>
      <c r="C112" s="399">
        <f>ROUND(C108*D112,0)</f>
        <v>0</v>
      </c>
      <c r="D112" s="400">
        <v>0.2</v>
      </c>
      <c r="E112" s="3429" t="s">
        <v>2436</v>
      </c>
      <c r="F112" s="3396"/>
      <c r="G112" s="3396"/>
      <c r="H112" s="3397"/>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6" t="s">
        <v>445</v>
      </c>
      <c r="C113" s="379">
        <f ca="1">ROUND(C103-C104,0)</f>
        <v>43723</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6" t="s">
        <v>446</v>
      </c>
      <c r="C114" s="401">
        <f ca="1">IF(C113&lt;=0,0,C113/C104)</f>
        <v>198.7409090909091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1" t="s">
        <v>447</v>
      </c>
      <c r="C115" s="402">
        <f ca="1">ROUND(IF(C113&lt;=0,0,IF(C114&gt;=200%,C113*60%-C104*35%,IF(C114&gt;=100%,C113*50%-C104*15%,IF(C114&gt;=50%,C113*40%-C104*5%,IF(C114&lt;50%,C113*30%,0))))),0)</f>
        <v>26157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9</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2632</v>
      </c>
      <c r="B6" s="427"/>
      <c r="C6" s="1551">
        <f>SUM(C10:K10)</f>
        <v>0</v>
      </c>
      <c r="D6" s="1991"/>
      <c r="E6" s="1991"/>
      <c r="F6" s="1991"/>
      <c r="G6" s="1991"/>
      <c r="H6" s="1991"/>
      <c r="I6" s="1991"/>
      <c r="J6" s="1991"/>
      <c r="K6" s="1992"/>
      <c r="L6" s="3196"/>
      <c r="M6" s="3196"/>
      <c r="N6" s="3196"/>
      <c r="O6" s="3196"/>
      <c r="P6" s="3196"/>
      <c r="Q6" s="3196"/>
      <c r="R6" s="3196"/>
      <c r="S6" s="3196"/>
      <c r="T6" s="3196"/>
      <c r="U6" s="3196"/>
      <c r="V6" s="3196"/>
      <c r="W6" s="3196"/>
      <c r="X6" s="3196"/>
      <c r="Y6" s="3196"/>
      <c r="Z6" s="3196"/>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6"/>
      <c r="M11" s="3196"/>
      <c r="N11" s="3196"/>
      <c r="O11" s="3196"/>
      <c r="P11" s="3196"/>
      <c r="Q11" s="3196"/>
      <c r="R11" s="3196"/>
      <c r="S11" s="3196"/>
      <c r="T11" s="3196"/>
      <c r="U11" s="3196"/>
      <c r="V11" s="3196"/>
      <c r="W11" s="3196"/>
      <c r="X11" s="3196"/>
      <c r="Y11" s="3196"/>
      <c r="Z11" s="3196"/>
    </row>
    <row r="12" spans="1:41" s="1967"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8" customFormat="1" ht="13.5" customHeight="1">
      <c r="A13" s="1561" t="s">
        <v>1839</v>
      </c>
      <c r="B13" s="443" t="s">
        <v>473</v>
      </c>
      <c r="C13" s="444">
        <f ca="1">IF(B1="",'数据-取费表'!M16,INDIRECT("'数据-取费表'!M"&amp;$K$1)+INDIRECT("'数据-取费表'!t"&amp;$K$1))</f>
        <v>24556</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737</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405</v>
      </c>
      <c r="D15" s="445"/>
      <c r="E15" s="363"/>
      <c r="F15" s="447">
        <f>'数据-取费表'!B34</f>
        <v>0.02</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1335</v>
      </c>
      <c r="D16" s="445">
        <f ca="1">IF(B1="",'数据-汇总表'!E3,INDIRECT("'数据-取费表'!K"&amp;$K$1)+INDIRECT("'数据-取费表'!S"&amp;$K$1))</f>
        <v>88976</v>
      </c>
      <c r="E16" s="53">
        <f>'数据-取费表'!B35</f>
        <v>150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368</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27401</v>
      </c>
      <c r="D18" s="455"/>
      <c r="E18" s="456"/>
      <c r="F18" s="456"/>
      <c r="G18" s="1280"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1" customFormat="1" ht="13.5" customHeight="1">
      <c r="A19" s="1562" t="s">
        <v>1845</v>
      </c>
      <c r="B19" s="453" t="s">
        <v>487</v>
      </c>
      <c r="C19" s="454">
        <f ca="1">ROUND(C18*F19,0)</f>
        <v>411</v>
      </c>
      <c r="D19" s="456"/>
      <c r="E19" s="456"/>
      <c r="F19" s="460">
        <f>'数据-取费表'!B37</f>
        <v>1.4999999999999999E-2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1" customFormat="1" ht="13.5" customHeight="1">
      <c r="A20" s="1562" t="s">
        <v>1846</v>
      </c>
      <c r="B20" s="453" t="s">
        <v>498</v>
      </c>
      <c r="C20" s="2742">
        <f>F20</f>
        <v>1.4999999999999999E-2</v>
      </c>
      <c r="D20" s="463" t="s">
        <v>499</v>
      </c>
      <c r="E20" s="463"/>
      <c r="F20" s="480">
        <f>'数据-取费表'!B38</f>
        <v>1.4999999999999999E-2</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3" customFormat="1" ht="13.5" customHeight="1">
      <c r="A21" s="1562" t="s">
        <v>1849</v>
      </c>
      <c r="B21" s="455" t="s">
        <v>488</v>
      </c>
      <c r="C21" s="464">
        <f ca="1">C22</f>
        <v>799</v>
      </c>
      <c r="D21" s="461">
        <f ca="1">C23</f>
        <v>4.0000000000000002E-4</v>
      </c>
      <c r="E21" s="463" t="s">
        <v>501</v>
      </c>
      <c r="F21" s="465">
        <f ca="1">'数据-取费表'!B40</f>
        <v>3.85E-2</v>
      </c>
      <c r="G21" s="1280" t="str">
        <f>IF('数据-取费表'!B22&lt;=1,"单利计息。","复利计息。")&amp;"建造成本、管理费用及销售费用产生的利息。"</f>
        <v>复利计息。建造成本、管理费用及销售费用产生的利息。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2" customFormat="1" ht="13.5" customHeight="1">
      <c r="A22" s="1561" t="s">
        <v>1839</v>
      </c>
      <c r="B22" s="1281" t="s">
        <v>2419</v>
      </c>
      <c r="C22" s="481">
        <f ca="1">ROUND(IF('数据-取费表'!B22&lt;=1,(C18+C19)*F21*'数据-取费表'!B20/2,(C18+C19)*(POWER((1+F21),'数据-取费表'!B20/2)-1)),0)</f>
        <v>799</v>
      </c>
      <c r="D22" s="466"/>
      <c r="E22" s="467"/>
      <c r="F22" s="468"/>
      <c r="G22" s="2420"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2" customFormat="1" ht="13.5" customHeight="1">
      <c r="A23" s="1561" t="s">
        <v>1840</v>
      </c>
      <c r="B23" s="1281" t="s">
        <v>502</v>
      </c>
      <c r="C23" s="482">
        <f ca="1">ROUND(IF('数据-取费表'!B22&lt;=1,F20*F21*'数据-取费表'!B20/2,F20*(POWER((1+F21),'数据-取费表'!B20/2)-1)),4)</f>
        <v>4.0000000000000002E-4</v>
      </c>
      <c r="D23" s="466"/>
      <c r="E23" s="467"/>
      <c r="F23" s="468"/>
      <c r="G23" s="2420"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2" customFormat="1" ht="13.5" customHeight="1">
      <c r="A24" s="1562" t="s">
        <v>1850</v>
      </c>
      <c r="B24" s="2744" t="s">
        <v>2811</v>
      </c>
      <c r="C24" s="472">
        <f ca="1">C25</f>
        <v>2781</v>
      </c>
      <c r="D24" s="483">
        <f ca="1">C26</f>
        <v>1.5E-3</v>
      </c>
      <c r="E24" s="463" t="s">
        <v>501</v>
      </c>
      <c r="F24" s="473">
        <f ca="1">IF(B1="",'数据-取费表'!Q16,INDIRECT("'数据-取费表'!q"&amp;$K$1))</f>
        <v>0.1</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2" customFormat="1" ht="13.5" customHeight="1">
      <c r="A25" s="1561" t="s">
        <v>1839</v>
      </c>
      <c r="B25" s="1281" t="s">
        <v>2420</v>
      </c>
      <c r="C25" s="484">
        <f ca="1">ROUND((C18+C19)*F24,0)</f>
        <v>2781</v>
      </c>
      <c r="D25" s="466"/>
      <c r="E25" s="467"/>
      <c r="F25" s="474"/>
      <c r="G25" s="1279"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2" customFormat="1" ht="13.5" customHeight="1">
      <c r="A26" s="1561" t="s">
        <v>1840</v>
      </c>
      <c r="B26" s="1281" t="s">
        <v>503</v>
      </c>
      <c r="C26" s="485">
        <f ca="1">ROUND(F20*F24,4)</f>
        <v>1.5E-3</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2" customFormat="1" ht="13.5" customHeight="1">
      <c r="A27" s="1565" t="s">
        <v>1858</v>
      </c>
      <c r="B27" s="453" t="s">
        <v>505</v>
      </c>
      <c r="C27" s="2743">
        <f>ROUND(F27/(1+'数据-取费表'!C42),4)</f>
        <v>5.2400000000000002E-2</v>
      </c>
      <c r="D27" s="456" t="s">
        <v>2809</v>
      </c>
      <c r="E27" s="456"/>
      <c r="F27" s="460">
        <f>'数据-取费表'!B41</f>
        <v>5.5000000000000007E-2</v>
      </c>
      <c r="G27" s="1874"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3" customFormat="1" ht="13.5" customHeight="1">
      <c r="A28" s="1565" t="s">
        <v>1859</v>
      </c>
      <c r="B28" s="470" t="s">
        <v>506</v>
      </c>
      <c r="C28" s="464">
        <f ca="1">ROUND((C18+C19+C21+C24)/(1-C20-D21-D24-C27),0)</f>
        <v>33729</v>
      </c>
      <c r="D28" s="471"/>
      <c r="E28" s="463"/>
      <c r="F28" s="465"/>
      <c r="G28" s="1280"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3" customFormat="1" ht="13.5" customHeight="1">
      <c r="A30" s="437">
        <v>2</v>
      </c>
      <c r="B30" s="470" t="s">
        <v>508</v>
      </c>
      <c r="C30" s="491">
        <f ca="1">ROUND(C28*C29,0)</f>
        <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8" customFormat="1" ht="13.5" customHeight="1">
      <c r="A31" s="2335" t="s">
        <v>1856</v>
      </c>
      <c r="B31" s="1283"/>
      <c r="C31" s="494">
        <f>ROUND(C6*F31/(1+'数据-取费表'!C42),0)</f>
        <v>0</v>
      </c>
      <c r="D31" s="1284"/>
      <c r="E31" s="1284"/>
      <c r="F31" s="495">
        <f>'数据-取费表'!B41</f>
        <v>5.5000000000000007E-2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2937</v>
      </c>
      <c r="H32" s="477"/>
      <c r="I32" s="477"/>
      <c r="J32" s="477"/>
      <c r="K32" s="479"/>
      <c r="L32" s="3197"/>
      <c r="M32" s="3197"/>
      <c r="N32" s="3197"/>
      <c r="O32" s="3197"/>
      <c r="P32" s="3197"/>
      <c r="Q32" s="3197"/>
      <c r="R32" s="3197"/>
      <c r="S32" s="3197"/>
      <c r="T32" s="3197"/>
      <c r="U32" s="3197"/>
      <c r="V32" s="3197"/>
      <c r="W32" s="3197"/>
      <c r="X32" s="3197"/>
      <c r="Y32" s="3197"/>
      <c r="Z32" s="3197"/>
    </row>
    <row r="33" spans="1:5" s="1997" customFormat="1">
      <c r="A33" s="3204"/>
      <c r="C33" s="3205"/>
      <c r="E33" s="3204"/>
    </row>
    <row r="34" spans="1:5" s="1997" customFormat="1" ht="12.75" customHeight="1">
      <c r="A34" s="3204"/>
      <c r="C34" s="3205"/>
      <c r="E34" s="3204"/>
    </row>
    <row r="35" spans="1:5" s="1997" customFormat="1">
      <c r="A35" s="3204"/>
      <c r="C35" s="3205"/>
      <c r="E35" s="3204"/>
    </row>
    <row r="36" spans="1:5" s="1997" customFormat="1">
      <c r="A36" s="3204"/>
      <c r="C36" s="3205"/>
      <c r="E36" s="3204"/>
    </row>
    <row r="37" spans="1:5" s="1997" customFormat="1">
      <c r="A37" s="3204"/>
      <c r="C37" s="3205"/>
      <c r="E37" s="3204"/>
    </row>
    <row r="38" spans="1:5" s="1997" customFormat="1">
      <c r="A38" s="3204"/>
      <c r="C38" s="3205"/>
      <c r="E38" s="3204"/>
    </row>
    <row r="39" spans="1:5" s="1997" customFormat="1">
      <c r="A39" s="3204"/>
      <c r="C39" s="3205"/>
      <c r="E39" s="3204"/>
    </row>
    <row r="40" spans="1:5" s="1997" customFormat="1">
      <c r="A40" s="3204"/>
      <c r="C40" s="3205"/>
      <c r="E40" s="3204"/>
    </row>
    <row r="41" spans="1:5" s="1997" customFormat="1">
      <c r="A41" s="3204"/>
      <c r="C41" s="3205"/>
      <c r="E41" s="3204"/>
    </row>
    <row r="42" spans="1:5" s="1997" customFormat="1">
      <c r="A42" s="3204"/>
      <c r="C42" s="3205"/>
      <c r="E42" s="3204"/>
    </row>
    <row r="43" spans="1:5" s="1997" customFormat="1">
      <c r="A43" s="3204"/>
      <c r="C43" s="3205"/>
      <c r="E43" s="3204"/>
    </row>
    <row r="44" spans="1:5" s="1997" customFormat="1">
      <c r="A44" s="3204"/>
      <c r="C44" s="3205"/>
      <c r="E44" s="3204"/>
    </row>
    <row r="45" spans="1:5" s="1997" customFormat="1">
      <c r="A45" s="3204"/>
      <c r="C45" s="3205"/>
      <c r="E45" s="3204"/>
    </row>
    <row r="46" spans="1:5" s="1997" customFormat="1">
      <c r="A46" s="3204"/>
      <c r="C46" s="3205"/>
      <c r="E46" s="3204"/>
    </row>
    <row r="47" spans="1:5" s="1997" customFormat="1">
      <c r="A47" s="3204"/>
      <c r="C47" s="3205"/>
      <c r="E47" s="3204"/>
    </row>
    <row r="48" spans="1:5"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115" zoomScaleNormal="80" zoomScaleSheetLayoutView="115" workbookViewId="0">
      <selection activeCell="L22" sqref="L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9</v>
      </c>
      <c r="L1" s="290"/>
      <c r="M1" s="290"/>
      <c r="N1" s="290"/>
      <c r="O1" s="290"/>
      <c r="P1" s="290"/>
      <c r="Q1" s="290"/>
      <c r="R1" s="290"/>
      <c r="S1" s="290"/>
      <c r="T1" s="290"/>
      <c r="U1" s="290"/>
      <c r="V1" s="290"/>
      <c r="W1" s="290"/>
      <c r="X1" s="290"/>
      <c r="Y1" s="290"/>
      <c r="Z1" s="290"/>
    </row>
    <row r="2" spans="1:31" s="1924" customFormat="1" ht="18" customHeight="1">
      <c r="A2" s="1983" t="s">
        <v>461</v>
      </c>
      <c r="B2" s="1987">
        <f ca="1">C36</f>
        <v>50123</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5633</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11130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742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99828</v>
      </c>
      <c r="D6" s="2546"/>
      <c r="E6" s="2546"/>
      <c r="F6" s="2546"/>
      <c r="G6" s="2546"/>
      <c r="H6" s="2546"/>
      <c r="I6" s="2546"/>
      <c r="J6" s="2546"/>
      <c r="K6" s="2548"/>
      <c r="L6" s="3196"/>
      <c r="M6" s="3196"/>
      <c r="N6" s="3196"/>
      <c r="O6" s="3196"/>
      <c r="P6" s="3196"/>
      <c r="Q6" s="3196"/>
      <c r="R6" s="3196"/>
      <c r="S6" s="3196"/>
      <c r="T6" s="3196"/>
      <c r="U6" s="3196"/>
      <c r="V6" s="3196"/>
      <c r="W6" s="3196"/>
      <c r="X6" s="3196"/>
      <c r="Y6" s="3196"/>
      <c r="Z6" s="3196"/>
    </row>
    <row r="7" spans="1:31" s="1995" customFormat="1" ht="15">
      <c r="A7" s="2549" t="s">
        <v>464</v>
      </c>
      <c r="B7" s="2550" t="s">
        <v>465</v>
      </c>
      <c r="C7" s="430" t="s">
        <v>3011</v>
      </c>
      <c r="D7" s="430" t="s">
        <v>35</v>
      </c>
      <c r="E7" s="430"/>
      <c r="F7" s="430"/>
      <c r="G7" s="430"/>
      <c r="H7" s="430"/>
      <c r="I7" s="430"/>
      <c r="J7" s="430"/>
      <c r="K7" s="431"/>
      <c r="AA7" s="1994"/>
      <c r="AB7" s="1994"/>
      <c r="AC7" s="1994"/>
      <c r="AD7" s="1994"/>
      <c r="AE7" s="1994"/>
    </row>
    <row r="8" spans="1:31" s="1997" customFormat="1" ht="13.5" customHeight="1">
      <c r="A8" s="793" t="s">
        <v>1836</v>
      </c>
      <c r="B8" s="259" t="s">
        <v>466</v>
      </c>
      <c r="C8" s="2551">
        <f>'不动产比较法-住宅'!B3</f>
        <v>16777</v>
      </c>
      <c r="D8" s="2551">
        <f ca="1">不动产收益法!B3</f>
        <v>2267</v>
      </c>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56890</v>
      </c>
      <c r="D9" s="435">
        <f>SUMIF('数据-汇总表'!$C19:$C33,'剩余法-待开发'!D7,'数据-汇总表'!$E19:$E33)</f>
        <v>19342</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1">
        <f>'不动产比较法-住宅'!B2</f>
        <v>95444</v>
      </c>
      <c r="D10" s="2741">
        <f ca="1">不动产收益法!B2</f>
        <v>4384</v>
      </c>
      <c r="E10" s="2741"/>
      <c r="F10" s="2554"/>
      <c r="G10" s="2554"/>
      <c r="H10" s="2554"/>
      <c r="I10" s="2554"/>
      <c r="J10" s="2554"/>
      <c r="K10" s="2555"/>
      <c r="L10" s="1997">
        <f ca="1">D10/'数据-取费表'!AH7</f>
        <v>8.6129666011787815</v>
      </c>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6"/>
      <c r="M11" s="3196"/>
      <c r="N11" s="3196"/>
      <c r="O11" s="3196"/>
      <c r="P11" s="3196"/>
      <c r="Q11" s="3196"/>
      <c r="R11" s="3196"/>
      <c r="S11" s="3196"/>
      <c r="T11" s="3196"/>
      <c r="U11" s="3196"/>
      <c r="V11" s="3196"/>
      <c r="W11" s="3196"/>
      <c r="X11" s="3196"/>
      <c r="Y11" s="3196"/>
      <c r="Z11" s="3196"/>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7"/>
      <c r="M12" s="3197"/>
      <c r="N12" s="3197"/>
      <c r="O12" s="3197"/>
      <c r="P12" s="3197"/>
      <c r="Q12" s="3197"/>
      <c r="R12" s="3197"/>
      <c r="S12" s="3197"/>
      <c r="T12" s="3197"/>
      <c r="U12" s="3197"/>
      <c r="V12" s="3197"/>
      <c r="W12" s="3197"/>
      <c r="X12" s="3197"/>
      <c r="Y12" s="3197"/>
      <c r="Z12" s="3197"/>
    </row>
    <row r="13" spans="1:31" s="1998" customFormat="1" ht="13.5" customHeight="1">
      <c r="A13" s="2559" t="s">
        <v>1839</v>
      </c>
      <c r="B13" s="2560" t="s">
        <v>473</v>
      </c>
      <c r="C13" s="444">
        <f ca="1">IF(B1="",'数据-取费表'!P16,INDIRECT("'数据-取费表'!p"&amp;$K$1)+INDIRECT("'数据-取费表'!t"&amp;$K$1))</f>
        <v>24556</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737</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405</v>
      </c>
      <c r="D15" s="2561"/>
      <c r="E15" s="2562"/>
      <c r="F15" s="2564">
        <f>'数据-取费表'!B34</f>
        <v>0.02</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1335</v>
      </c>
      <c r="D16" s="2561">
        <f ca="1">IF(B1="",'数据-汇总表'!E3,INDIRECT("'数据-取费表'!K"&amp;$K$1)+INDIRECT("'数据-取费表'!S"&amp;$K$1))</f>
        <v>88976</v>
      </c>
      <c r="E16" s="53">
        <f>'数据-取费表'!B35</f>
        <v>150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368</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27401</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623</v>
      </c>
      <c r="D19" s="2571">
        <f ca="1">D16</f>
        <v>88976</v>
      </c>
      <c r="E19" s="2525">
        <f>'数据-取费表'!B32</f>
        <v>70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927</v>
      </c>
      <c r="D20" s="2571"/>
      <c r="E20" s="2525"/>
      <c r="F20" s="2572"/>
      <c r="G20" s="2775"/>
      <c r="H20" s="2527"/>
      <c r="I20" s="2528" t="s">
        <v>2631</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573</v>
      </c>
      <c r="D21" s="2561">
        <f ca="1">IF(B1="",'数据-汇总表'!E5,IF(INDIRECT("'数据-取费表'!c"&amp;$K$1)="住宅",INDIRECT("'数据-取费表'!k"&amp;$K$1),0))</f>
        <v>63690</v>
      </c>
      <c r="E21" s="53">
        <f>'数据-取费表'!B27</f>
        <v>90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354</v>
      </c>
      <c r="D22" s="2561">
        <f ca="1">IF(B1="",'数据-汇总表'!E6,IF(INDIRECT("'数据-取费表'!c"&amp;$K$1)="住宅",INDIRECT("'数据-取费表'!s"&amp;$K$1),INDIRECT("'数据-取费表'!k"&amp;$K$1)+INDIRECT("'数据-取费表'!s"&amp;$K$1)))</f>
        <v>25286</v>
      </c>
      <c r="E22" s="53">
        <f>'数据-取费表'!B28</f>
        <v>140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7" t="s">
        <v>2813</v>
      </c>
      <c r="C23" s="2569">
        <f ca="1">ROUND((C18+C19+C20)*F23,0)</f>
        <v>434</v>
      </c>
      <c r="D23" s="462"/>
      <c r="E23" s="462"/>
      <c r="F23" s="2573">
        <f>'数据-取费表'!B37</f>
        <v>1.4999999999999999E-2</v>
      </c>
      <c r="G23" s="2529" t="s">
        <v>2415</v>
      </c>
      <c r="H23" s="2530"/>
      <c r="I23" s="2530"/>
      <c r="J23" s="2530"/>
      <c r="K23" s="2531"/>
      <c r="L23" s="3198"/>
      <c r="M23" s="3198"/>
      <c r="N23" s="3198"/>
      <c r="O23" s="1999"/>
      <c r="P23" s="1999"/>
      <c r="Q23" s="1999"/>
      <c r="R23" s="1999"/>
      <c r="S23" s="1999"/>
      <c r="T23" s="1999"/>
      <c r="U23" s="1999"/>
      <c r="V23" s="1999"/>
      <c r="W23" s="1999"/>
      <c r="X23" s="1999"/>
      <c r="Y23" s="1999"/>
      <c r="Z23" s="1999"/>
    </row>
    <row r="24" spans="1:26" s="1998" customFormat="1" ht="13.5" customHeight="1">
      <c r="A24" s="2567" t="s">
        <v>1850</v>
      </c>
      <c r="B24" s="2747" t="s">
        <v>2816</v>
      </c>
      <c r="C24" s="2569">
        <f ca="1">ROUND(C6*F24,0)</f>
        <v>1497</v>
      </c>
      <c r="D24" s="469"/>
      <c r="E24" s="467"/>
      <c r="F24" s="2573">
        <f>'数据-取费表'!B38</f>
        <v>1.4999999999999999E-2</v>
      </c>
      <c r="G24" s="2538" t="s">
        <v>493</v>
      </c>
      <c r="H24" s="2532"/>
      <c r="I24" s="2532"/>
      <c r="J24" s="2532"/>
      <c r="K24" s="277"/>
      <c r="L24" s="3198"/>
      <c r="M24" s="3198"/>
      <c r="N24" s="3198"/>
      <c r="O24" s="1999"/>
      <c r="P24" s="1999"/>
      <c r="Q24" s="1999"/>
      <c r="R24" s="1999"/>
      <c r="S24" s="1999"/>
      <c r="T24" s="1999"/>
      <c r="U24" s="1999"/>
      <c r="V24" s="1999"/>
      <c r="W24" s="1999"/>
      <c r="X24" s="1999"/>
      <c r="Y24" s="1999"/>
      <c r="Z24" s="1999"/>
    </row>
    <row r="25" spans="1:26" s="2001" customFormat="1" ht="13.5" customHeight="1">
      <c r="A25" s="2567" t="s">
        <v>1851</v>
      </c>
      <c r="B25" s="2747" t="s">
        <v>2814</v>
      </c>
      <c r="C25" s="461">
        <f>ROUND(F25/(1+'数据-取费表'!C42),4)</f>
        <v>2.9000000000000001E-2</v>
      </c>
      <c r="D25" s="456" t="s">
        <v>2808</v>
      </c>
      <c r="E25" s="463"/>
      <c r="F25" s="2573">
        <f>IF(项目基本情况!B8="出让",0,'数据-取费表'!B48+'数据-取费表'!B49)</f>
        <v>3.0499999999999999E-2</v>
      </c>
      <c r="G25" s="2537" t="s">
        <v>2277</v>
      </c>
      <c r="H25" s="2530"/>
      <c r="I25" s="2530"/>
      <c r="J25" s="2530"/>
      <c r="K25" s="2531"/>
      <c r="L25" s="3199"/>
      <c r="M25" s="3199"/>
      <c r="N25" s="3199"/>
      <c r="O25" s="3199"/>
      <c r="P25" s="3199"/>
      <c r="Q25" s="3199"/>
      <c r="R25" s="3199"/>
      <c r="S25" s="3199"/>
      <c r="T25" s="3199"/>
      <c r="U25" s="3199"/>
      <c r="V25" s="3199"/>
      <c r="W25" s="3199"/>
      <c r="X25" s="3199"/>
      <c r="Y25" s="3199"/>
      <c r="Z25" s="3199"/>
    </row>
    <row r="26" spans="1:26" s="2000" customFormat="1" ht="13.5" customHeight="1">
      <c r="A26" s="2567" t="s">
        <v>1852</v>
      </c>
      <c r="B26" s="2748" t="s">
        <v>2815</v>
      </c>
      <c r="C26" s="2574">
        <f ca="1">C28</f>
        <v>887</v>
      </c>
      <c r="D26" s="461">
        <f ca="1">C27</f>
        <v>0.06</v>
      </c>
      <c r="E26" s="463" t="s">
        <v>489</v>
      </c>
      <c r="F26" s="465">
        <f ca="1">'数据-取费表'!B40</f>
        <v>3.85E-2</v>
      </c>
      <c r="G26" s="2424" t="str">
        <f>IF('数据-取费表'!B22&lt;=1,"单利计息。","复利计息。")&amp;"后续开发成本、管理费用及销售费用产生的利息。"</f>
        <v>复利计息。后续开发成本、管理费用及销售费用产生的利息。</v>
      </c>
      <c r="H26" s="2534"/>
      <c r="I26" s="2534"/>
      <c r="J26" s="2534"/>
      <c r="K26" s="2535"/>
      <c r="L26" s="3198"/>
      <c r="M26" s="3198"/>
      <c r="N26" s="3198"/>
      <c r="O26" s="3198"/>
      <c r="P26" s="3198"/>
      <c r="Q26" s="3198"/>
      <c r="R26" s="3198"/>
      <c r="S26" s="3198"/>
      <c r="T26" s="3198"/>
      <c r="U26" s="3198"/>
      <c r="V26" s="3198"/>
      <c r="W26" s="3198"/>
      <c r="X26" s="3198"/>
      <c r="Y26" s="3198"/>
      <c r="Z26" s="3198"/>
    </row>
    <row r="27" spans="1:26" s="2002" customFormat="1" ht="13.5" customHeight="1">
      <c r="A27" s="793" t="s">
        <v>1847</v>
      </c>
      <c r="B27" s="2575" t="s">
        <v>490</v>
      </c>
      <c r="C27" s="2576">
        <f ca="1">ROUND(IF('数据-取费表'!B22&lt;=1,(1+C25)*F26*'数据-取费表'!B24,(1+C25)*(POWER((1+F26),'数据-取费表'!B24)-1)),4)</f>
        <v>0.06</v>
      </c>
      <c r="D27" s="466"/>
      <c r="E27" s="467"/>
      <c r="F27" s="468"/>
      <c r="G27" s="2424" t="str">
        <f>IF('数据-取费表'!B22&lt;=1,"（1+取得税费率/(1+5%)）×年利率×建设期","（1+取得税费率）/(1+5%)×((1+年利率)^建设期-1)")</f>
        <v>（1+取得税费率）/(1+5%)×((1+年利率)^建设期-1)</v>
      </c>
      <c r="H27" s="2532"/>
      <c r="I27" s="2532"/>
      <c r="J27" s="2532"/>
      <c r="K27" s="277"/>
      <c r="L27" s="3200"/>
      <c r="M27" s="3200"/>
      <c r="N27" s="3200"/>
      <c r="O27" s="3200"/>
      <c r="P27" s="3200"/>
      <c r="Q27" s="3200"/>
      <c r="R27" s="3200"/>
      <c r="S27" s="3200"/>
      <c r="T27" s="3200"/>
      <c r="U27" s="3200"/>
      <c r="V27" s="3200"/>
      <c r="W27" s="3200"/>
      <c r="X27" s="3200"/>
      <c r="Y27" s="3200"/>
      <c r="Z27" s="3200"/>
    </row>
    <row r="28" spans="1:26" s="2002" customFormat="1" ht="13.5" customHeight="1">
      <c r="A28" s="793" t="s">
        <v>1848</v>
      </c>
      <c r="B28" s="2575" t="s">
        <v>2817</v>
      </c>
      <c r="C28" s="2577">
        <f ca="1">ROUND(IF('数据-取费表'!B22&lt;=1,(C18+C19+C20+C23+C24)*F26*'数据-取费表'!B24/2,(C18+C19+C20+C23+C24)*(POWER((1+F26),'数据-取费表'!B24/2)-1)),0)</f>
        <v>887</v>
      </c>
      <c r="D28" s="466"/>
      <c r="E28" s="467"/>
      <c r="F28" s="468"/>
      <c r="G28" s="2424" t="str">
        <f>IF('数据-取费表'!B22&lt;=1,"（1）-（4）项×年利率×建设期÷2","（1）-（4）项×((1+年利率)^(建设期÷2)-1)")</f>
        <v>（1）-（4）项×((1+年利率)^(建设期÷2)-1)</v>
      </c>
      <c r="H28" s="2532"/>
      <c r="I28" s="2532"/>
      <c r="J28" s="2532"/>
      <c r="K28" s="277"/>
      <c r="L28" s="3200"/>
      <c r="M28" s="3200"/>
      <c r="N28" s="3200"/>
      <c r="O28" s="3200"/>
      <c r="P28" s="3200"/>
      <c r="Q28" s="3200"/>
      <c r="R28" s="3200"/>
      <c r="S28" s="3200"/>
      <c r="T28" s="3200"/>
      <c r="U28" s="3200"/>
      <c r="V28" s="3200"/>
      <c r="W28" s="3200"/>
      <c r="X28" s="3200"/>
      <c r="Y28" s="3200"/>
      <c r="Z28" s="3200"/>
    </row>
    <row r="29" spans="1:26" s="2002" customFormat="1" ht="13.5" customHeight="1">
      <c r="A29" s="2578" t="s">
        <v>1853</v>
      </c>
      <c r="B29" s="2568" t="s">
        <v>491</v>
      </c>
      <c r="C29" s="2569">
        <f ca="1">ROUND(C6*F29/(1+'数据-取费表'!C42),0)</f>
        <v>5229</v>
      </c>
      <c r="D29" s="462"/>
      <c r="E29" s="462"/>
      <c r="F29" s="2749">
        <f>'数据-取费表'!B41</f>
        <v>5.5000000000000007E-2</v>
      </c>
      <c r="G29" s="2538" t="s">
        <v>492</v>
      </c>
      <c r="H29" s="2530"/>
      <c r="I29" s="2530"/>
      <c r="J29" s="2530"/>
      <c r="K29" s="2531"/>
      <c r="L29" s="3200"/>
      <c r="M29" s="3200"/>
      <c r="N29" s="3200"/>
      <c r="O29" s="3200"/>
      <c r="P29" s="3200"/>
      <c r="Q29" s="3200"/>
      <c r="R29" s="3200"/>
      <c r="S29" s="3200"/>
      <c r="T29" s="3200"/>
      <c r="U29" s="3200"/>
      <c r="V29" s="3200"/>
      <c r="W29" s="3200"/>
      <c r="X29" s="3200"/>
      <c r="Y29" s="3200"/>
      <c r="Z29" s="3200"/>
    </row>
    <row r="30" spans="1:26" s="2003" customFormat="1" ht="13.5" customHeight="1">
      <c r="A30" s="1563" t="s">
        <v>1854</v>
      </c>
      <c r="B30" s="2579" t="s">
        <v>494</v>
      </c>
      <c r="C30" s="2574">
        <f ca="1">C31</f>
        <v>36998</v>
      </c>
      <c r="D30" s="471">
        <f ca="1">C32</f>
        <v>8.8999999999999996E-2</v>
      </c>
      <c r="E30" s="463" t="s">
        <v>489</v>
      </c>
      <c r="F30" s="465"/>
      <c r="G30" s="2537" t="s">
        <v>2936</v>
      </c>
      <c r="H30" s="2530"/>
      <c r="I30" s="2530"/>
      <c r="J30" s="2530"/>
      <c r="K30" s="2531"/>
      <c r="L30" s="3201"/>
      <c r="M30" s="3201"/>
      <c r="N30" s="3201"/>
      <c r="O30" s="3201"/>
      <c r="P30" s="3201"/>
      <c r="Q30" s="3201"/>
      <c r="R30" s="3201"/>
      <c r="S30" s="3201"/>
      <c r="T30" s="3201"/>
      <c r="U30" s="3201"/>
      <c r="V30" s="3201"/>
      <c r="W30" s="3201"/>
      <c r="X30" s="3201"/>
      <c r="Y30" s="3201"/>
      <c r="Z30" s="3201"/>
    </row>
    <row r="31" spans="1:26" s="2002" customFormat="1" ht="13.5" customHeight="1">
      <c r="A31" s="793" t="s">
        <v>1847</v>
      </c>
      <c r="B31" s="2575"/>
      <c r="C31" s="444">
        <f ca="1">C18+C19+C20+C23+C24+C26+C29</f>
        <v>36998</v>
      </c>
      <c r="D31" s="466"/>
      <c r="E31" s="467"/>
      <c r="F31" s="468"/>
      <c r="G31" s="259"/>
      <c r="H31" s="2532"/>
      <c r="I31" s="2532"/>
      <c r="J31" s="2532"/>
      <c r="K31" s="277"/>
      <c r="L31" s="3200"/>
      <c r="M31" s="3200"/>
      <c r="N31" s="3200"/>
      <c r="O31" s="3200"/>
      <c r="P31" s="3200"/>
      <c r="Q31" s="3200"/>
      <c r="R31" s="3200"/>
      <c r="S31" s="3200"/>
      <c r="T31" s="3200"/>
      <c r="U31" s="3200"/>
      <c r="V31" s="3200"/>
      <c r="W31" s="3200"/>
      <c r="X31" s="3200"/>
      <c r="Y31" s="3200"/>
      <c r="Z31" s="3200"/>
    </row>
    <row r="32" spans="1:26" s="2002" customFormat="1" ht="13.5" customHeight="1">
      <c r="A32" s="793" t="s">
        <v>1848</v>
      </c>
      <c r="B32" s="2575"/>
      <c r="C32" s="53">
        <f ca="1">ROUND(C25+D26,4)</f>
        <v>8.8999999999999996E-2</v>
      </c>
      <c r="D32" s="466"/>
      <c r="E32" s="467"/>
      <c r="F32" s="468"/>
      <c r="G32" s="259"/>
      <c r="H32" s="2532"/>
      <c r="I32" s="2532"/>
      <c r="J32" s="2532"/>
      <c r="K32" s="277"/>
      <c r="L32" s="3200"/>
      <c r="M32" s="3200"/>
      <c r="N32" s="3200"/>
      <c r="O32" s="3200"/>
      <c r="P32" s="3200"/>
      <c r="Q32" s="3200"/>
      <c r="R32" s="3200"/>
      <c r="S32" s="3200"/>
      <c r="T32" s="3200"/>
      <c r="U32" s="3200"/>
      <c r="V32" s="3200"/>
      <c r="W32" s="3200"/>
      <c r="X32" s="3200"/>
      <c r="Y32" s="3200"/>
      <c r="Z32" s="3200"/>
    </row>
    <row r="33" spans="1:26" s="2004" customFormat="1" ht="13.5" customHeight="1">
      <c r="A33" s="2746" t="s">
        <v>2812</v>
      </c>
      <c r="B33" s="2744" t="s">
        <v>2810</v>
      </c>
      <c r="C33" s="472">
        <f ca="1">C35</f>
        <v>3088</v>
      </c>
      <c r="D33" s="461">
        <f ca="1">C34</f>
        <v>0.10290000000000001</v>
      </c>
      <c r="E33" s="463" t="s">
        <v>489</v>
      </c>
      <c r="F33" s="473">
        <f ca="1">IF(B1="",'数据-取费表'!Q16,INDIRECT("'数据-取费表'!q"&amp;$K$1))</f>
        <v>0.1</v>
      </c>
      <c r="G33" s="2533"/>
      <c r="H33" s="2534"/>
      <c r="I33" s="2534"/>
      <c r="J33" s="2534"/>
      <c r="K33" s="2535"/>
      <c r="L33" s="3202"/>
      <c r="M33" s="3202"/>
      <c r="N33" s="3202"/>
      <c r="O33" s="3202"/>
      <c r="P33" s="3202"/>
      <c r="Q33" s="3202"/>
      <c r="R33" s="3202"/>
      <c r="S33" s="3202"/>
      <c r="T33" s="3202"/>
      <c r="U33" s="3202"/>
      <c r="V33" s="3202"/>
      <c r="W33" s="3202"/>
      <c r="X33" s="3202"/>
      <c r="Y33" s="3202"/>
      <c r="Z33" s="3202"/>
    </row>
    <row r="34" spans="1:26" s="2005" customFormat="1" ht="13.5" customHeight="1">
      <c r="A34" s="369" t="s">
        <v>1847</v>
      </c>
      <c r="B34" s="2580" t="s">
        <v>495</v>
      </c>
      <c r="C34" s="466">
        <f ca="1">ROUND((1+C25)*F33,4)</f>
        <v>0.10290000000000001</v>
      </c>
      <c r="D34" s="466"/>
      <c r="E34" s="467"/>
      <c r="F34" s="474"/>
      <c r="G34" s="259" t="s">
        <v>2278</v>
      </c>
      <c r="H34" s="2532"/>
      <c r="I34" s="2532"/>
      <c r="J34" s="2532"/>
      <c r="K34" s="277"/>
      <c r="L34" s="3203"/>
      <c r="M34" s="3203"/>
      <c r="N34" s="3203"/>
      <c r="O34" s="3203"/>
      <c r="P34" s="3203"/>
      <c r="Q34" s="3203"/>
      <c r="R34" s="3203"/>
      <c r="S34" s="3203"/>
      <c r="T34" s="3203"/>
      <c r="U34" s="3203"/>
      <c r="V34" s="3203"/>
      <c r="W34" s="3203"/>
      <c r="X34" s="3203"/>
      <c r="Y34" s="3203"/>
      <c r="Z34" s="3203"/>
    </row>
    <row r="35" spans="1:26" s="2005" customFormat="1" ht="13.5" customHeight="1" thickBot="1">
      <c r="A35" s="1564" t="s">
        <v>1848</v>
      </c>
      <c r="B35" s="2745" t="s">
        <v>2818</v>
      </c>
      <c r="C35" s="1556">
        <f ca="1">ROUND((C18+C19+C20+C23+C24)*F33,0)</f>
        <v>3088</v>
      </c>
      <c r="D35" s="1557"/>
      <c r="E35" s="2581"/>
      <c r="F35" s="1558"/>
      <c r="G35" s="2539"/>
      <c r="H35" s="2540"/>
      <c r="I35" s="2540"/>
      <c r="J35" s="2540"/>
      <c r="K35" s="2541"/>
      <c r="L35" s="3203"/>
      <c r="M35" s="3203"/>
      <c r="N35" s="3203"/>
      <c r="O35" s="3203"/>
      <c r="P35" s="3203"/>
      <c r="Q35" s="3203"/>
      <c r="R35" s="3203"/>
      <c r="S35" s="3203"/>
      <c r="T35" s="3203"/>
      <c r="U35" s="3203"/>
      <c r="V35" s="3203"/>
      <c r="W35" s="3203"/>
      <c r="X35" s="3203"/>
      <c r="Y35" s="3203"/>
      <c r="Z35" s="3203"/>
    </row>
    <row r="36" spans="1:26" s="1967" customFormat="1" ht="13.5" customHeight="1" thickBot="1">
      <c r="A36" s="282" t="s">
        <v>1835</v>
      </c>
      <c r="B36" s="2543"/>
      <c r="C36" s="2582">
        <f ca="1">ROUND((C6-C30-C33)/(1+D30+D33),0)</f>
        <v>50123</v>
      </c>
      <c r="D36" s="2543"/>
      <c r="E36" s="2543"/>
      <c r="F36" s="2543"/>
      <c r="G36" s="2542" t="s">
        <v>2819</v>
      </c>
      <c r="H36" s="2543"/>
      <c r="I36" s="2543"/>
      <c r="J36" s="2543"/>
      <c r="K36" s="2544"/>
      <c r="L36" s="3197"/>
      <c r="M36" s="3197"/>
      <c r="N36" s="3197"/>
      <c r="O36" s="3197"/>
      <c r="P36" s="3197"/>
      <c r="Q36" s="3197"/>
      <c r="R36" s="3197"/>
      <c r="S36" s="3197"/>
      <c r="T36" s="3197"/>
      <c r="U36" s="3197"/>
      <c r="V36" s="3197"/>
      <c r="W36" s="3197"/>
      <c r="X36" s="3197"/>
      <c r="Y36" s="3197"/>
      <c r="Z36" s="3197"/>
    </row>
    <row r="37" spans="1:26" s="1997" customFormat="1">
      <c r="A37" s="3204"/>
      <c r="C37" s="3205"/>
      <c r="E37" s="3204"/>
    </row>
    <row r="38" spans="1:26" s="1997" customFormat="1" ht="12.75" customHeight="1">
      <c r="A38" s="3204"/>
      <c r="C38" s="3205"/>
      <c r="E38" s="3204"/>
    </row>
    <row r="39" spans="1:26" s="1997" customFormat="1">
      <c r="A39" s="3204"/>
      <c r="C39" s="3205"/>
      <c r="E39" s="3204"/>
    </row>
    <row r="40" spans="1:26" s="1997" customFormat="1">
      <c r="A40" s="3204"/>
      <c r="C40" s="3205"/>
      <c r="E40" s="3204"/>
    </row>
    <row r="41" spans="1:26" s="1997" customFormat="1">
      <c r="A41" s="3204"/>
      <c r="C41" s="3205"/>
      <c r="E41" s="3204"/>
    </row>
    <row r="42" spans="1:26" s="1997" customFormat="1">
      <c r="A42" s="3204"/>
      <c r="C42" s="3205"/>
      <c r="E42" s="3204"/>
    </row>
    <row r="43" spans="1:26" s="1997" customFormat="1">
      <c r="A43" s="3204"/>
      <c r="C43" s="3205"/>
      <c r="E43" s="3204"/>
    </row>
    <row r="44" spans="1:26" s="1997" customFormat="1">
      <c r="A44" s="3204"/>
      <c r="C44" s="3205"/>
      <c r="E44" s="3204"/>
    </row>
    <row r="45" spans="1:26" s="1997" customFormat="1">
      <c r="A45" s="3204"/>
      <c r="C45" s="3205"/>
      <c r="E45" s="3204"/>
    </row>
    <row r="46" spans="1:26" s="1997" customFormat="1">
      <c r="A46" s="3204"/>
      <c r="C46" s="3205"/>
      <c r="E46" s="3204"/>
    </row>
    <row r="47" spans="1:26" s="1997" customFormat="1">
      <c r="A47" s="3204"/>
      <c r="C47" s="3205"/>
      <c r="E47" s="3204"/>
    </row>
    <row r="48" spans="1:26"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row r="226" spans="1:5" s="1997" customFormat="1">
      <c r="A226" s="3204"/>
      <c r="C226" s="3205"/>
      <c r="E226" s="3204"/>
    </row>
    <row r="227" spans="1:5" s="1997" customFormat="1">
      <c r="A227" s="3204"/>
      <c r="C227" s="3205"/>
      <c r="E227" s="3204"/>
    </row>
    <row r="228" spans="1:5" s="1997" customFormat="1">
      <c r="A228" s="3204"/>
      <c r="C228" s="3205"/>
      <c r="E228" s="3204"/>
    </row>
    <row r="229" spans="1:5" s="1997" customFormat="1">
      <c r="A229" s="3204"/>
      <c r="C229" s="3205"/>
      <c r="E229" s="3204"/>
    </row>
    <row r="230" spans="1:5" s="1997" customFormat="1">
      <c r="A230" s="3204"/>
      <c r="C230" s="3205"/>
      <c r="E230" s="3204"/>
    </row>
    <row r="231" spans="1:5" s="1997" customFormat="1">
      <c r="A231" s="3204"/>
      <c r="C231" s="3205"/>
      <c r="E231" s="3204"/>
    </row>
    <row r="232" spans="1:5" s="1997" customFormat="1">
      <c r="A232" s="3204"/>
      <c r="C232" s="3205"/>
      <c r="E232" s="3204"/>
    </row>
    <row r="233" spans="1:5" s="1997" customFormat="1">
      <c r="A233" s="3204"/>
      <c r="C233" s="3205"/>
      <c r="E233" s="3204"/>
    </row>
    <row r="234" spans="1:5" s="1997" customFormat="1">
      <c r="A234" s="3204"/>
      <c r="C234" s="3205"/>
      <c r="E234" s="3204"/>
    </row>
    <row r="235" spans="1:5" s="1997" customFormat="1">
      <c r="A235" s="3204"/>
      <c r="C235" s="3205"/>
      <c r="E235" s="3204"/>
    </row>
    <row r="236" spans="1:5" s="1997" customFormat="1">
      <c r="A236" s="3204"/>
      <c r="C236" s="3205"/>
      <c r="E236" s="3204"/>
    </row>
    <row r="237" spans="1:5" s="1997" customFormat="1">
      <c r="A237" s="3204"/>
      <c r="C237" s="3205"/>
      <c r="E237" s="3204"/>
    </row>
    <row r="238" spans="1:5" s="1997" customFormat="1">
      <c r="A238" s="3204"/>
      <c r="C238" s="3205"/>
      <c r="E238" s="3204"/>
    </row>
    <row r="239" spans="1:5" s="1997" customFormat="1">
      <c r="A239" s="3204"/>
      <c r="C239" s="3205"/>
      <c r="E239" s="3204"/>
    </row>
    <row r="240" spans="1:5" s="1997" customFormat="1">
      <c r="A240" s="3204"/>
      <c r="C240" s="3205"/>
      <c r="E240" s="3204"/>
    </row>
    <row r="241" spans="1:5" s="1997" customFormat="1">
      <c r="A241" s="3204"/>
      <c r="C241" s="3205"/>
      <c r="E241" s="3204"/>
    </row>
    <row r="242" spans="1:5" s="1997" customFormat="1">
      <c r="A242" s="3204"/>
      <c r="C242" s="3205"/>
      <c r="E242" s="3204"/>
    </row>
    <row r="243" spans="1:5" s="1997" customFormat="1">
      <c r="A243" s="3204"/>
      <c r="C243" s="3205"/>
      <c r="E243" s="3204"/>
    </row>
    <row r="244" spans="1:5" s="1997" customFormat="1">
      <c r="A244" s="3204"/>
      <c r="C244" s="3205"/>
      <c r="E244" s="3204"/>
    </row>
    <row r="245" spans="1:5" s="1997" customFormat="1">
      <c r="A245" s="3204"/>
      <c r="C245" s="3205"/>
      <c r="E245" s="3204"/>
    </row>
    <row r="246" spans="1:5" s="1997" customFormat="1">
      <c r="A246" s="3204"/>
      <c r="C246" s="3205"/>
      <c r="E246" s="3204"/>
    </row>
    <row r="247" spans="1:5" s="1997" customFormat="1">
      <c r="A247" s="3204"/>
      <c r="C247" s="3205"/>
      <c r="E247" s="3204"/>
    </row>
    <row r="248" spans="1:5" s="1997" customFormat="1">
      <c r="A248" s="3204"/>
      <c r="C248" s="3205"/>
      <c r="E248" s="3204"/>
    </row>
    <row r="249" spans="1:5" s="1997" customFormat="1">
      <c r="A249" s="3204"/>
      <c r="C249" s="3205"/>
      <c r="E249" s="3204"/>
    </row>
    <row r="250" spans="1:5" s="1997" customFormat="1">
      <c r="A250" s="3204"/>
      <c r="C250" s="3205"/>
      <c r="E250" s="3204"/>
    </row>
    <row r="251" spans="1:5" s="1997" customFormat="1">
      <c r="A251" s="3204"/>
      <c r="C251" s="3205"/>
      <c r="E251" s="3204"/>
    </row>
    <row r="252" spans="1:5" s="1997" customFormat="1">
      <c r="A252" s="3204"/>
      <c r="C252" s="3205"/>
      <c r="E252" s="3204"/>
    </row>
    <row r="253" spans="1:5" s="1997" customFormat="1">
      <c r="A253" s="3204"/>
      <c r="C253" s="3205"/>
      <c r="E253" s="3204"/>
    </row>
    <row r="254" spans="1:5" s="1997" customFormat="1">
      <c r="A254" s="3204"/>
      <c r="C254" s="3205"/>
      <c r="E254" s="3204"/>
    </row>
    <row r="255" spans="1:5" s="1997" customFormat="1">
      <c r="A255" s="3204"/>
      <c r="C255" s="3205"/>
      <c r="E255" s="3204"/>
    </row>
    <row r="256" spans="1:5" s="1997" customFormat="1">
      <c r="A256" s="3204"/>
      <c r="C256" s="3205"/>
      <c r="E256" s="3204"/>
    </row>
    <row r="257" spans="1:5" s="1997" customFormat="1">
      <c r="A257" s="3204"/>
      <c r="C257" s="3205"/>
      <c r="E257" s="3204"/>
    </row>
    <row r="258" spans="1:5" s="1997" customFormat="1">
      <c r="A258" s="3204"/>
      <c r="C258" s="3205"/>
      <c r="E258" s="3204"/>
    </row>
    <row r="259" spans="1:5" s="1997" customFormat="1">
      <c r="A259" s="3204"/>
      <c r="C259" s="3205"/>
      <c r="E259" s="3204"/>
    </row>
    <row r="260" spans="1:5" s="1997" customFormat="1">
      <c r="A260" s="3204"/>
      <c r="C260" s="3205"/>
      <c r="E260" s="3204"/>
    </row>
    <row r="261" spans="1:5" s="1997" customFormat="1">
      <c r="A261" s="3204"/>
      <c r="C261" s="3205"/>
      <c r="E261" s="3204"/>
    </row>
    <row r="262" spans="1:5" s="1997" customFormat="1">
      <c r="A262" s="3204"/>
      <c r="C262" s="3205"/>
      <c r="E262" s="3204"/>
    </row>
    <row r="263" spans="1:5" s="1997" customFormat="1">
      <c r="A263" s="3204"/>
      <c r="C263" s="3205"/>
      <c r="E263" s="3204"/>
    </row>
    <row r="264" spans="1:5" s="1997" customFormat="1">
      <c r="A264" s="3204"/>
      <c r="C264" s="3205"/>
      <c r="E264" s="3204"/>
    </row>
    <row r="265" spans="1:5" s="1997" customFormat="1">
      <c r="A265" s="3204"/>
      <c r="C265" s="3205"/>
      <c r="E265" s="3204"/>
    </row>
    <row r="266" spans="1:5" s="1997" customFormat="1">
      <c r="A266" s="3204"/>
      <c r="C266" s="3205"/>
      <c r="E266" s="3204"/>
    </row>
    <row r="267" spans="1:5" s="1997" customFormat="1">
      <c r="A267" s="3204"/>
      <c r="C267" s="3205"/>
      <c r="E267" s="3204"/>
    </row>
    <row r="268" spans="1:5" s="1997" customFormat="1">
      <c r="A268" s="3204"/>
      <c r="C268" s="3205"/>
      <c r="E268" s="3204"/>
    </row>
    <row r="269" spans="1:5" s="1997" customFormat="1">
      <c r="A269" s="3204"/>
      <c r="C269" s="3205"/>
      <c r="E269" s="3204"/>
    </row>
    <row r="270" spans="1:5" s="1997" customFormat="1">
      <c r="A270" s="3204"/>
      <c r="C270" s="3205"/>
      <c r="E270" s="3204"/>
    </row>
    <row r="271" spans="1:5" s="1997" customFormat="1">
      <c r="A271" s="3204"/>
      <c r="C271" s="3205"/>
      <c r="E271" s="3204"/>
    </row>
    <row r="272" spans="1:5" s="1997" customFormat="1">
      <c r="A272" s="3204"/>
      <c r="C272" s="3205"/>
      <c r="E272" s="3204"/>
    </row>
    <row r="273" spans="1:5" s="1997" customFormat="1">
      <c r="A273" s="3204"/>
      <c r="C273" s="3205"/>
      <c r="E273" s="3204"/>
    </row>
    <row r="274" spans="1:5" s="1997" customFormat="1">
      <c r="A274" s="3204"/>
      <c r="C274" s="3205"/>
      <c r="E274" s="3204"/>
    </row>
    <row r="275" spans="1:5" s="1997" customFormat="1">
      <c r="A275" s="3204"/>
      <c r="C275" s="3205"/>
      <c r="E275" s="3204"/>
    </row>
    <row r="276" spans="1:5" s="1997" customFormat="1">
      <c r="A276" s="3204"/>
      <c r="C276" s="3205"/>
      <c r="E276" s="3204"/>
    </row>
    <row r="277" spans="1:5" s="1997" customFormat="1">
      <c r="A277" s="3204"/>
      <c r="C277" s="3205"/>
      <c r="E277" s="3204"/>
    </row>
    <row r="278" spans="1:5" s="1997" customFormat="1">
      <c r="A278" s="3204"/>
      <c r="C278" s="3205"/>
      <c r="E278" s="3204"/>
    </row>
    <row r="279" spans="1:5" s="1997" customFormat="1">
      <c r="A279" s="3204"/>
      <c r="C279" s="3205"/>
      <c r="E279" s="3204"/>
    </row>
    <row r="280" spans="1:5" s="1997" customFormat="1">
      <c r="A280" s="3204"/>
      <c r="C280" s="3205"/>
      <c r="E280" s="3204"/>
    </row>
    <row r="281" spans="1:5" s="1997" customFormat="1">
      <c r="A281" s="3204"/>
      <c r="C281" s="3205"/>
      <c r="E281" s="3204"/>
    </row>
    <row r="282" spans="1:5" s="1997" customFormat="1">
      <c r="A282" s="3204"/>
      <c r="C282" s="3205"/>
      <c r="E282" s="3204"/>
    </row>
    <row r="283" spans="1:5" s="1997" customFormat="1">
      <c r="A283" s="3204"/>
      <c r="C283" s="3205"/>
      <c r="E283" s="3204"/>
    </row>
    <row r="284" spans="1:5" s="1997" customFormat="1">
      <c r="A284" s="3204"/>
      <c r="C284" s="3205"/>
      <c r="E284" s="3204"/>
    </row>
    <row r="285" spans="1:5" s="1997" customFormat="1">
      <c r="A285" s="3204"/>
      <c r="C285" s="3205"/>
      <c r="E285" s="3204"/>
    </row>
    <row r="286" spans="1:5" s="1997" customFormat="1">
      <c r="A286" s="3204"/>
      <c r="C286" s="3205"/>
      <c r="E286" s="3204"/>
    </row>
    <row r="287" spans="1:5" s="1997" customFormat="1">
      <c r="A287" s="3204"/>
      <c r="C287" s="3205"/>
      <c r="E287" s="3204"/>
    </row>
    <row r="288" spans="1:5" s="1997" customFormat="1">
      <c r="A288" s="3204"/>
      <c r="C288" s="3205"/>
      <c r="E288" s="3204"/>
    </row>
    <row r="289" spans="1:5" s="1997" customFormat="1">
      <c r="A289" s="3204"/>
      <c r="C289" s="3205"/>
      <c r="E289" s="3204"/>
    </row>
    <row r="290" spans="1:5" s="1997" customFormat="1">
      <c r="A290" s="3204"/>
      <c r="C290" s="3205"/>
      <c r="E290" s="3204"/>
    </row>
    <row r="291" spans="1:5" s="1997" customFormat="1">
      <c r="A291" s="3204"/>
      <c r="C291" s="3205"/>
      <c r="E291" s="3204"/>
    </row>
    <row r="292" spans="1:5" s="1997" customFormat="1">
      <c r="A292" s="3204"/>
      <c r="C292" s="3205"/>
      <c r="E292" s="3204"/>
    </row>
    <row r="293" spans="1:5" s="1997" customFormat="1">
      <c r="A293" s="3204"/>
      <c r="C293" s="3205"/>
      <c r="E293" s="3204"/>
    </row>
    <row r="294" spans="1:5" s="1997" customFormat="1">
      <c r="A294" s="3204"/>
      <c r="C294" s="3205"/>
      <c r="E294" s="3204"/>
    </row>
    <row r="295" spans="1:5" s="1997" customFormat="1">
      <c r="A295" s="3204"/>
      <c r="C295" s="3205"/>
      <c r="E295" s="3204"/>
    </row>
    <row r="296" spans="1:5" s="1997" customFormat="1">
      <c r="A296" s="3204"/>
      <c r="C296" s="3205"/>
      <c r="E296" s="3204"/>
    </row>
    <row r="297" spans="1:5" s="1997" customFormat="1">
      <c r="A297" s="3204"/>
      <c r="C297" s="3205"/>
      <c r="E297" s="3204"/>
    </row>
    <row r="298" spans="1:5" s="1997" customFormat="1">
      <c r="A298" s="3204"/>
      <c r="C298" s="3205"/>
      <c r="E298" s="3204"/>
    </row>
    <row r="299" spans="1:5" s="1997" customFormat="1">
      <c r="A299" s="3204"/>
      <c r="C299" s="3205"/>
      <c r="E299" s="3204"/>
    </row>
    <row r="300" spans="1:5" s="1997" customFormat="1">
      <c r="A300" s="3204"/>
      <c r="C300" s="3205"/>
      <c r="E300" s="3204"/>
    </row>
    <row r="301" spans="1:5" s="1997" customFormat="1">
      <c r="A301" s="3204"/>
      <c r="C301" s="3205"/>
      <c r="E301" s="3204"/>
    </row>
    <row r="302" spans="1:5" s="1997" customFormat="1">
      <c r="A302" s="3204"/>
      <c r="C302" s="3205"/>
      <c r="E302" s="3204"/>
    </row>
    <row r="303" spans="1:5" s="1997" customFormat="1">
      <c r="A303" s="3204"/>
      <c r="C303" s="3205"/>
      <c r="E303" s="3204"/>
    </row>
    <row r="304" spans="1:5" s="1997" customFormat="1">
      <c r="A304" s="3204"/>
      <c r="C304" s="3205"/>
      <c r="E304" s="3204"/>
    </row>
    <row r="305" spans="1:5" s="1997" customFormat="1">
      <c r="A305" s="3204"/>
      <c r="C305" s="3205"/>
      <c r="E305" s="3204"/>
    </row>
    <row r="306" spans="1:5" s="1997" customFormat="1">
      <c r="A306" s="3204"/>
      <c r="C306" s="3205"/>
      <c r="E306" s="3204"/>
    </row>
    <row r="307" spans="1:5" s="1997" customFormat="1">
      <c r="A307" s="3204"/>
      <c r="C307" s="3205"/>
      <c r="E307" s="3204"/>
    </row>
    <row r="308" spans="1:5" s="1997" customFormat="1">
      <c r="A308" s="3204"/>
      <c r="C308" s="3205"/>
      <c r="E308" s="3204"/>
    </row>
    <row r="309" spans="1:5" s="1997" customFormat="1">
      <c r="A309" s="3204"/>
      <c r="C309" s="3205"/>
      <c r="E309" s="3204"/>
    </row>
    <row r="310" spans="1:5" s="1997" customFormat="1">
      <c r="A310" s="3204"/>
      <c r="C310" s="3205"/>
      <c r="E310" s="3204"/>
    </row>
    <row r="311" spans="1:5" s="1997" customFormat="1">
      <c r="A311" s="3204"/>
      <c r="C311" s="3205"/>
      <c r="E311" s="3204"/>
    </row>
    <row r="312" spans="1:5" s="1997" customFormat="1">
      <c r="A312" s="3204"/>
      <c r="C312" s="3205"/>
      <c r="E312" s="3204"/>
    </row>
    <row r="313" spans="1:5" s="1997" customFormat="1">
      <c r="A313" s="3204"/>
      <c r="C313" s="3205"/>
      <c r="E313" s="3204"/>
    </row>
    <row r="314" spans="1:5" s="1997" customFormat="1">
      <c r="A314" s="3204"/>
      <c r="C314" s="3205"/>
      <c r="E314" s="3204"/>
    </row>
    <row r="315" spans="1:5" s="1997" customFormat="1">
      <c r="A315" s="3204"/>
      <c r="C315" s="3205"/>
      <c r="E315" s="3204"/>
    </row>
    <row r="316" spans="1:5" s="1997" customFormat="1">
      <c r="A316" s="3204"/>
      <c r="C316" s="3205"/>
      <c r="E316" s="3204"/>
    </row>
    <row r="317" spans="1:5" s="1997" customFormat="1">
      <c r="A317" s="3204"/>
      <c r="C317" s="3205"/>
      <c r="E317" s="3204"/>
    </row>
    <row r="318" spans="1:5" s="1997" customFormat="1">
      <c r="A318" s="3204"/>
      <c r="C318" s="3205"/>
      <c r="E318" s="3204"/>
    </row>
    <row r="319" spans="1:5" s="1997" customFormat="1">
      <c r="A319" s="3204"/>
      <c r="C319" s="3205"/>
      <c r="E319" s="3204"/>
    </row>
    <row r="320" spans="1:5" s="1997" customFormat="1">
      <c r="A320" s="3204"/>
      <c r="C320" s="3205"/>
      <c r="E320" s="3204"/>
    </row>
    <row r="321" spans="1:5" s="1997" customFormat="1">
      <c r="A321" s="3204"/>
      <c r="C321" s="3205"/>
      <c r="E321" s="3204"/>
    </row>
    <row r="322" spans="1:5" s="1997" customFormat="1">
      <c r="A322" s="3204"/>
      <c r="C322" s="3205"/>
      <c r="E322" s="3204"/>
    </row>
    <row r="323" spans="1:5" s="1997" customFormat="1">
      <c r="A323" s="3204"/>
      <c r="C323" s="3205"/>
      <c r="E323" s="3204"/>
    </row>
    <row r="324" spans="1:5" s="1997" customFormat="1">
      <c r="A324" s="3204"/>
      <c r="C324" s="3205"/>
      <c r="E324" s="3204"/>
    </row>
    <row r="325" spans="1:5" s="1997" customFormat="1">
      <c r="A325" s="3204"/>
      <c r="C325" s="3205"/>
      <c r="E325" s="3204"/>
    </row>
    <row r="326" spans="1:5" s="1997" customFormat="1">
      <c r="A326" s="3204"/>
      <c r="C326" s="3205"/>
      <c r="E326" s="3204"/>
    </row>
    <row r="327" spans="1:5" s="1997" customFormat="1">
      <c r="A327" s="3204"/>
      <c r="C327" s="3205"/>
      <c r="E327" s="3204"/>
    </row>
    <row r="328" spans="1:5" s="1997" customFormat="1">
      <c r="A328" s="3204"/>
      <c r="C328" s="3205"/>
      <c r="E328" s="3204"/>
    </row>
    <row r="329" spans="1:5" s="1997" customFormat="1">
      <c r="A329" s="3204"/>
      <c r="C329" s="3205"/>
      <c r="E329" s="3204"/>
    </row>
    <row r="330" spans="1:5" s="1997" customFormat="1">
      <c r="A330" s="3204"/>
      <c r="C330" s="3205"/>
      <c r="E330" s="3204"/>
    </row>
    <row r="331" spans="1:5" s="1997" customFormat="1">
      <c r="A331" s="3204"/>
      <c r="C331" s="3205"/>
      <c r="E331" s="3204"/>
    </row>
    <row r="332" spans="1:5" s="1997" customFormat="1">
      <c r="A332" s="3204"/>
      <c r="C332" s="3205"/>
      <c r="E332" s="3204"/>
    </row>
    <row r="333" spans="1:5" s="1997" customFormat="1">
      <c r="A333" s="3204"/>
      <c r="C333" s="3205"/>
      <c r="E333" s="3204"/>
    </row>
    <row r="334" spans="1:5" s="1997" customFormat="1">
      <c r="A334" s="3204"/>
      <c r="C334" s="3205"/>
      <c r="E334" s="3204"/>
    </row>
    <row r="335" spans="1:5" s="1997" customFormat="1">
      <c r="A335" s="3204"/>
      <c r="C335" s="3205"/>
      <c r="E335" s="3204"/>
    </row>
    <row r="336" spans="1:5" s="1997" customFormat="1">
      <c r="A336" s="3204"/>
      <c r="C336" s="3205"/>
      <c r="E336" s="3204"/>
    </row>
    <row r="337" spans="1:5" s="1997" customFormat="1">
      <c r="A337" s="3204"/>
      <c r="C337" s="3205"/>
      <c r="E337" s="3204"/>
    </row>
    <row r="338" spans="1:5" s="1997" customFormat="1">
      <c r="A338" s="3204"/>
      <c r="C338" s="3205"/>
      <c r="E338" s="3204"/>
    </row>
    <row r="339" spans="1:5" s="1997" customFormat="1">
      <c r="A339" s="3204"/>
      <c r="C339" s="3205"/>
      <c r="E339" s="3204"/>
    </row>
    <row r="340" spans="1:5" s="1997" customFormat="1">
      <c r="A340" s="3204"/>
      <c r="C340" s="3205"/>
      <c r="E340" s="3204"/>
    </row>
    <row r="341" spans="1:5" s="1997" customFormat="1">
      <c r="A341" s="3204"/>
      <c r="C341" s="3205"/>
      <c r="E341" s="3204"/>
    </row>
    <row r="342" spans="1:5" s="1997" customFormat="1">
      <c r="A342" s="3204"/>
      <c r="C342" s="3205"/>
      <c r="E342" s="3204"/>
    </row>
    <row r="343" spans="1:5" s="1997" customFormat="1">
      <c r="A343" s="3204"/>
      <c r="C343" s="3205"/>
      <c r="E343" s="3204"/>
    </row>
    <row r="344" spans="1:5" s="1997" customFormat="1">
      <c r="A344" s="3204"/>
      <c r="C344" s="3205"/>
      <c r="E344" s="3204"/>
    </row>
    <row r="345" spans="1:5" s="1997" customFormat="1">
      <c r="A345" s="3204"/>
      <c r="C345" s="3205"/>
      <c r="E345" s="3204"/>
    </row>
    <row r="346" spans="1:5" s="1997" customFormat="1">
      <c r="A346" s="3204"/>
      <c r="C346" s="3205"/>
      <c r="E346" s="3204"/>
    </row>
    <row r="347" spans="1:5" s="1997" customFormat="1">
      <c r="A347" s="3204"/>
      <c r="C347" s="3205"/>
      <c r="E347" s="3204"/>
    </row>
    <row r="348" spans="1:5" s="1997" customFormat="1">
      <c r="A348" s="3204"/>
      <c r="C348" s="3205"/>
      <c r="E348" s="3204"/>
    </row>
    <row r="349" spans="1:5" s="1997" customFormat="1">
      <c r="A349" s="3204"/>
      <c r="C349" s="3205"/>
      <c r="E349" s="3204"/>
    </row>
    <row r="350" spans="1:5" s="1997" customFormat="1">
      <c r="A350" s="3204"/>
      <c r="C350" s="3205"/>
      <c r="E350" s="3204"/>
    </row>
    <row r="351" spans="1:5" s="1997" customFormat="1">
      <c r="A351" s="3204"/>
      <c r="C351" s="3205"/>
      <c r="E351" s="3204"/>
    </row>
    <row r="352" spans="1:5" s="1997" customFormat="1">
      <c r="A352" s="3204"/>
      <c r="C352" s="3205"/>
      <c r="E352" s="3204"/>
    </row>
    <row r="353" spans="1:5" s="1997" customFormat="1">
      <c r="A353" s="3204"/>
      <c r="C353" s="3205"/>
      <c r="E353" s="3204"/>
    </row>
    <row r="354" spans="1:5" s="1997" customFormat="1">
      <c r="A354" s="3204"/>
      <c r="C354" s="3205"/>
      <c r="E354" s="3204"/>
    </row>
    <row r="355" spans="1:5" s="1997" customFormat="1">
      <c r="A355" s="3204"/>
      <c r="C355" s="3205"/>
      <c r="E355" s="3204"/>
    </row>
    <row r="356" spans="1:5" s="1997" customFormat="1">
      <c r="A356" s="3204"/>
      <c r="C356" s="3205"/>
      <c r="E356" s="3204"/>
    </row>
    <row r="357" spans="1:5" s="1997" customFormat="1">
      <c r="A357" s="3204"/>
      <c r="C357" s="3205"/>
      <c r="E357" s="3204"/>
    </row>
    <row r="358" spans="1:5" s="1997" customFormat="1">
      <c r="A358" s="3204"/>
      <c r="C358" s="3205"/>
      <c r="E358" s="3204"/>
    </row>
    <row r="359" spans="1:5" s="1997" customFormat="1">
      <c r="A359" s="3204"/>
      <c r="C359" s="3205"/>
      <c r="E359" s="3204"/>
    </row>
    <row r="360" spans="1:5" s="1997" customFormat="1">
      <c r="A360" s="3204"/>
      <c r="C360" s="3205"/>
      <c r="E360" s="3204"/>
    </row>
    <row r="361" spans="1:5" s="1997" customFormat="1">
      <c r="A361" s="3204"/>
      <c r="C361" s="3205"/>
      <c r="E361" s="3204"/>
    </row>
    <row r="362" spans="1:5" s="1997" customFormat="1">
      <c r="A362" s="3204"/>
      <c r="C362" s="3205"/>
      <c r="E362" s="3204"/>
    </row>
    <row r="363" spans="1:5" s="1997" customFormat="1">
      <c r="A363" s="3204"/>
      <c r="C363" s="3205"/>
      <c r="E363" s="3204"/>
    </row>
    <row r="364" spans="1:5" s="1997" customFormat="1">
      <c r="A364" s="3204"/>
      <c r="C364" s="3205"/>
      <c r="E364" s="3204"/>
    </row>
    <row r="365" spans="1:5" s="1997" customFormat="1">
      <c r="A365" s="3204"/>
      <c r="C365" s="3205"/>
      <c r="E365" s="3204"/>
    </row>
    <row r="366" spans="1:5" s="1997" customFormat="1">
      <c r="A366" s="3204"/>
      <c r="C366" s="3205"/>
      <c r="E366" s="3204"/>
    </row>
    <row r="367" spans="1:5" s="1997" customFormat="1">
      <c r="A367" s="3204"/>
      <c r="C367" s="3205"/>
      <c r="E367" s="3204"/>
    </row>
    <row r="368" spans="1:5" s="1997" customFormat="1">
      <c r="A368" s="3204"/>
      <c r="C368" s="3205"/>
      <c r="E368" s="3204"/>
    </row>
    <row r="369" spans="1:5" s="1997" customFormat="1">
      <c r="A369" s="3204"/>
      <c r="C369" s="3205"/>
      <c r="E369" s="3204"/>
    </row>
    <row r="370" spans="1:5" s="1997" customFormat="1">
      <c r="A370" s="3204"/>
      <c r="C370" s="3205"/>
      <c r="E370" s="3204"/>
    </row>
    <row r="371" spans="1:5" s="1997" customFormat="1">
      <c r="A371" s="3204"/>
      <c r="C371" s="3205"/>
      <c r="E371" s="3204"/>
    </row>
    <row r="372" spans="1:5" s="1997" customFormat="1">
      <c r="A372" s="3204"/>
      <c r="C372" s="3205"/>
      <c r="E372" s="3204"/>
    </row>
    <row r="373" spans="1:5" s="1997" customFormat="1">
      <c r="A373" s="3204"/>
      <c r="C373" s="3205"/>
      <c r="E373" s="3204"/>
    </row>
    <row r="374" spans="1:5" s="1997" customFormat="1">
      <c r="A374" s="3204"/>
      <c r="C374" s="3205"/>
      <c r="E374" s="3204"/>
    </row>
    <row r="375" spans="1:5" s="1997" customFormat="1">
      <c r="A375" s="3204"/>
      <c r="C375" s="3205"/>
      <c r="E375" s="3204"/>
    </row>
    <row r="376" spans="1:5" s="1997" customFormat="1">
      <c r="A376" s="3204"/>
      <c r="C376" s="3205"/>
      <c r="E376" s="3204"/>
    </row>
    <row r="377" spans="1:5" s="1997" customFormat="1">
      <c r="A377" s="3204"/>
      <c r="C377" s="3205"/>
      <c r="E377" s="3204"/>
    </row>
    <row r="378" spans="1:5" s="1997" customFormat="1">
      <c r="A378" s="3204"/>
      <c r="C378" s="3205"/>
      <c r="E378" s="3204"/>
    </row>
    <row r="379" spans="1:5" s="1997" customFormat="1">
      <c r="A379" s="3204"/>
      <c r="C379" s="3205"/>
      <c r="E379" s="3204"/>
    </row>
    <row r="380" spans="1:5" s="1997" customFormat="1">
      <c r="A380" s="3204"/>
      <c r="C380" s="3205"/>
      <c r="E380" s="3204"/>
    </row>
    <row r="381" spans="1:5" s="1997" customFormat="1">
      <c r="A381" s="3204"/>
      <c r="C381" s="3205"/>
      <c r="E381" s="3204"/>
    </row>
    <row r="382" spans="1:5" s="1997" customFormat="1">
      <c r="A382" s="3204"/>
      <c r="C382" s="3205"/>
      <c r="E382" s="3204"/>
    </row>
    <row r="383" spans="1:5" s="1997" customFormat="1">
      <c r="A383" s="3204"/>
      <c r="C383" s="3205"/>
      <c r="E383" s="3204"/>
    </row>
    <row r="384" spans="1:5" s="1997" customFormat="1">
      <c r="A384" s="3204"/>
      <c r="C384" s="3205"/>
      <c r="E384" s="3204"/>
    </row>
    <row r="385" spans="1:5" s="1997" customFormat="1">
      <c r="A385" s="3204"/>
      <c r="C385" s="3205"/>
      <c r="E385" s="3204"/>
    </row>
    <row r="386" spans="1:5" s="1997" customFormat="1">
      <c r="A386" s="3204"/>
      <c r="C386" s="3205"/>
      <c r="E386" s="3204"/>
    </row>
    <row r="387" spans="1:5" s="1997" customFormat="1">
      <c r="A387" s="3204"/>
      <c r="C387" s="3205"/>
      <c r="E387" s="3204"/>
    </row>
    <row r="388" spans="1:5" s="1997" customFormat="1">
      <c r="A388" s="3204"/>
      <c r="C388" s="3205"/>
      <c r="E388" s="3204"/>
    </row>
    <row r="389" spans="1:5" s="1997" customFormat="1">
      <c r="A389" s="3204"/>
      <c r="C389" s="3205"/>
      <c r="E389" s="3204"/>
    </row>
    <row r="390" spans="1:5" s="1997" customFormat="1">
      <c r="A390" s="3204"/>
      <c r="C390" s="3205"/>
      <c r="E390" s="3204"/>
    </row>
    <row r="391" spans="1:5" s="1997" customFormat="1">
      <c r="A391" s="3204"/>
      <c r="C391" s="3205"/>
      <c r="E391" s="3204"/>
    </row>
    <row r="392" spans="1:5" s="1997" customFormat="1">
      <c r="A392" s="3204"/>
      <c r="C392" s="3205"/>
      <c r="E392" s="3204"/>
    </row>
    <row r="393" spans="1:5" s="1997" customFormat="1">
      <c r="A393" s="3204"/>
      <c r="C393" s="3205"/>
      <c r="E393" s="3204"/>
    </row>
    <row r="394" spans="1:5" s="1997" customFormat="1">
      <c r="A394" s="3204"/>
      <c r="C394" s="3205"/>
      <c r="E394" s="3204"/>
    </row>
    <row r="395" spans="1:5" s="1997" customFormat="1">
      <c r="A395" s="3204"/>
      <c r="C395" s="3205"/>
      <c r="E395" s="3204"/>
    </row>
    <row r="396" spans="1:5" s="1997" customFormat="1">
      <c r="A396" s="3204"/>
      <c r="C396" s="3205"/>
      <c r="E396" s="3204"/>
    </row>
    <row r="397" spans="1:5" s="1997" customFormat="1">
      <c r="A397" s="3204"/>
      <c r="C397" s="3205"/>
      <c r="E397" s="3204"/>
    </row>
    <row r="398" spans="1:5" s="1997" customFormat="1">
      <c r="A398" s="3204"/>
      <c r="C398" s="3205"/>
      <c r="E398" s="3204"/>
    </row>
    <row r="399" spans="1:5" s="1997" customFormat="1">
      <c r="A399" s="3204"/>
      <c r="C399" s="3205"/>
      <c r="E399" s="3204"/>
    </row>
    <row r="400" spans="1:5" s="1997" customFormat="1">
      <c r="A400" s="3204"/>
      <c r="C400" s="3205"/>
      <c r="E400" s="3204"/>
    </row>
    <row r="401" spans="1:5" s="1997" customFormat="1">
      <c r="A401" s="3204"/>
      <c r="C401" s="3205"/>
      <c r="E401" s="3204"/>
    </row>
    <row r="402" spans="1:5" s="1997" customFormat="1">
      <c r="A402" s="3204"/>
      <c r="C402" s="3205"/>
      <c r="E402" s="3204"/>
    </row>
    <row r="403" spans="1:5" s="1997" customFormat="1">
      <c r="A403" s="3204"/>
      <c r="C403" s="3205"/>
      <c r="E403" s="3204"/>
    </row>
    <row r="404" spans="1:5" s="1997" customFormat="1">
      <c r="A404" s="3204"/>
      <c r="C404" s="3205"/>
      <c r="E404" s="3204"/>
    </row>
    <row r="405" spans="1:5" s="1997" customFormat="1">
      <c r="A405" s="3204"/>
      <c r="C405" s="3205"/>
      <c r="E405" s="3204"/>
    </row>
    <row r="406" spans="1:5" s="1997" customFormat="1">
      <c r="A406" s="3204"/>
      <c r="C406" s="3205"/>
      <c r="E406" s="3204"/>
    </row>
    <row r="407" spans="1:5" s="1997" customFormat="1">
      <c r="A407" s="3204"/>
      <c r="C407" s="3205"/>
      <c r="E407" s="3204"/>
    </row>
    <row r="408" spans="1:5" s="1997" customFormat="1">
      <c r="A408" s="3204"/>
      <c r="C408" s="3205"/>
      <c r="E408" s="3204"/>
    </row>
    <row r="409" spans="1:5" s="1997" customFormat="1">
      <c r="A409" s="3204"/>
      <c r="C409" s="3205"/>
      <c r="E409" s="3204"/>
    </row>
    <row r="410" spans="1:5" s="1997" customFormat="1">
      <c r="A410" s="3204"/>
      <c r="C410" s="3205"/>
      <c r="E410" s="3204"/>
    </row>
    <row r="411" spans="1:5" s="1997" customFormat="1">
      <c r="A411" s="3204"/>
      <c r="C411" s="3205"/>
      <c r="E411" s="3204"/>
    </row>
    <row r="412" spans="1:5" s="1997" customFormat="1">
      <c r="A412" s="3204"/>
      <c r="C412" s="3205"/>
      <c r="E412" s="3204"/>
    </row>
    <row r="413" spans="1:5" s="1997" customFormat="1">
      <c r="A413" s="3204"/>
      <c r="C413" s="3205"/>
      <c r="E413" s="3204"/>
    </row>
    <row r="414" spans="1:5" s="1997" customFormat="1">
      <c r="A414" s="3204"/>
      <c r="C414" s="3205"/>
      <c r="E414" s="3204"/>
    </row>
    <row r="415" spans="1:5" s="1997" customFormat="1">
      <c r="A415" s="3204"/>
      <c r="C415" s="3205"/>
      <c r="E415" s="3204"/>
    </row>
    <row r="416" spans="1:5" s="1997" customFormat="1">
      <c r="A416" s="3204"/>
      <c r="C416" s="3205"/>
      <c r="E416" s="3204"/>
    </row>
    <row r="417" spans="1:5" s="1997" customFormat="1">
      <c r="A417" s="3204"/>
      <c r="C417" s="3205"/>
      <c r="E417" s="3204"/>
    </row>
    <row r="418" spans="1:5" s="1997" customFormat="1">
      <c r="A418" s="3204"/>
      <c r="C418" s="3205"/>
      <c r="E418" s="3204"/>
    </row>
    <row r="419" spans="1:5" s="1997" customFormat="1">
      <c r="A419" s="3204"/>
      <c r="C419" s="3205"/>
      <c r="E419" s="3204"/>
    </row>
    <row r="420" spans="1:5" s="1997" customFormat="1">
      <c r="A420" s="3204"/>
      <c r="C420" s="3205"/>
      <c r="E420" s="3204"/>
    </row>
    <row r="421" spans="1:5" s="1997" customFormat="1">
      <c r="A421" s="3204"/>
      <c r="C421" s="3205"/>
      <c r="E421" s="3204"/>
    </row>
    <row r="422" spans="1:5" s="1997" customFormat="1">
      <c r="A422" s="3204"/>
      <c r="C422" s="3205"/>
      <c r="E422" s="3204"/>
    </row>
    <row r="423" spans="1:5" s="1997" customFormat="1">
      <c r="A423" s="3204"/>
      <c r="C423" s="3205"/>
      <c r="E423" s="3204"/>
    </row>
    <row r="424" spans="1:5" s="1997" customFormat="1">
      <c r="A424" s="3204"/>
      <c r="C424" s="3205"/>
      <c r="E424" s="3204"/>
    </row>
    <row r="425" spans="1:5" s="1997" customFormat="1">
      <c r="A425" s="3204"/>
      <c r="C425" s="3205"/>
      <c r="E425" s="3204"/>
    </row>
    <row r="426" spans="1:5" s="1997" customFormat="1">
      <c r="A426" s="3204"/>
      <c r="C426" s="3205"/>
      <c r="E426" s="3204"/>
    </row>
    <row r="427" spans="1:5" s="1997" customFormat="1">
      <c r="A427" s="3204"/>
      <c r="C427" s="3205"/>
      <c r="E427" s="3204"/>
    </row>
    <row r="428" spans="1:5" s="1997" customFormat="1">
      <c r="A428" s="3204"/>
      <c r="C428" s="3205"/>
      <c r="E428" s="3204"/>
    </row>
    <row r="429" spans="1:5" s="1997" customFormat="1">
      <c r="A429" s="3204"/>
      <c r="C429" s="3205"/>
      <c r="E429" s="3204"/>
    </row>
    <row r="430" spans="1:5" s="1997" customFormat="1">
      <c r="A430" s="3204"/>
      <c r="C430" s="3205"/>
      <c r="E430" s="3204"/>
    </row>
    <row r="431" spans="1:5" s="1997" customFormat="1">
      <c r="A431" s="3204"/>
      <c r="C431" s="3205"/>
      <c r="E431" s="3204"/>
    </row>
    <row r="432" spans="1:5" s="1997" customFormat="1">
      <c r="A432" s="3204"/>
      <c r="C432" s="3205"/>
      <c r="E432" s="3204"/>
    </row>
    <row r="433" spans="1:5" s="1997" customFormat="1">
      <c r="A433" s="3204"/>
      <c r="C433" s="3205"/>
      <c r="E433" s="3204"/>
    </row>
    <row r="434" spans="1:5" s="1997" customFormat="1">
      <c r="A434" s="3204"/>
      <c r="C434" s="3205"/>
      <c r="E434" s="3204"/>
    </row>
    <row r="435" spans="1:5" s="1997" customFormat="1">
      <c r="A435" s="3204"/>
      <c r="C435" s="3205"/>
      <c r="E435" s="3204"/>
    </row>
    <row r="436" spans="1:5" s="1997" customFormat="1">
      <c r="A436" s="3204"/>
      <c r="C436" s="3205"/>
      <c r="E436" s="3204"/>
    </row>
    <row r="437" spans="1:5" s="1997" customFormat="1">
      <c r="A437" s="3204"/>
      <c r="C437" s="3205"/>
      <c r="E437" s="3204"/>
    </row>
    <row r="438" spans="1:5" s="1997" customFormat="1">
      <c r="A438" s="3204"/>
      <c r="C438" s="3205"/>
      <c r="E438" s="3204"/>
    </row>
    <row r="439" spans="1:5" s="1997" customFormat="1">
      <c r="A439" s="3204"/>
      <c r="C439" s="3205"/>
      <c r="E439" s="3204"/>
    </row>
    <row r="440" spans="1:5" s="1997" customFormat="1">
      <c r="A440" s="3204"/>
      <c r="C440" s="3205"/>
      <c r="E440" s="3204"/>
    </row>
    <row r="441" spans="1:5" s="1997" customFormat="1">
      <c r="A441" s="3204"/>
      <c r="C441" s="3205"/>
      <c r="E441" s="3204"/>
    </row>
    <row r="442" spans="1:5" s="1997" customFormat="1">
      <c r="A442" s="3204"/>
      <c r="C442" s="3205"/>
      <c r="E442" s="3204"/>
    </row>
    <row r="443" spans="1:5" s="1997" customFormat="1">
      <c r="A443" s="3204"/>
      <c r="C443" s="3205"/>
      <c r="E443" s="3204"/>
    </row>
    <row r="444" spans="1:5" s="1997" customFormat="1">
      <c r="A444" s="3204"/>
      <c r="C444" s="3205"/>
      <c r="E444" s="3204"/>
    </row>
    <row r="445" spans="1:5" s="1997" customFormat="1">
      <c r="A445" s="3204"/>
      <c r="C445" s="3205"/>
      <c r="E445" s="3204"/>
    </row>
    <row r="446" spans="1:5" s="1997" customFormat="1">
      <c r="A446" s="3204"/>
      <c r="C446" s="3205"/>
      <c r="E446" s="3204"/>
    </row>
    <row r="447" spans="1:5" s="1997" customFormat="1">
      <c r="A447" s="3204"/>
      <c r="C447" s="3205"/>
      <c r="E447" s="3204"/>
    </row>
    <row r="448" spans="1:5" s="1997" customFormat="1">
      <c r="A448" s="3204"/>
      <c r="C448" s="3205"/>
      <c r="E448" s="3204"/>
    </row>
    <row r="449" spans="1:5" s="1997" customFormat="1">
      <c r="A449" s="3204"/>
      <c r="C449" s="3205"/>
      <c r="E449" s="3204"/>
    </row>
    <row r="450" spans="1:5" s="1997" customFormat="1">
      <c r="A450" s="3204"/>
      <c r="C450" s="3205"/>
      <c r="E450" s="3204"/>
    </row>
    <row r="451" spans="1:5" s="1997" customFormat="1">
      <c r="A451" s="3204"/>
      <c r="C451" s="3205"/>
      <c r="E451" s="3204"/>
    </row>
    <row r="452" spans="1:5" s="1997" customFormat="1">
      <c r="A452" s="3204"/>
      <c r="C452" s="3205"/>
      <c r="E452" s="3204"/>
    </row>
    <row r="453" spans="1:5" s="1997" customFormat="1">
      <c r="A453" s="3204"/>
      <c r="C453" s="3205"/>
      <c r="E453" s="3204"/>
    </row>
    <row r="454" spans="1:5" s="1997" customFormat="1">
      <c r="A454" s="3204"/>
      <c r="C454" s="3205"/>
      <c r="E454" s="3204"/>
    </row>
    <row r="455" spans="1:5" s="1997" customFormat="1">
      <c r="A455" s="3204"/>
      <c r="C455" s="3205"/>
      <c r="E455" s="3204"/>
    </row>
    <row r="456" spans="1:5" s="1997" customFormat="1">
      <c r="A456" s="3204"/>
      <c r="C456" s="3205"/>
      <c r="E456" s="3204"/>
    </row>
    <row r="457" spans="1:5" s="1997" customFormat="1">
      <c r="A457" s="3204"/>
      <c r="C457" s="3205"/>
      <c r="E457" s="3204"/>
    </row>
    <row r="458" spans="1:5" s="1997" customFormat="1">
      <c r="A458" s="3204"/>
      <c r="C458" s="3205"/>
      <c r="E458" s="3204"/>
    </row>
    <row r="459" spans="1:5" s="1997" customFormat="1">
      <c r="A459" s="3204"/>
      <c r="C459" s="3205"/>
      <c r="E459" s="3204"/>
    </row>
    <row r="460" spans="1:5" s="1997" customFormat="1">
      <c r="A460" s="3204"/>
      <c r="C460" s="3205"/>
      <c r="E460" s="3204"/>
    </row>
    <row r="461" spans="1:5" s="1997" customFormat="1">
      <c r="A461" s="3204"/>
      <c r="C461" s="3205"/>
      <c r="E461" s="3204"/>
    </row>
    <row r="462" spans="1:5" s="1997" customFormat="1">
      <c r="A462" s="3204"/>
      <c r="C462" s="3205"/>
      <c r="E462" s="3204"/>
    </row>
    <row r="463" spans="1:5" s="1997" customFormat="1">
      <c r="A463" s="3204"/>
      <c r="C463" s="3205"/>
      <c r="E463" s="3204"/>
    </row>
    <row r="464" spans="1:5" s="1997" customFormat="1">
      <c r="A464" s="3204"/>
      <c r="C464" s="3205"/>
      <c r="E464" s="3204"/>
    </row>
    <row r="465" spans="1:5" s="1997" customFormat="1">
      <c r="A465" s="3204"/>
      <c r="C465" s="3205"/>
      <c r="E465" s="3204"/>
    </row>
    <row r="466" spans="1:5" s="1997" customFormat="1">
      <c r="A466" s="3204"/>
      <c r="C466" s="3205"/>
      <c r="E466" s="3204"/>
    </row>
    <row r="467" spans="1:5" s="1997" customFormat="1">
      <c r="A467" s="3204"/>
      <c r="C467" s="3205"/>
      <c r="E467" s="3204"/>
    </row>
    <row r="468" spans="1:5" s="1997" customFormat="1">
      <c r="A468" s="3204"/>
      <c r="C468" s="3205"/>
      <c r="E468" s="3204"/>
    </row>
    <row r="469" spans="1:5" s="1997" customFormat="1">
      <c r="A469" s="3204"/>
      <c r="C469" s="3205"/>
      <c r="E469" s="3204"/>
    </row>
    <row r="470" spans="1:5" s="1997" customFormat="1">
      <c r="A470" s="3204"/>
      <c r="C470" s="3205"/>
      <c r="E470" s="3204"/>
    </row>
    <row r="471" spans="1:5" s="1997" customFormat="1">
      <c r="A471" s="3204"/>
      <c r="C471" s="3205"/>
      <c r="E471" s="3204"/>
    </row>
    <row r="472" spans="1:5" s="1997" customFormat="1">
      <c r="A472" s="3204"/>
      <c r="C472" s="3205"/>
      <c r="E472" s="3204"/>
    </row>
    <row r="473" spans="1:5" s="1997" customFormat="1">
      <c r="A473" s="3204"/>
      <c r="C473" s="3205"/>
      <c r="E473" s="3204"/>
    </row>
    <row r="474" spans="1:5" s="1997" customFormat="1">
      <c r="A474" s="3204"/>
      <c r="C474" s="3205"/>
      <c r="E474" s="3204"/>
    </row>
    <row r="475" spans="1:5" s="1997" customFormat="1">
      <c r="A475" s="3204"/>
      <c r="C475" s="3205"/>
      <c r="E475" s="3204"/>
    </row>
    <row r="476" spans="1:5" s="1997" customFormat="1">
      <c r="A476" s="3204"/>
      <c r="C476" s="3205"/>
      <c r="E476" s="3204"/>
    </row>
    <row r="477" spans="1:5" s="1997" customFormat="1">
      <c r="A477" s="3204"/>
      <c r="C477" s="3205"/>
      <c r="E477" s="3204"/>
    </row>
    <row r="478" spans="1:5" s="1997" customFormat="1">
      <c r="A478" s="3204"/>
      <c r="C478" s="3205"/>
      <c r="E478" s="3204"/>
    </row>
    <row r="479" spans="1:5" s="1997" customFormat="1">
      <c r="A479" s="3204"/>
      <c r="C479" s="3205"/>
      <c r="E479" s="3204"/>
    </row>
    <row r="480" spans="1:5" s="1997" customFormat="1">
      <c r="A480" s="3204"/>
      <c r="C480" s="3205"/>
      <c r="E480" s="3204"/>
    </row>
    <row r="481" spans="1:5" s="1997" customFormat="1">
      <c r="A481" s="3204"/>
      <c r="C481" s="3205"/>
      <c r="E481" s="3204"/>
    </row>
    <row r="482" spans="1:5" s="1997" customFormat="1">
      <c r="A482" s="3204"/>
      <c r="C482" s="3205"/>
      <c r="E482" s="3204"/>
    </row>
    <row r="483" spans="1:5" s="1997" customFormat="1">
      <c r="A483" s="3204"/>
      <c r="C483" s="3205"/>
      <c r="E483" s="3204"/>
    </row>
    <row r="484" spans="1:5" s="1997" customFormat="1">
      <c r="A484" s="3204"/>
      <c r="C484" s="3205"/>
      <c r="E484" s="3204"/>
    </row>
    <row r="485" spans="1:5" s="1997" customFormat="1">
      <c r="A485" s="3204"/>
      <c r="C485" s="3205"/>
      <c r="E485" s="3204"/>
    </row>
    <row r="486" spans="1:5" s="1997" customFormat="1">
      <c r="A486" s="3204"/>
      <c r="C486" s="3205"/>
      <c r="E486" s="3204"/>
    </row>
    <row r="487" spans="1:5" s="1997" customFormat="1">
      <c r="A487" s="3204"/>
      <c r="C487" s="3205"/>
      <c r="E487" s="3204"/>
    </row>
    <row r="488" spans="1:5" s="1997" customFormat="1">
      <c r="A488" s="3204"/>
      <c r="C488" s="3205"/>
      <c r="E488" s="3204"/>
    </row>
    <row r="489" spans="1:5" s="1997" customFormat="1">
      <c r="A489" s="3204"/>
      <c r="C489" s="3205"/>
      <c r="E489" s="3204"/>
    </row>
    <row r="490" spans="1:5" s="1997"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295" t="str">
        <f>项目基本情况!B1</f>
        <v>出让国有建设用地使用权抵押价格预评估</v>
      </c>
      <c r="C37" s="3295"/>
      <c r="D37" s="3295"/>
      <c r="E37" s="3295"/>
      <c r="F37" s="3295"/>
      <c r="G37" s="3295"/>
      <c r="H37" s="3295"/>
      <c r="I37" s="3295"/>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土地估价师、土地估价师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32" zoomScale="70" zoomScaleNormal="95" zoomScaleSheetLayoutView="70" workbookViewId="0">
      <selection activeCell="I48" sqref="I48:I49"/>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4"/>
      <c r="Q1" s="2014"/>
      <c r="R1" s="2014"/>
      <c r="S1" s="2014"/>
      <c r="T1" s="2014"/>
      <c r="U1" s="2014"/>
      <c r="V1" s="2014"/>
      <c r="W1" s="2014"/>
      <c r="X1" s="2014"/>
      <c r="Y1" s="2014"/>
      <c r="Z1" s="2014"/>
      <c r="AA1" s="2014"/>
      <c r="AB1" s="2014"/>
      <c r="AC1" s="3211"/>
      <c r="AD1" s="1288"/>
    </row>
    <row r="2" spans="1:30" s="1289" customFormat="1" ht="28.5" customHeight="1">
      <c r="A2" s="417" t="s">
        <v>461</v>
      </c>
      <c r="B2" s="502">
        <f>F68</f>
        <v>36845</v>
      </c>
      <c r="C2" s="3219"/>
      <c r="D2" s="3219"/>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c r="AD2" s="1288"/>
    </row>
    <row r="3" spans="1:30" s="1289" customFormat="1" ht="28.5" customHeight="1">
      <c r="A3" s="1330" t="s">
        <v>1675</v>
      </c>
      <c r="B3" s="504">
        <f>ROUND(B2*10000/'数据-汇总表'!E3,0)</f>
        <v>4141</v>
      </c>
      <c r="C3" s="3220"/>
      <c r="D3" s="3224"/>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3212"/>
      <c r="AC3" s="1944"/>
    </row>
    <row r="4" spans="1:30" s="1289" customFormat="1" ht="28.5" customHeight="1">
      <c r="A4" s="505" t="s">
        <v>514</v>
      </c>
      <c r="B4" s="421">
        <f>IF(B48="单位面积地价",C50,ROUND(B2*10000/'数据-汇总表'!D3,0))</f>
        <v>8182</v>
      </c>
      <c r="C4" s="3220"/>
      <c r="D4" s="3224"/>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545</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90" t="s">
        <v>516</v>
      </c>
      <c r="D6" s="3491"/>
      <c r="E6" s="3490" t="s">
        <v>517</v>
      </c>
      <c r="F6" s="3491"/>
      <c r="G6" s="3490" t="s">
        <v>518</v>
      </c>
      <c r="H6" s="3491"/>
      <c r="I6" s="3490" t="s">
        <v>519</v>
      </c>
      <c r="J6" s="3491"/>
      <c r="K6" s="508" t="s">
        <v>520</v>
      </c>
      <c r="L6" s="2015"/>
      <c r="M6" s="2014"/>
      <c r="N6" s="2014"/>
      <c r="O6" s="2016"/>
      <c r="P6" s="3492" t="s">
        <v>521</v>
      </c>
      <c r="Q6" s="3493"/>
      <c r="R6" s="3478" t="s">
        <v>517</v>
      </c>
      <c r="S6" s="3479"/>
      <c r="T6" s="3478" t="s">
        <v>518</v>
      </c>
      <c r="U6" s="3479"/>
      <c r="V6" s="3498" t="s">
        <v>519</v>
      </c>
      <c r="W6" s="3498"/>
      <c r="X6" s="1501"/>
      <c r="Y6" s="3478" t="s">
        <v>521</v>
      </c>
      <c r="Z6" s="3479"/>
      <c r="AA6" s="3473" t="s">
        <v>517</v>
      </c>
      <c r="AB6" s="3474" t="s">
        <v>518</v>
      </c>
      <c r="AC6" s="3473" t="s">
        <v>519</v>
      </c>
    </row>
    <row r="7" spans="1:30" ht="35.25" customHeight="1">
      <c r="A7" s="509"/>
      <c r="B7" s="510"/>
      <c r="C7" s="3501" t="s">
        <v>2897</v>
      </c>
      <c r="D7" s="3502"/>
      <c r="E7" s="3501" t="str">
        <f>土地案例!A21</f>
        <v>象山旧城区南街以西、新丰路以东、西街以南、建设路以北</v>
      </c>
      <c r="F7" s="3502"/>
      <c r="G7" s="3501" t="str">
        <f>土地案例!A22</f>
        <v>象山旧城区西街以南、新丰路以西、营门路以东</v>
      </c>
      <c r="H7" s="3502"/>
      <c r="I7" s="3501" t="str">
        <f>土地案例!A27</f>
        <v>象山港路与丹阳路交叉口西南角</v>
      </c>
      <c r="J7" s="3502"/>
      <c r="K7" s="508"/>
      <c r="L7" s="2015"/>
      <c r="M7" s="2014"/>
      <c r="N7" s="2014"/>
      <c r="O7" s="2016"/>
      <c r="P7" s="3494"/>
      <c r="Q7" s="3495"/>
      <c r="R7" s="3480"/>
      <c r="S7" s="3481"/>
      <c r="T7" s="3480"/>
      <c r="U7" s="3481"/>
      <c r="V7" s="3498"/>
      <c r="W7" s="3498"/>
      <c r="X7" s="1501"/>
      <c r="Y7" s="3480"/>
      <c r="Z7" s="3481"/>
      <c r="AA7" s="3474"/>
      <c r="AB7" s="3474"/>
      <c r="AC7" s="3474"/>
    </row>
    <row r="8" spans="1:30" ht="21" thickBot="1">
      <c r="A8" s="509"/>
      <c r="B8" s="510"/>
      <c r="C8" s="3503" t="s">
        <v>2901</v>
      </c>
      <c r="D8" s="3504"/>
      <c r="E8" s="3503" t="s">
        <v>2901</v>
      </c>
      <c r="F8" s="3504"/>
      <c r="G8" s="3499" t="s">
        <v>2901</v>
      </c>
      <c r="H8" s="3500"/>
      <c r="I8" s="3499" t="s">
        <v>2901</v>
      </c>
      <c r="J8" s="3500"/>
      <c r="K8" s="508" t="s">
        <v>522</v>
      </c>
      <c r="L8" s="2015"/>
      <c r="M8" s="2014"/>
      <c r="N8" s="2014"/>
      <c r="O8" s="2016"/>
      <c r="P8" s="3496"/>
      <c r="Q8" s="3497"/>
      <c r="R8" s="3480"/>
      <c r="S8" s="3481"/>
      <c r="T8" s="3482"/>
      <c r="U8" s="3483"/>
      <c r="V8" s="3498"/>
      <c r="W8" s="3498"/>
      <c r="X8" s="1501"/>
      <c r="Y8" s="3482"/>
      <c r="Z8" s="3483"/>
      <c r="AA8" s="3475"/>
      <c r="AB8" s="3475"/>
      <c r="AC8" s="3475"/>
    </row>
    <row r="9" spans="1:30" s="1202" customFormat="1" ht="21" thickBot="1">
      <c r="A9" s="2629"/>
      <c r="B9" s="2636" t="s">
        <v>523</v>
      </c>
      <c r="C9" s="2628">
        <f>'数据-取费表'!B2</f>
        <v>44385</v>
      </c>
      <c r="D9" s="514">
        <v>100</v>
      </c>
      <c r="E9" s="515" t="str">
        <f>土地案例!AB21</f>
        <v>2020-12-08</v>
      </c>
      <c r="F9" s="516">
        <f>SUMIF(72:72,YEAR(E9)&amp;"-"&amp;INT((MONTH(E9)+2)/3),73:73)</f>
        <v>97</v>
      </c>
      <c r="G9" s="517" t="str">
        <f>土地案例!AB22</f>
        <v>2020-12-08</v>
      </c>
      <c r="H9" s="514">
        <f>SUMIF(72:72,YEAR(G9)&amp;"-"&amp;INT((MONTH(G9)+2)/3),73:73)</f>
        <v>97</v>
      </c>
      <c r="I9" s="517" t="str">
        <f>土地案例!AB27</f>
        <v>2020-05-12</v>
      </c>
      <c r="J9" s="514">
        <f>SUMIF(72:72,YEAR(I9)&amp;"-"&amp;INT((MONTH(I9)+2)/3),73:73)</f>
        <v>95</v>
      </c>
      <c r="K9" s="518"/>
      <c r="L9" s="2017"/>
      <c r="M9" s="2014"/>
      <c r="N9" s="2014"/>
      <c r="O9" s="2018"/>
      <c r="P9" s="3476" t="s">
        <v>524</v>
      </c>
      <c r="Q9" s="3485"/>
      <c r="R9" s="1502" t="s">
        <v>8</v>
      </c>
      <c r="S9" s="1503">
        <f t="shared" ref="S9:S17" si="0">F9</f>
        <v>97</v>
      </c>
      <c r="T9" s="1502" t="s">
        <v>8</v>
      </c>
      <c r="U9" s="1503">
        <f t="shared" ref="U9:U17" si="1">H9</f>
        <v>97</v>
      </c>
      <c r="V9" s="1502" t="s">
        <v>8</v>
      </c>
      <c r="W9" s="1503">
        <f t="shared" ref="W9:W17" si="2">J9</f>
        <v>95</v>
      </c>
      <c r="X9" s="1504"/>
      <c r="Y9" s="3476" t="s">
        <v>524</v>
      </c>
      <c r="Z9" s="3477"/>
      <c r="AA9" s="1505">
        <f>D9/F9</f>
        <v>1.0309278350515463</v>
      </c>
      <c r="AB9" s="1505">
        <f>D9/H9</f>
        <v>1.0309278350515463</v>
      </c>
      <c r="AC9" s="1505">
        <f>D9/J9</f>
        <v>1.0526315789473684</v>
      </c>
    </row>
    <row r="10" spans="1:30" s="1202" customFormat="1" ht="21" thickBot="1">
      <c r="A10" s="2630"/>
      <c r="B10" s="2637" t="s">
        <v>525</v>
      </c>
      <c r="C10" s="845" t="s">
        <v>526</v>
      </c>
      <c r="D10" s="514">
        <v>100</v>
      </c>
      <c r="E10" s="519" t="s">
        <v>3365</v>
      </c>
      <c r="F10" s="516">
        <f>SUMIF(75:75,E10,76:76)-SUMIF(75:75,C10,76:76)+100</f>
        <v>100</v>
      </c>
      <c r="G10" s="519" t="s">
        <v>3365</v>
      </c>
      <c r="H10" s="514">
        <f>SUMIF(75:75,G10,76:76)-SUMIF(75:75,C10,76:76)+100</f>
        <v>100</v>
      </c>
      <c r="I10" s="519" t="s">
        <v>3365</v>
      </c>
      <c r="J10" s="514">
        <f>SUMIF(75:75,I10,76:76)-SUMIF(75:75,C10,76:76)+100</f>
        <v>100</v>
      </c>
      <c r="K10" s="518"/>
      <c r="L10" s="2017"/>
      <c r="M10" s="2014"/>
      <c r="N10" s="2014"/>
      <c r="O10" s="2018"/>
      <c r="P10" s="3476" t="s">
        <v>527</v>
      </c>
      <c r="Q10" s="3477"/>
      <c r="R10" s="1502" t="s">
        <v>8</v>
      </c>
      <c r="S10" s="1503">
        <f t="shared" si="0"/>
        <v>100</v>
      </c>
      <c r="T10" s="1502" t="s">
        <v>8</v>
      </c>
      <c r="U10" s="1503">
        <f t="shared" si="1"/>
        <v>100</v>
      </c>
      <c r="V10" s="1502" t="s">
        <v>8</v>
      </c>
      <c r="W10" s="1503">
        <f t="shared" si="2"/>
        <v>100</v>
      </c>
      <c r="X10" s="1504"/>
      <c r="Y10" s="3476" t="s">
        <v>527</v>
      </c>
      <c r="Z10" s="3477"/>
      <c r="AA10" s="1505">
        <f t="shared" ref="AA10:AA47" si="3">D10/F10</f>
        <v>1</v>
      </c>
      <c r="AB10" s="1505">
        <f t="shared" ref="AB10:AB47" si="4">D10/H10</f>
        <v>1</v>
      </c>
      <c r="AC10" s="1505">
        <f t="shared" ref="AC10:AC47" si="5">D10/J10</f>
        <v>1</v>
      </c>
    </row>
    <row r="11" spans="1:30" s="1202" customFormat="1" ht="20.25">
      <c r="A11" s="2631"/>
      <c r="B11" s="2638" t="s">
        <v>2736</v>
      </c>
      <c r="C11" s="2625" t="s">
        <v>914</v>
      </c>
      <c r="D11" s="252">
        <v>100</v>
      </c>
      <c r="E11" s="2625" t="s">
        <v>914</v>
      </c>
      <c r="F11" s="252">
        <f>SUMIF(77:77,E11,78:78)-SUMIF(77:77,C11,78:78)+100</f>
        <v>100</v>
      </c>
      <c r="G11" s="2625" t="s">
        <v>914</v>
      </c>
      <c r="H11" s="252">
        <f>SUMIF(77:77,G11,78:78)-SUMIF(77:77,C11,78:78)+100</f>
        <v>100</v>
      </c>
      <c r="I11" s="2625" t="s">
        <v>914</v>
      </c>
      <c r="J11" s="252">
        <f>SUMIF(77:77,I11,78:78)-SUMIF(77:77,C11,78:78)+100</f>
        <v>100</v>
      </c>
      <c r="K11" s="518"/>
      <c r="L11" s="2017"/>
      <c r="M11" s="2014"/>
      <c r="N11" s="2014"/>
      <c r="O11" s="2019"/>
      <c r="P11" s="3484" t="s">
        <v>529</v>
      </c>
      <c r="Q11" s="1133" t="str">
        <f t="shared" ref="Q11:Q17" si="6">B11</f>
        <v>用途</v>
      </c>
      <c r="R11" s="1502" t="s">
        <v>8</v>
      </c>
      <c r="S11" s="1503">
        <f t="shared" si="0"/>
        <v>100</v>
      </c>
      <c r="T11" s="1502" t="s">
        <v>8</v>
      </c>
      <c r="U11" s="1503">
        <f t="shared" si="1"/>
        <v>100</v>
      </c>
      <c r="V11" s="1502" t="s">
        <v>8</v>
      </c>
      <c r="W11" s="1503">
        <f t="shared" si="2"/>
        <v>100</v>
      </c>
      <c r="X11" s="1504"/>
      <c r="Y11" s="3435" t="s">
        <v>530</v>
      </c>
      <c r="Z11" s="1132" t="str">
        <f t="shared" ref="Z11:Z17" si="7">Q11</f>
        <v>用途</v>
      </c>
      <c r="AA11" s="1505">
        <f t="shared" si="3"/>
        <v>1</v>
      </c>
      <c r="AB11" s="1505">
        <f t="shared" si="4"/>
        <v>1</v>
      </c>
      <c r="AC11" s="1505">
        <f t="shared" si="5"/>
        <v>1</v>
      </c>
    </row>
    <row r="12" spans="1:30" s="1291" customFormat="1" ht="27">
      <c r="A12" s="2632"/>
      <c r="B12" s="2637" t="s">
        <v>2737</v>
      </c>
      <c r="C12" s="898"/>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484"/>
      <c r="Q12" s="1133" t="str">
        <f t="shared" si="6"/>
        <v>土地使用年限（年）</v>
      </c>
      <c r="R12" s="1502" t="s">
        <v>8</v>
      </c>
      <c r="S12" s="1503">
        <f t="shared" si="0"/>
        <v>100</v>
      </c>
      <c r="T12" s="1502" t="s">
        <v>8</v>
      </c>
      <c r="U12" s="1503">
        <f t="shared" si="1"/>
        <v>100</v>
      </c>
      <c r="V12" s="1502" t="s">
        <v>8</v>
      </c>
      <c r="W12" s="1503">
        <f t="shared" si="2"/>
        <v>100</v>
      </c>
      <c r="X12" s="1504"/>
      <c r="Y12" s="3435"/>
      <c r="Z12" s="1132" t="str">
        <f t="shared" si="7"/>
        <v>土地使用年限（年）</v>
      </c>
      <c r="AA12" s="1505">
        <f t="shared" si="3"/>
        <v>1</v>
      </c>
      <c r="AB12" s="1505">
        <f t="shared" si="4"/>
        <v>1</v>
      </c>
      <c r="AC12" s="1505">
        <f t="shared" si="5"/>
        <v>1</v>
      </c>
    </row>
    <row r="13" spans="1:30" ht="20.25">
      <c r="A13" s="2633"/>
      <c r="B13" s="2637" t="s">
        <v>2738</v>
      </c>
      <c r="C13" s="528">
        <f>'数据-汇总表'!I4</f>
        <v>1.51</v>
      </c>
      <c r="D13" s="253">
        <v>100</v>
      </c>
      <c r="E13" s="527">
        <v>1.4</v>
      </c>
      <c r="F13" s="253">
        <f>LOOKUP(E13,82:82,83:83)-LOOKUP(C13,82:82,83:83)+100</f>
        <v>100</v>
      </c>
      <c r="G13" s="528">
        <v>1.5</v>
      </c>
      <c r="H13" s="253">
        <f>LOOKUP(G13,82:82,83:83)-LOOKUP(C13,82:82,83:83)+100</f>
        <v>100</v>
      </c>
      <c r="I13" s="527">
        <v>1.5</v>
      </c>
      <c r="J13" s="253">
        <f>LOOKUP(I13,82:82,83:83)-LOOKUP(C13,82:82,83:83)+100</f>
        <v>100</v>
      </c>
      <c r="K13" s="529">
        <v>1</v>
      </c>
      <c r="L13" s="2022"/>
      <c r="M13" s="2014"/>
      <c r="N13" s="2014"/>
      <c r="O13" s="2023"/>
      <c r="P13" s="3484"/>
      <c r="Q13" s="1133" t="str">
        <f t="shared" si="6"/>
        <v>容积率</v>
      </c>
      <c r="R13" s="1502" t="s">
        <v>8</v>
      </c>
      <c r="S13" s="1503">
        <f t="shared" si="0"/>
        <v>100</v>
      </c>
      <c r="T13" s="1502" t="s">
        <v>8</v>
      </c>
      <c r="U13" s="1503">
        <f t="shared" si="1"/>
        <v>100</v>
      </c>
      <c r="V13" s="1502" t="s">
        <v>8</v>
      </c>
      <c r="W13" s="1503">
        <f t="shared" si="2"/>
        <v>100</v>
      </c>
      <c r="X13" s="1504"/>
      <c r="Y13" s="3435"/>
      <c r="Z13" s="1132" t="str">
        <f t="shared" si="7"/>
        <v>容积率</v>
      </c>
      <c r="AA13" s="1505">
        <f t="shared" si="3"/>
        <v>1</v>
      </c>
      <c r="AB13" s="1505">
        <f t="shared" si="4"/>
        <v>1</v>
      </c>
      <c r="AC13" s="1505">
        <f t="shared" si="5"/>
        <v>1</v>
      </c>
    </row>
    <row r="14" spans="1:30" s="1202" customFormat="1" ht="21" thickBot="1">
      <c r="A14" s="2630"/>
      <c r="B14" s="2639" t="s">
        <v>2739</v>
      </c>
      <c r="C14" s="2626" t="s">
        <v>3368</v>
      </c>
      <c r="D14" s="532">
        <v>100</v>
      </c>
      <c r="E14" s="1325" t="s">
        <v>3369</v>
      </c>
      <c r="F14" s="253">
        <f>SUMIF(84:84,E14,85:85)-SUMIF(84:84,C14,85:85)+100</f>
        <v>102</v>
      </c>
      <c r="G14" s="3290" t="s">
        <v>3369</v>
      </c>
      <c r="H14" s="253">
        <f>SUMIF(84:84,G14,85:85)-SUMIF(84:84,C14,85:85)+100</f>
        <v>102</v>
      </c>
      <c r="I14" s="3291" t="s">
        <v>3369</v>
      </c>
      <c r="J14" s="253">
        <f>SUMIF(84:84,I14,85:85)-SUMIF(84:84,C14,85:85)+100</f>
        <v>102</v>
      </c>
      <c r="K14" s="525"/>
      <c r="L14" s="2017"/>
      <c r="M14" s="2014"/>
      <c r="N14" s="2014"/>
      <c r="O14" s="2019"/>
      <c r="P14" s="3484"/>
      <c r="Q14" s="1133" t="str">
        <f t="shared" si="6"/>
        <v>配建</v>
      </c>
      <c r="R14" s="1502" t="s">
        <v>8</v>
      </c>
      <c r="S14" s="1503">
        <f t="shared" si="0"/>
        <v>102</v>
      </c>
      <c r="T14" s="1502" t="s">
        <v>8</v>
      </c>
      <c r="U14" s="1503">
        <f t="shared" si="1"/>
        <v>102</v>
      </c>
      <c r="V14" s="1502" t="s">
        <v>8</v>
      </c>
      <c r="W14" s="1503">
        <f t="shared" si="2"/>
        <v>102</v>
      </c>
      <c r="X14" s="1504"/>
      <c r="Y14" s="3435"/>
      <c r="Z14" s="1132" t="str">
        <f t="shared" si="7"/>
        <v>配建</v>
      </c>
      <c r="AA14" s="1505">
        <f>D14/F14</f>
        <v>0.98039215686274506</v>
      </c>
      <c r="AB14" s="1505">
        <f>D14/H14</f>
        <v>0.98039215686274506</v>
      </c>
      <c r="AC14" s="1505">
        <f>D14/J14</f>
        <v>0.98039215686274506</v>
      </c>
    </row>
    <row r="15" spans="1:30" ht="20.25" hidden="1">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84"/>
      <c r="Q15" s="1133">
        <f t="shared" si="6"/>
        <v>111</v>
      </c>
      <c r="R15" s="1502" t="s">
        <v>8</v>
      </c>
      <c r="S15" s="1503">
        <f t="shared" si="0"/>
        <v>100</v>
      </c>
      <c r="T15" s="1502" t="s">
        <v>8</v>
      </c>
      <c r="U15" s="1503">
        <f t="shared" si="1"/>
        <v>100</v>
      </c>
      <c r="V15" s="1502" t="s">
        <v>8</v>
      </c>
      <c r="W15" s="1503">
        <f t="shared" si="2"/>
        <v>100</v>
      </c>
      <c r="X15" s="1504"/>
      <c r="Y15" s="3435"/>
      <c r="Z15" s="1132">
        <f t="shared" si="7"/>
        <v>111</v>
      </c>
      <c r="AA15" s="1505">
        <f>D15/F15</f>
        <v>1</v>
      </c>
      <c r="AB15" s="1505">
        <f>D15/H15</f>
        <v>1</v>
      </c>
      <c r="AC15" s="1505">
        <f>D15/J15</f>
        <v>1</v>
      </c>
    </row>
    <row r="16" spans="1:30" ht="21" hidden="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84"/>
      <c r="Q16" s="1133">
        <f t="shared" si="6"/>
        <v>111</v>
      </c>
      <c r="R16" s="1502" t="s">
        <v>8</v>
      </c>
      <c r="S16" s="1503">
        <f t="shared" si="0"/>
        <v>100</v>
      </c>
      <c r="T16" s="1502" t="s">
        <v>8</v>
      </c>
      <c r="U16" s="1503">
        <f t="shared" si="1"/>
        <v>100</v>
      </c>
      <c r="V16" s="1502" t="s">
        <v>8</v>
      </c>
      <c r="W16" s="1503">
        <f t="shared" si="2"/>
        <v>100</v>
      </c>
      <c r="X16" s="1504"/>
      <c r="Y16" s="3435"/>
      <c r="Z16" s="1132">
        <f t="shared" si="7"/>
        <v>111</v>
      </c>
      <c r="AA16" s="1505">
        <f>D16/F16</f>
        <v>1</v>
      </c>
      <c r="AB16" s="1505">
        <f>D16/H16</f>
        <v>1</v>
      </c>
      <c r="AC16" s="1505">
        <f>D16/J16</f>
        <v>1</v>
      </c>
    </row>
    <row r="17" spans="1:29" ht="99.75">
      <c r="A17" s="2627"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2</v>
      </c>
      <c r="L17" s="2024"/>
      <c r="M17" s="2014"/>
      <c r="N17" s="2014"/>
      <c r="O17" s="2023"/>
      <c r="P17" s="3486" t="s">
        <v>534</v>
      </c>
      <c r="Q17" s="1506" t="str">
        <f t="shared" si="6"/>
        <v>居住社区成熟度</v>
      </c>
      <c r="R17" s="1507" t="s">
        <v>8</v>
      </c>
      <c r="S17" s="1508">
        <f t="shared" si="0"/>
        <v>100</v>
      </c>
      <c r="T17" s="1507" t="s">
        <v>8</v>
      </c>
      <c r="U17" s="1508">
        <f t="shared" si="1"/>
        <v>100</v>
      </c>
      <c r="V17" s="1507" t="s">
        <v>8</v>
      </c>
      <c r="W17" s="1508">
        <f t="shared" si="2"/>
        <v>100</v>
      </c>
      <c r="X17" s="1501"/>
      <c r="Y17" s="3486" t="s">
        <v>534</v>
      </c>
      <c r="Z17" s="1509" t="str">
        <f t="shared" si="7"/>
        <v>居住社区成熟度</v>
      </c>
      <c r="AA17" s="1510">
        <f t="shared" si="3"/>
        <v>1</v>
      </c>
      <c r="AB17" s="1510">
        <f t="shared" si="4"/>
        <v>1</v>
      </c>
      <c r="AC17" s="1510">
        <f t="shared" si="5"/>
        <v>1</v>
      </c>
    </row>
    <row r="18" spans="1:29" ht="20.25">
      <c r="A18" s="526"/>
      <c r="B18" s="547"/>
      <c r="C18" s="548" t="s">
        <v>3377</v>
      </c>
      <c r="D18" s="551"/>
      <c r="E18" s="548" t="s">
        <v>3377</v>
      </c>
      <c r="F18" s="549"/>
      <c r="G18" s="548" t="s">
        <v>3377</v>
      </c>
      <c r="H18" s="553"/>
      <c r="I18" s="548" t="s">
        <v>3377</v>
      </c>
      <c r="J18" s="549"/>
      <c r="K18" s="525"/>
      <c r="L18" s="2024"/>
      <c r="M18" s="2014"/>
      <c r="N18" s="2014"/>
      <c r="O18" s="2023"/>
      <c r="P18" s="3487"/>
      <c r="Q18" s="1506"/>
      <c r="R18" s="1507"/>
      <c r="S18" s="1508"/>
      <c r="T18" s="1507"/>
      <c r="U18" s="1508"/>
      <c r="V18" s="1507"/>
      <c r="W18" s="1508"/>
      <c r="X18" s="1501"/>
      <c r="Y18" s="3487"/>
      <c r="Z18" s="1509"/>
      <c r="AA18" s="1510">
        <v>1</v>
      </c>
      <c r="AB18" s="1510">
        <v>1</v>
      </c>
      <c r="AC18" s="1510">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87"/>
      <c r="Q19" s="1506" t="str">
        <f>B19</f>
        <v>商业繁华度</v>
      </c>
      <c r="R19" s="1507" t="s">
        <v>8</v>
      </c>
      <c r="S19" s="1508">
        <f>F19</f>
        <v>100</v>
      </c>
      <c r="T19" s="1507" t="s">
        <v>8</v>
      </c>
      <c r="U19" s="1508">
        <f>H19</f>
        <v>100</v>
      </c>
      <c r="V19" s="1507" t="s">
        <v>8</v>
      </c>
      <c r="W19" s="1508">
        <f>J19</f>
        <v>100</v>
      </c>
      <c r="X19" s="1501"/>
      <c r="Y19" s="3487"/>
      <c r="Z19" s="1509" t="str">
        <f>Q19</f>
        <v>商业繁华度</v>
      </c>
      <c r="AA19" s="1510">
        <f t="shared" si="3"/>
        <v>1</v>
      </c>
      <c r="AB19" s="1510">
        <f t="shared" si="4"/>
        <v>1</v>
      </c>
      <c r="AC19" s="1510">
        <f t="shared" si="5"/>
        <v>1</v>
      </c>
    </row>
    <row r="20" spans="1:29" ht="20.25" hidden="1">
      <c r="A20" s="526"/>
      <c r="B20" s="560"/>
      <c r="C20" s="561"/>
      <c r="D20" s="557"/>
      <c r="E20" s="563"/>
      <c r="F20" s="553"/>
      <c r="G20" s="562"/>
      <c r="H20" s="549"/>
      <c r="I20" s="563"/>
      <c r="J20" s="549"/>
      <c r="K20" s="525"/>
      <c r="L20" s="2024"/>
      <c r="M20" s="2014"/>
      <c r="N20" s="2014"/>
      <c r="O20" s="2023"/>
      <c r="P20" s="3487"/>
      <c r="Q20" s="1506"/>
      <c r="R20" s="1507"/>
      <c r="S20" s="1508"/>
      <c r="T20" s="1507"/>
      <c r="U20" s="1508"/>
      <c r="V20" s="1507"/>
      <c r="W20" s="1508"/>
      <c r="X20" s="1501"/>
      <c r="Y20" s="3487"/>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87"/>
      <c r="Q21" s="1506" t="str">
        <f>B21</f>
        <v>办公集聚程度</v>
      </c>
      <c r="R21" s="1507" t="s">
        <v>8</v>
      </c>
      <c r="S21" s="1508">
        <f>F21</f>
        <v>100</v>
      </c>
      <c r="T21" s="1507" t="s">
        <v>8</v>
      </c>
      <c r="U21" s="1508">
        <f>H21</f>
        <v>100</v>
      </c>
      <c r="V21" s="1507" t="s">
        <v>8</v>
      </c>
      <c r="W21" s="1508">
        <f>J21</f>
        <v>100</v>
      </c>
      <c r="X21" s="1501"/>
      <c r="Y21" s="3487"/>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4"/>
      <c r="M22" s="2014"/>
      <c r="N22" s="2014"/>
      <c r="O22" s="2023"/>
      <c r="P22" s="3487"/>
      <c r="Q22" s="1506"/>
      <c r="R22" s="1507"/>
      <c r="S22" s="1508"/>
      <c r="T22" s="1507"/>
      <c r="U22" s="1508"/>
      <c r="V22" s="1507"/>
      <c r="W22" s="1508"/>
      <c r="X22" s="1501"/>
      <c r="Y22" s="3487"/>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2</v>
      </c>
      <c r="L23" s="2024"/>
      <c r="M23" s="2014"/>
      <c r="N23" s="2014"/>
      <c r="O23" s="2023"/>
      <c r="P23" s="3487"/>
      <c r="Q23" s="1506" t="str">
        <f>B23</f>
        <v>交通便捷度</v>
      </c>
      <c r="R23" s="1507" t="s">
        <v>8</v>
      </c>
      <c r="S23" s="1508">
        <f>F23</f>
        <v>100</v>
      </c>
      <c r="T23" s="1507" t="s">
        <v>8</v>
      </c>
      <c r="U23" s="1508">
        <f>H23</f>
        <v>100</v>
      </c>
      <c r="V23" s="1507" t="s">
        <v>8</v>
      </c>
      <c r="W23" s="1508">
        <f>J23</f>
        <v>100</v>
      </c>
      <c r="X23" s="1501"/>
      <c r="Y23" s="3487"/>
      <c r="Z23" s="1509" t="str">
        <f>Q23</f>
        <v>交通便捷度</v>
      </c>
      <c r="AA23" s="1510">
        <f t="shared" si="3"/>
        <v>1</v>
      </c>
      <c r="AB23" s="1510">
        <f t="shared" si="4"/>
        <v>1</v>
      </c>
      <c r="AC23" s="1510">
        <f t="shared" si="5"/>
        <v>1</v>
      </c>
    </row>
    <row r="24" spans="1:29" ht="20.25">
      <c r="A24" s="526"/>
      <c r="B24" s="572"/>
      <c r="C24" s="548" t="s">
        <v>3377</v>
      </c>
      <c r="D24" s="551"/>
      <c r="E24" s="548" t="s">
        <v>3377</v>
      </c>
      <c r="F24" s="549"/>
      <c r="G24" s="548" t="s">
        <v>3377</v>
      </c>
      <c r="H24" s="549"/>
      <c r="I24" s="548" t="s">
        <v>3377</v>
      </c>
      <c r="J24" s="549"/>
      <c r="K24" s="525"/>
      <c r="L24" s="2024"/>
      <c r="M24" s="2014"/>
      <c r="N24" s="2014"/>
      <c r="O24" s="2023"/>
      <c r="P24" s="3487"/>
      <c r="Q24" s="1506"/>
      <c r="R24" s="1507"/>
      <c r="S24" s="1508"/>
      <c r="T24" s="1507"/>
      <c r="U24" s="1508"/>
      <c r="V24" s="1507"/>
      <c r="W24" s="1508"/>
      <c r="X24" s="1501"/>
      <c r="Y24" s="3487"/>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1</v>
      </c>
      <c r="L25" s="2024"/>
      <c r="M25" s="2014"/>
      <c r="N25" s="2014"/>
      <c r="O25" s="2023"/>
      <c r="P25" s="3487"/>
      <c r="Q25" s="1506" t="str">
        <f t="shared" ref="Q25:Q39" si="8">B25</f>
        <v>区域土地利用方向</v>
      </c>
      <c r="R25" s="1507" t="s">
        <v>8</v>
      </c>
      <c r="S25" s="1508">
        <f>F25</f>
        <v>100</v>
      </c>
      <c r="T25" s="1507" t="s">
        <v>8</v>
      </c>
      <c r="U25" s="1508">
        <f>H25</f>
        <v>100</v>
      </c>
      <c r="V25" s="1507" t="s">
        <v>8</v>
      </c>
      <c r="W25" s="1508">
        <f>J25</f>
        <v>100</v>
      </c>
      <c r="X25" s="1501"/>
      <c r="Y25" s="3487"/>
      <c r="Z25" s="1509" t="str">
        <f>Q25</f>
        <v>区域土地利用方向</v>
      </c>
      <c r="AA25" s="1510">
        <f t="shared" si="3"/>
        <v>1</v>
      </c>
      <c r="AB25" s="1510">
        <f t="shared" si="4"/>
        <v>1</v>
      </c>
      <c r="AC25" s="1510">
        <f t="shared" si="5"/>
        <v>1</v>
      </c>
    </row>
    <row r="26" spans="1:29" ht="20.25">
      <c r="A26" s="509"/>
      <c r="B26" s="993"/>
      <c r="C26" s="548" t="s">
        <v>3377</v>
      </c>
      <c r="D26" s="551"/>
      <c r="E26" s="548" t="s">
        <v>3377</v>
      </c>
      <c r="F26" s="549"/>
      <c r="G26" s="548" t="s">
        <v>3377</v>
      </c>
      <c r="H26" s="549"/>
      <c r="I26" s="548" t="s">
        <v>3377</v>
      </c>
      <c r="J26" s="549"/>
      <c r="K26" s="525"/>
      <c r="L26" s="2024"/>
      <c r="M26" s="2014"/>
      <c r="N26" s="2014"/>
      <c r="O26" s="2023"/>
      <c r="P26" s="3487"/>
      <c r="Q26" s="1506"/>
      <c r="R26" s="1507"/>
      <c r="S26" s="1508"/>
      <c r="T26" s="1507"/>
      <c r="U26" s="1508"/>
      <c r="V26" s="1507"/>
      <c r="W26" s="1508"/>
      <c r="X26" s="1501"/>
      <c r="Y26" s="3487"/>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4"/>
      <c r="M27" s="2014"/>
      <c r="N27" s="2014"/>
      <c r="O27" s="2023"/>
      <c r="P27" s="3487"/>
      <c r="Q27" s="1506" t="str">
        <f t="shared" si="8"/>
        <v>自然及人文环境状况</v>
      </c>
      <c r="R27" s="1507" t="s">
        <v>8</v>
      </c>
      <c r="S27" s="1508">
        <f>F27</f>
        <v>100</v>
      </c>
      <c r="T27" s="1507" t="s">
        <v>8</v>
      </c>
      <c r="U27" s="1508">
        <f>H27</f>
        <v>100</v>
      </c>
      <c r="V27" s="1507" t="s">
        <v>8</v>
      </c>
      <c r="W27" s="1508">
        <f>J27</f>
        <v>100</v>
      </c>
      <c r="X27" s="1501"/>
      <c r="Y27" s="3487"/>
      <c r="Z27" s="1509" t="str">
        <f>Q27</f>
        <v>自然及人文环境状况</v>
      </c>
      <c r="AA27" s="1510">
        <f t="shared" si="3"/>
        <v>1</v>
      </c>
      <c r="AB27" s="1510">
        <f t="shared" si="4"/>
        <v>1</v>
      </c>
      <c r="AC27" s="1510">
        <f t="shared" si="5"/>
        <v>1</v>
      </c>
    </row>
    <row r="28" spans="1:29" ht="20.25">
      <c r="A28" s="509"/>
      <c r="B28" s="560"/>
      <c r="C28" s="548" t="s">
        <v>3393</v>
      </c>
      <c r="D28" s="551"/>
      <c r="E28" s="548" t="s">
        <v>3393</v>
      </c>
      <c r="F28" s="549"/>
      <c r="G28" s="548" t="s">
        <v>3393</v>
      </c>
      <c r="H28" s="549"/>
      <c r="I28" s="548" t="s">
        <v>3393</v>
      </c>
      <c r="J28" s="549"/>
      <c r="K28" s="525"/>
      <c r="L28" s="2024"/>
      <c r="M28" s="2014"/>
      <c r="N28" s="2014"/>
      <c r="O28" s="2023"/>
      <c r="P28" s="3487"/>
      <c r="Q28" s="1506"/>
      <c r="R28" s="1507"/>
      <c r="S28" s="1508"/>
      <c r="T28" s="1507"/>
      <c r="U28" s="1508"/>
      <c r="V28" s="1507"/>
      <c r="W28" s="1508"/>
      <c r="X28" s="1501"/>
      <c r="Y28" s="3487"/>
      <c r="Z28" s="1509"/>
      <c r="AA28" s="1510">
        <v>1</v>
      </c>
      <c r="AB28" s="1510">
        <v>1</v>
      </c>
      <c r="AC28" s="1510">
        <v>1</v>
      </c>
    </row>
    <row r="29" spans="1:29" s="1202" customFormat="1" ht="42.75">
      <c r="A29" s="571"/>
      <c r="B29" s="2435"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7"/>
      <c r="M29" s="2014"/>
      <c r="N29" s="2014"/>
      <c r="O29" s="2019"/>
      <c r="P29" s="3487"/>
      <c r="Q29" s="1133" t="str">
        <f t="shared" si="8"/>
        <v>公共配套设施</v>
      </c>
      <c r="R29" s="1502" t="s">
        <v>8</v>
      </c>
      <c r="S29" s="1503">
        <f>F29</f>
        <v>100</v>
      </c>
      <c r="T29" s="1502" t="s">
        <v>8</v>
      </c>
      <c r="U29" s="1503">
        <f>H29</f>
        <v>100</v>
      </c>
      <c r="V29" s="1502" t="s">
        <v>8</v>
      </c>
      <c r="W29" s="1503">
        <f>J29</f>
        <v>100</v>
      </c>
      <c r="X29" s="1504"/>
      <c r="Y29" s="3487"/>
      <c r="Z29" s="1132" t="str">
        <f>Q29</f>
        <v>公共配套设施</v>
      </c>
      <c r="AA29" s="1510">
        <f>D29/F29</f>
        <v>1</v>
      </c>
      <c r="AB29" s="1510">
        <f>D29/H29</f>
        <v>1</v>
      </c>
      <c r="AC29" s="1510">
        <f>D29/J29</f>
        <v>1</v>
      </c>
    </row>
    <row r="30" spans="1:29" s="1202" customFormat="1" ht="20.25">
      <c r="A30" s="571"/>
      <c r="B30" s="560"/>
      <c r="C30" s="573" t="s">
        <v>3377</v>
      </c>
      <c r="D30" s="551"/>
      <c r="E30" s="573" t="s">
        <v>3377</v>
      </c>
      <c r="F30" s="549"/>
      <c r="G30" s="573" t="s">
        <v>3377</v>
      </c>
      <c r="H30" s="549"/>
      <c r="I30" s="573" t="s">
        <v>3377</v>
      </c>
      <c r="J30" s="549"/>
      <c r="K30" s="525"/>
      <c r="L30" s="2017"/>
      <c r="M30" s="2014"/>
      <c r="N30" s="2014"/>
      <c r="O30" s="2019"/>
      <c r="P30" s="3487"/>
      <c r="Q30" s="1133"/>
      <c r="R30" s="1502"/>
      <c r="S30" s="1503"/>
      <c r="T30" s="1502"/>
      <c r="U30" s="1503"/>
      <c r="V30" s="1502"/>
      <c r="W30" s="1503"/>
      <c r="X30" s="1504"/>
      <c r="Y30" s="3487"/>
      <c r="Z30" s="1132"/>
      <c r="AA30" s="1510">
        <v>1</v>
      </c>
      <c r="AB30" s="1510">
        <v>1</v>
      </c>
      <c r="AC30" s="1510">
        <v>1</v>
      </c>
    </row>
    <row r="31" spans="1:29" s="1202" customFormat="1" ht="28.5">
      <c r="A31" s="571"/>
      <c r="B31" s="2435"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7"/>
      <c r="M31" s="2014"/>
      <c r="N31" s="2014"/>
      <c r="O31" s="2019"/>
      <c r="P31" s="3487"/>
      <c r="Q31" s="2428" t="str">
        <f t="shared" ref="Q31" si="9">B31</f>
        <v>基础设施水平</v>
      </c>
      <c r="R31" s="1502" t="s">
        <v>8</v>
      </c>
      <c r="S31" s="1503">
        <f>F31</f>
        <v>100</v>
      </c>
      <c r="T31" s="1502" t="s">
        <v>8</v>
      </c>
      <c r="U31" s="1503">
        <f>H31</f>
        <v>100</v>
      </c>
      <c r="V31" s="1502" t="s">
        <v>8</v>
      </c>
      <c r="W31" s="1503">
        <f>J31</f>
        <v>100</v>
      </c>
      <c r="X31" s="1504"/>
      <c r="Y31" s="3487"/>
      <c r="Z31" s="2427" t="str">
        <f>Q31</f>
        <v>基础设施水平</v>
      </c>
      <c r="AA31" s="1510">
        <f>D31/F31</f>
        <v>1</v>
      </c>
      <c r="AB31" s="1510">
        <f>D31/H31</f>
        <v>1</v>
      </c>
      <c r="AC31" s="1510">
        <f>D31/J31</f>
        <v>1</v>
      </c>
    </row>
    <row r="32" spans="1:29" s="1202" customFormat="1" ht="21" thickBot="1">
      <c r="A32" s="571"/>
      <c r="B32" s="560"/>
      <c r="C32" s="573" t="s">
        <v>3394</v>
      </c>
      <c r="D32" s="551"/>
      <c r="E32" s="573" t="s">
        <v>3394</v>
      </c>
      <c r="F32" s="549"/>
      <c r="G32" s="573" t="s">
        <v>3394</v>
      </c>
      <c r="H32" s="549"/>
      <c r="I32" s="573" t="s">
        <v>3394</v>
      </c>
      <c r="J32" s="549"/>
      <c r="K32" s="525"/>
      <c r="L32" s="2017"/>
      <c r="M32" s="2014"/>
      <c r="N32" s="2014"/>
      <c r="O32" s="2019"/>
      <c r="P32" s="3487"/>
      <c r="Q32" s="2428"/>
      <c r="R32" s="1502"/>
      <c r="S32" s="1503"/>
      <c r="T32" s="1502"/>
      <c r="U32" s="1503"/>
      <c r="V32" s="1502"/>
      <c r="W32" s="1503"/>
      <c r="X32" s="1504"/>
      <c r="Y32" s="3487"/>
      <c r="Z32" s="2427"/>
      <c r="AA32" s="1510">
        <v>1</v>
      </c>
      <c r="AB32" s="1510">
        <v>1</v>
      </c>
      <c r="AC32" s="1510">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87"/>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487"/>
      <c r="Z33" s="1509" t="str">
        <f t="shared" ref="Z33:Z47" si="13">Q33</f>
        <v>临街状况</v>
      </c>
      <c r="AA33" s="1510">
        <f t="shared" si="3"/>
        <v>1</v>
      </c>
      <c r="AB33" s="1510">
        <f t="shared" si="4"/>
        <v>1</v>
      </c>
      <c r="AC33" s="1510">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87"/>
      <c r="Q34" s="1506" t="str">
        <f t="shared" si="8"/>
        <v>毗邻道路的类型与等级</v>
      </c>
      <c r="R34" s="1507" t="s">
        <v>8</v>
      </c>
      <c r="S34" s="1508">
        <f t="shared" si="10"/>
        <v>100</v>
      </c>
      <c r="T34" s="1507" t="s">
        <v>8</v>
      </c>
      <c r="U34" s="1508">
        <f t="shared" si="11"/>
        <v>100</v>
      </c>
      <c r="V34" s="1507" t="s">
        <v>8</v>
      </c>
      <c r="W34" s="1508">
        <f t="shared" si="12"/>
        <v>100</v>
      </c>
      <c r="X34" s="1501"/>
      <c r="Y34" s="3487"/>
      <c r="Z34" s="1509" t="str">
        <f t="shared" si="13"/>
        <v>毗邻道路的类型与等级</v>
      </c>
      <c r="AA34" s="1510">
        <f t="shared" si="3"/>
        <v>1</v>
      </c>
      <c r="AB34" s="1510">
        <f t="shared" si="4"/>
        <v>1</v>
      </c>
      <c r="AC34" s="1510">
        <f t="shared" si="5"/>
        <v>1</v>
      </c>
    </row>
    <row r="35" spans="1:29" ht="21" hidden="1" thickBot="1">
      <c r="A35" s="526"/>
      <c r="B35" s="560"/>
      <c r="C35" s="548"/>
      <c r="D35" s="551"/>
      <c r="E35" s="570"/>
      <c r="F35" s="549"/>
      <c r="G35" s="548"/>
      <c r="H35" s="549"/>
      <c r="I35" s="570"/>
      <c r="J35" s="549"/>
      <c r="K35" s="575"/>
      <c r="L35" s="2024"/>
      <c r="M35" s="2014"/>
      <c r="N35" s="2014"/>
      <c r="O35" s="2023"/>
      <c r="P35" s="3487"/>
      <c r="Q35" s="1506"/>
      <c r="R35" s="1507"/>
      <c r="S35" s="1508"/>
      <c r="T35" s="1507"/>
      <c r="U35" s="1508"/>
      <c r="V35" s="1507"/>
      <c r="W35" s="1508"/>
      <c r="X35" s="1501"/>
      <c r="Y35" s="3487"/>
      <c r="Z35" s="1509"/>
      <c r="AA35" s="1510">
        <v>1</v>
      </c>
      <c r="AB35" s="1510">
        <v>1</v>
      </c>
      <c r="AC35" s="1510">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87"/>
      <c r="Q36" s="1506" t="str">
        <f t="shared" si="8"/>
        <v>土地级别</v>
      </c>
      <c r="R36" s="1507" t="s">
        <v>8</v>
      </c>
      <c r="S36" s="1508">
        <f t="shared" si="10"/>
        <v>100</v>
      </c>
      <c r="T36" s="1507" t="s">
        <v>8</v>
      </c>
      <c r="U36" s="1508">
        <f t="shared" si="11"/>
        <v>100</v>
      </c>
      <c r="V36" s="1507" t="s">
        <v>8</v>
      </c>
      <c r="W36" s="1508">
        <f t="shared" si="12"/>
        <v>100</v>
      </c>
      <c r="X36" s="1501"/>
      <c r="Y36" s="3487"/>
      <c r="Z36" s="1509" t="str">
        <f t="shared" si="13"/>
        <v>土地级别</v>
      </c>
      <c r="AA36" s="1510">
        <f t="shared" si="3"/>
        <v>1</v>
      </c>
      <c r="AB36" s="1510">
        <f t="shared" si="4"/>
        <v>1</v>
      </c>
      <c r="AC36" s="1510">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87"/>
      <c r="Q37" s="1506">
        <f t="shared" si="8"/>
        <v>111</v>
      </c>
      <c r="R37" s="1507" t="s">
        <v>8</v>
      </c>
      <c r="S37" s="1508">
        <f t="shared" si="10"/>
        <v>100</v>
      </c>
      <c r="T37" s="1507" t="s">
        <v>8</v>
      </c>
      <c r="U37" s="1508">
        <f t="shared" si="11"/>
        <v>100</v>
      </c>
      <c r="V37" s="1507" t="s">
        <v>8</v>
      </c>
      <c r="W37" s="1508">
        <f t="shared" si="12"/>
        <v>100</v>
      </c>
      <c r="X37" s="1501"/>
      <c r="Y37" s="3487"/>
      <c r="Z37" s="1509">
        <f t="shared" si="13"/>
        <v>111</v>
      </c>
      <c r="AA37" s="1510">
        <f t="shared" si="3"/>
        <v>1</v>
      </c>
      <c r="AB37" s="1510">
        <f t="shared" si="4"/>
        <v>1</v>
      </c>
      <c r="AC37" s="1510">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88" t="s">
        <v>544</v>
      </c>
      <c r="Q38" s="1506">
        <f t="shared" si="8"/>
        <v>111</v>
      </c>
      <c r="R38" s="1507" t="s">
        <v>8</v>
      </c>
      <c r="S38" s="1508">
        <f t="shared" si="10"/>
        <v>100</v>
      </c>
      <c r="T38" s="1507" t="s">
        <v>8</v>
      </c>
      <c r="U38" s="1508">
        <f t="shared" si="11"/>
        <v>100</v>
      </c>
      <c r="V38" s="1507" t="s">
        <v>8</v>
      </c>
      <c r="W38" s="1508">
        <f t="shared" si="12"/>
        <v>100</v>
      </c>
      <c r="X38" s="1501"/>
      <c r="Y38" s="3489" t="s">
        <v>544</v>
      </c>
      <c r="Z38" s="1509">
        <f t="shared" si="13"/>
        <v>111</v>
      </c>
      <c r="AA38" s="1510">
        <f t="shared" si="3"/>
        <v>1</v>
      </c>
      <c r="AB38" s="1510">
        <f t="shared" si="4"/>
        <v>1</v>
      </c>
      <c r="AC38" s="1510">
        <f t="shared" si="5"/>
        <v>1</v>
      </c>
    </row>
    <row r="39" spans="1:29" s="1292"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89"/>
      <c r="Q39" s="1506">
        <f t="shared" si="8"/>
        <v>111</v>
      </c>
      <c r="R39" s="1511" t="s">
        <v>8</v>
      </c>
      <c r="S39" s="1512">
        <f t="shared" si="10"/>
        <v>100</v>
      </c>
      <c r="T39" s="1511" t="s">
        <v>8</v>
      </c>
      <c r="U39" s="1512">
        <f t="shared" si="11"/>
        <v>100</v>
      </c>
      <c r="V39" s="1511" t="s">
        <v>8</v>
      </c>
      <c r="W39" s="1512">
        <f t="shared" si="12"/>
        <v>100</v>
      </c>
      <c r="X39" s="1513"/>
      <c r="Y39" s="3489"/>
      <c r="Z39" s="1514">
        <f t="shared" si="13"/>
        <v>111</v>
      </c>
      <c r="AA39" s="1510">
        <f t="shared" si="3"/>
        <v>1</v>
      </c>
      <c r="AB39" s="1510">
        <f t="shared" si="4"/>
        <v>1</v>
      </c>
      <c r="AC39" s="1510">
        <f t="shared" si="5"/>
        <v>1</v>
      </c>
    </row>
    <row r="40" spans="1:29" ht="20.25">
      <c r="A40" s="2624" t="s">
        <v>2735</v>
      </c>
      <c r="B40" s="589" t="s">
        <v>546</v>
      </c>
      <c r="C40" s="590">
        <f>'数据-基础表'!A3</f>
        <v>45034</v>
      </c>
      <c r="D40" s="591">
        <v>100</v>
      </c>
      <c r="E40" s="590">
        <f>土地案例!H21</f>
        <v>63021</v>
      </c>
      <c r="F40" s="591">
        <f>LOOKUP(E40,119:119,120:120)-LOOKUP(C40,119:119,120:120)+100</f>
        <v>100.5</v>
      </c>
      <c r="G40" s="590">
        <f>土地案例!H22</f>
        <v>40304</v>
      </c>
      <c r="H40" s="591">
        <f>LOOKUP(G40,119:119,120:120)-LOOKUP(C40,119:119,120:120)+100</f>
        <v>100</v>
      </c>
      <c r="I40" s="592">
        <f>土地案例!H27</f>
        <v>40252</v>
      </c>
      <c r="J40" s="591">
        <f>LOOKUP(I40,119:119,120:120)-LOOKUP(C40,119:119,120:120)+100</f>
        <v>100</v>
      </c>
      <c r="K40" s="575"/>
      <c r="L40" s="2024"/>
      <c r="M40" s="2014"/>
      <c r="N40" s="2014"/>
      <c r="O40" s="2023"/>
      <c r="P40" s="3489"/>
      <c r="Q40" s="1506" t="str">
        <f>B40</f>
        <v>宗地面积</v>
      </c>
      <c r="R40" s="1507" t="s">
        <v>8</v>
      </c>
      <c r="S40" s="1508">
        <f t="shared" si="10"/>
        <v>100.5</v>
      </c>
      <c r="T40" s="1507" t="s">
        <v>8</v>
      </c>
      <c r="U40" s="1508">
        <f t="shared" si="11"/>
        <v>100</v>
      </c>
      <c r="V40" s="1507" t="s">
        <v>8</v>
      </c>
      <c r="W40" s="1508">
        <f t="shared" si="12"/>
        <v>100</v>
      </c>
      <c r="X40" s="1501"/>
      <c r="Y40" s="3489"/>
      <c r="Z40" s="1509" t="str">
        <f t="shared" si="13"/>
        <v>宗地面积</v>
      </c>
      <c r="AA40" s="1510">
        <f t="shared" si="3"/>
        <v>0.99502487562189057</v>
      </c>
      <c r="AB40" s="1510">
        <f t="shared" si="4"/>
        <v>1</v>
      </c>
      <c r="AC40" s="1510">
        <f t="shared" si="5"/>
        <v>1</v>
      </c>
    </row>
    <row r="41" spans="1:29" ht="20.25">
      <c r="A41" s="588"/>
      <c r="B41" s="521" t="s">
        <v>547</v>
      </c>
      <c r="C41" s="593" t="s">
        <v>3397</v>
      </c>
      <c r="D41" s="534">
        <v>100</v>
      </c>
      <c r="E41" s="593" t="s">
        <v>3397</v>
      </c>
      <c r="F41" s="534">
        <f>SUMIF(121:121,E41,122:122)-SUMIF(121:121,C41,122:122)+100</f>
        <v>100</v>
      </c>
      <c r="G41" s="593" t="s">
        <v>3397</v>
      </c>
      <c r="H41" s="534">
        <f>SUMIF(121:121,G41,122:122)-SUMIF(121:121,C41,122:122)+100</f>
        <v>100</v>
      </c>
      <c r="I41" s="593" t="s">
        <v>3397</v>
      </c>
      <c r="J41" s="534">
        <f>SUMIF(121:121,I41,122:122)-SUMIF(121:121,C41,122:122)+100</f>
        <v>100</v>
      </c>
      <c r="K41" s="578"/>
      <c r="L41" s="2024"/>
      <c r="M41" s="2014"/>
      <c r="N41" s="2014"/>
      <c r="O41" s="2023"/>
      <c r="P41" s="3489"/>
      <c r="Q41" s="1506" t="str">
        <f t="shared" ref="Q41:Q47" si="14">B41</f>
        <v>宗地形状</v>
      </c>
      <c r="R41" s="1507" t="s">
        <v>8</v>
      </c>
      <c r="S41" s="1508">
        <f t="shared" si="10"/>
        <v>100</v>
      </c>
      <c r="T41" s="1507" t="s">
        <v>8</v>
      </c>
      <c r="U41" s="1508">
        <f t="shared" si="11"/>
        <v>100</v>
      </c>
      <c r="V41" s="1507" t="s">
        <v>8</v>
      </c>
      <c r="W41" s="1508">
        <f t="shared" si="12"/>
        <v>100</v>
      </c>
      <c r="X41" s="1501"/>
      <c r="Y41" s="3489"/>
      <c r="Z41" s="1509" t="str">
        <f t="shared" si="13"/>
        <v>宗地形状</v>
      </c>
      <c r="AA41" s="1510">
        <f t="shared" si="3"/>
        <v>1</v>
      </c>
      <c r="AB41" s="1510">
        <f t="shared" si="4"/>
        <v>1</v>
      </c>
      <c r="AC41" s="1510">
        <f t="shared" si="5"/>
        <v>1</v>
      </c>
    </row>
    <row r="42" spans="1:29" ht="20.25">
      <c r="A42" s="588"/>
      <c r="B42" s="521" t="s">
        <v>548</v>
      </c>
      <c r="C42" s="593" t="s">
        <v>3401</v>
      </c>
      <c r="D42" s="534">
        <v>100</v>
      </c>
      <c r="E42" s="593" t="s">
        <v>3401</v>
      </c>
      <c r="F42" s="534">
        <f>SUMIF(123:123,E42,124:124)-SUMIF(123:123,C42,124:124)+100</f>
        <v>100</v>
      </c>
      <c r="G42" s="593" t="s">
        <v>3401</v>
      </c>
      <c r="H42" s="534">
        <f>SUMIF(123:123,G42,124:124)-SUMIF(123:123,C42,124:124)+100</f>
        <v>100</v>
      </c>
      <c r="I42" s="593" t="s">
        <v>3401</v>
      </c>
      <c r="J42" s="534">
        <f>SUMIF(123:123,I42,124:124)-SUMIF(123:123,C42,124:124)+100</f>
        <v>100</v>
      </c>
      <c r="K42" s="578"/>
      <c r="L42" s="2024"/>
      <c r="M42" s="2014"/>
      <c r="N42" s="2014"/>
      <c r="O42" s="2023"/>
      <c r="P42" s="3489"/>
      <c r="Q42" s="1506" t="str">
        <f t="shared" si="14"/>
        <v>临街宽度及深度</v>
      </c>
      <c r="R42" s="1507" t="s">
        <v>8</v>
      </c>
      <c r="S42" s="1508">
        <f t="shared" si="10"/>
        <v>100</v>
      </c>
      <c r="T42" s="1507" t="s">
        <v>8</v>
      </c>
      <c r="U42" s="1508">
        <f t="shared" si="11"/>
        <v>100</v>
      </c>
      <c r="V42" s="1507" t="s">
        <v>8</v>
      </c>
      <c r="W42" s="1508">
        <f t="shared" si="12"/>
        <v>100</v>
      </c>
      <c r="X42" s="1501"/>
      <c r="Y42" s="3489"/>
      <c r="Z42" s="1509" t="str">
        <f t="shared" si="13"/>
        <v>临街宽度及深度</v>
      </c>
      <c r="AA42" s="1510">
        <f t="shared" si="3"/>
        <v>1</v>
      </c>
      <c r="AB42" s="1510">
        <f t="shared" si="4"/>
        <v>1</v>
      </c>
      <c r="AC42" s="1510">
        <f t="shared" si="5"/>
        <v>1</v>
      </c>
    </row>
    <row r="43" spans="1:29" s="1202" customFormat="1" ht="20.25">
      <c r="A43" s="594"/>
      <c r="B43" s="1809" t="s">
        <v>2409</v>
      </c>
      <c r="C43" s="595" t="s">
        <v>3409</v>
      </c>
      <c r="D43" s="253">
        <v>100</v>
      </c>
      <c r="E43" s="595" t="s">
        <v>3409</v>
      </c>
      <c r="F43" s="534">
        <f>SUMIF(125:125,E43,126:126)-SUMIF(125:125,C43,126:126)+100</f>
        <v>100</v>
      </c>
      <c r="G43" s="595" t="s">
        <v>3409</v>
      </c>
      <c r="H43" s="534">
        <f>SUMIF(125:125,G43,126:126)-SUMIF(125:125,C43,126:126)+100</f>
        <v>100</v>
      </c>
      <c r="I43" s="595" t="s">
        <v>3409</v>
      </c>
      <c r="J43" s="534">
        <f>SUMIF(125:125,I43,126:126)-SUMIF(125:125,C43,126:126)+100</f>
        <v>100</v>
      </c>
      <c r="K43" s="578"/>
      <c r="L43" s="2017"/>
      <c r="M43" s="2014"/>
      <c r="N43" s="2014"/>
      <c r="O43" s="2019"/>
      <c r="P43" s="3489"/>
      <c r="Q43" s="1506" t="str">
        <f t="shared" si="14"/>
        <v>宗地开发程度</v>
      </c>
      <c r="R43" s="1502" t="s">
        <v>8</v>
      </c>
      <c r="S43" s="1503">
        <f t="shared" si="10"/>
        <v>100</v>
      </c>
      <c r="T43" s="1502" t="s">
        <v>8</v>
      </c>
      <c r="U43" s="1503">
        <f t="shared" si="11"/>
        <v>100</v>
      </c>
      <c r="V43" s="1502" t="s">
        <v>8</v>
      </c>
      <c r="W43" s="1503">
        <f t="shared" si="12"/>
        <v>100</v>
      </c>
      <c r="X43" s="1504"/>
      <c r="Y43" s="3489"/>
      <c r="Z43" s="1132" t="str">
        <f t="shared" si="13"/>
        <v>宗地开发程度</v>
      </c>
      <c r="AA43" s="1505">
        <f t="shared" si="3"/>
        <v>1</v>
      </c>
      <c r="AB43" s="1505">
        <f t="shared" si="4"/>
        <v>1</v>
      </c>
      <c r="AC43" s="1505">
        <f t="shared" si="5"/>
        <v>1</v>
      </c>
    </row>
    <row r="44" spans="1:29" ht="21" thickBot="1">
      <c r="A44" s="588"/>
      <c r="B44" s="521" t="s">
        <v>549</v>
      </c>
      <c r="C44" s="593" t="s">
        <v>3377</v>
      </c>
      <c r="D44" s="534">
        <v>100</v>
      </c>
      <c r="E44" s="593" t="s">
        <v>3377</v>
      </c>
      <c r="F44" s="534">
        <f>SUMIF(127:127,E44,128:128)-SUMIF(127:127,C44,128:128)+100</f>
        <v>100</v>
      </c>
      <c r="G44" s="593" t="s">
        <v>3377</v>
      </c>
      <c r="H44" s="534">
        <f>SUMIF(127:127,G44,128:128)-SUMIF(127:127,C44,128:128)+100</f>
        <v>100</v>
      </c>
      <c r="I44" s="593" t="s">
        <v>3377</v>
      </c>
      <c r="J44" s="534">
        <f>SUMIF(127:127,I44,128:128)-SUMIF(127:127,C44,128:128)+100</f>
        <v>100</v>
      </c>
      <c r="K44" s="578"/>
      <c r="L44" s="2024"/>
      <c r="M44" s="2014"/>
      <c r="N44" s="2014"/>
      <c r="O44" s="2023"/>
      <c r="P44" s="3489" t="s">
        <v>544</v>
      </c>
      <c r="Q44" s="1506" t="str">
        <f t="shared" si="14"/>
        <v>工程地质条件</v>
      </c>
      <c r="R44" s="1507" t="s">
        <v>8</v>
      </c>
      <c r="S44" s="1508">
        <f t="shared" si="10"/>
        <v>100</v>
      </c>
      <c r="T44" s="1507" t="s">
        <v>8</v>
      </c>
      <c r="U44" s="1508">
        <f t="shared" si="11"/>
        <v>100</v>
      </c>
      <c r="V44" s="1507" t="s">
        <v>8</v>
      </c>
      <c r="W44" s="1508">
        <f t="shared" si="12"/>
        <v>100</v>
      </c>
      <c r="X44" s="1501"/>
      <c r="Y44" s="3489" t="s">
        <v>544</v>
      </c>
      <c r="Z44" s="1509" t="str">
        <f t="shared" si="13"/>
        <v>工程地质条件</v>
      </c>
      <c r="AA44" s="1510">
        <f t="shared" si="3"/>
        <v>1</v>
      </c>
      <c r="AB44" s="1510">
        <f t="shared" si="4"/>
        <v>1</v>
      </c>
      <c r="AC44" s="1510">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89"/>
      <c r="Q45" s="1506">
        <f t="shared" si="14"/>
        <v>111</v>
      </c>
      <c r="R45" s="1507" t="s">
        <v>8</v>
      </c>
      <c r="S45" s="1508">
        <f t="shared" si="10"/>
        <v>100</v>
      </c>
      <c r="T45" s="1507" t="s">
        <v>8</v>
      </c>
      <c r="U45" s="1508">
        <f t="shared" si="11"/>
        <v>100</v>
      </c>
      <c r="V45" s="1507" t="s">
        <v>8</v>
      </c>
      <c r="W45" s="1508">
        <f t="shared" si="12"/>
        <v>100</v>
      </c>
      <c r="X45" s="1501"/>
      <c r="Y45" s="3489"/>
      <c r="Z45" s="1509">
        <f t="shared" si="13"/>
        <v>111</v>
      </c>
      <c r="AA45" s="1510">
        <f t="shared" si="3"/>
        <v>1</v>
      </c>
      <c r="AB45" s="1510">
        <f t="shared" si="4"/>
        <v>1</v>
      </c>
      <c r="AC45" s="1510">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89"/>
      <c r="Q46" s="1506">
        <f t="shared" si="14"/>
        <v>111</v>
      </c>
      <c r="R46" s="1507" t="s">
        <v>8</v>
      </c>
      <c r="S46" s="1508">
        <f t="shared" si="10"/>
        <v>100</v>
      </c>
      <c r="T46" s="1507" t="s">
        <v>8</v>
      </c>
      <c r="U46" s="1508">
        <f t="shared" si="11"/>
        <v>100</v>
      </c>
      <c r="V46" s="1507" t="s">
        <v>8</v>
      </c>
      <c r="W46" s="1508">
        <f t="shared" si="12"/>
        <v>100</v>
      </c>
      <c r="X46" s="1501"/>
      <c r="Y46" s="3489"/>
      <c r="Z46" s="1509">
        <f t="shared" si="13"/>
        <v>111</v>
      </c>
      <c r="AA46" s="1510">
        <f t="shared" si="3"/>
        <v>1</v>
      </c>
      <c r="AB46" s="1510">
        <f t="shared" si="4"/>
        <v>1</v>
      </c>
      <c r="AC46" s="1510">
        <f t="shared" si="5"/>
        <v>1</v>
      </c>
    </row>
    <row r="47" spans="1:29" s="1292"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89"/>
      <c r="Q47" s="1506">
        <f t="shared" si="14"/>
        <v>111</v>
      </c>
      <c r="R47" s="1511" t="s">
        <v>8</v>
      </c>
      <c r="S47" s="1512">
        <f t="shared" si="10"/>
        <v>100</v>
      </c>
      <c r="T47" s="1511" t="s">
        <v>8</v>
      </c>
      <c r="U47" s="1512">
        <f t="shared" si="11"/>
        <v>100</v>
      </c>
      <c r="V47" s="1511" t="s">
        <v>8</v>
      </c>
      <c r="W47" s="1512">
        <f t="shared" si="12"/>
        <v>100</v>
      </c>
      <c r="X47" s="1513"/>
      <c r="Y47" s="3489"/>
      <c r="Z47" s="1514">
        <f t="shared" si="13"/>
        <v>111</v>
      </c>
      <c r="AA47" s="1510">
        <f t="shared" si="3"/>
        <v>1</v>
      </c>
      <c r="AB47" s="1510">
        <f t="shared" si="4"/>
        <v>1</v>
      </c>
      <c r="AC47" s="1510">
        <f t="shared" si="5"/>
        <v>1</v>
      </c>
    </row>
    <row r="48" spans="1:29" ht="20.25">
      <c r="A48" s="601" t="s">
        <v>550</v>
      </c>
      <c r="B48" s="602" t="s">
        <v>3367</v>
      </c>
      <c r="C48" s="603" t="s">
        <v>1</v>
      </c>
      <c r="D48" s="604"/>
      <c r="E48" s="605">
        <f>ROUND(土地案例!AM21,0)</f>
        <v>5307</v>
      </c>
      <c r="F48" s="606"/>
      <c r="G48" s="607">
        <f>ROUND(土地案例!AM22,0)</f>
        <v>6319</v>
      </c>
      <c r="H48" s="608"/>
      <c r="I48" s="605">
        <f>ROUND(土地案例!AM27,0)</f>
        <v>5457</v>
      </c>
      <c r="J48" s="608"/>
      <c r="K48" s="1293"/>
      <c r="L48" s="2026"/>
      <c r="M48" s="2014"/>
      <c r="N48" s="2014"/>
      <c r="O48" s="2027"/>
      <c r="P48" s="3484" t="str">
        <f>A48</f>
        <v>成交单价</v>
      </c>
      <c r="Q48" s="3484"/>
      <c r="R48" s="3498">
        <f>E48</f>
        <v>5307</v>
      </c>
      <c r="S48" s="3498"/>
      <c r="T48" s="3498">
        <f>G48</f>
        <v>6319</v>
      </c>
      <c r="U48" s="3498"/>
      <c r="V48" s="3498">
        <f>I48</f>
        <v>5457</v>
      </c>
      <c r="W48" s="3498"/>
      <c r="X48" s="1496"/>
      <c r="Y48" s="1515"/>
      <c r="Z48" s="1496"/>
      <c r="AA48" s="1496"/>
      <c r="AB48" s="1496"/>
      <c r="AC48" s="1496"/>
    </row>
    <row r="49" spans="1:29" ht="21" thickBot="1">
      <c r="A49" s="609" t="s">
        <v>2673</v>
      </c>
      <c r="B49" s="610"/>
      <c r="C49" s="611">
        <f>R50</f>
        <v>5785</v>
      </c>
      <c r="D49" s="3013" t="s">
        <v>2971</v>
      </c>
      <c r="E49" s="611">
        <f>R49</f>
        <v>5337</v>
      </c>
      <c r="F49" s="3014"/>
      <c r="G49" s="612">
        <f>T49</f>
        <v>6387</v>
      </c>
      <c r="H49" s="3014"/>
      <c r="I49" s="611">
        <f>V49</f>
        <v>5632</v>
      </c>
      <c r="J49" s="3014"/>
      <c r="K49" s="3015">
        <f>F49+H49+J49</f>
        <v>0</v>
      </c>
      <c r="L49" s="2026"/>
      <c r="M49" s="2014"/>
      <c r="N49" s="2014"/>
      <c r="O49" s="2027"/>
      <c r="P49" s="3484" t="str">
        <f>A49</f>
        <v>比较价格（元/平方米）</v>
      </c>
      <c r="Q49" s="3484"/>
      <c r="R49" s="3508">
        <f>ROUND(PRODUCT(R48,AA9:AA47),0)</f>
        <v>5337</v>
      </c>
      <c r="S49" s="3508"/>
      <c r="T49" s="3508">
        <f>ROUND(PRODUCT(T48,AB9:AB47),0)</f>
        <v>6387</v>
      </c>
      <c r="U49" s="3508"/>
      <c r="V49" s="3508">
        <f>ROUND(PRODUCT(V48,AC9:AC47),0)</f>
        <v>5632</v>
      </c>
      <c r="W49" s="3508"/>
      <c r="X49" s="1496"/>
      <c r="Y49" s="1496"/>
      <c r="Z49" s="1496"/>
      <c r="AA49" s="1496"/>
      <c r="AB49" s="1496"/>
      <c r="AC49" s="1496"/>
    </row>
    <row r="50" spans="1:29" ht="21" thickBot="1">
      <c r="A50" s="613" t="s">
        <v>2903</v>
      </c>
      <c r="B50" s="614"/>
      <c r="C50" s="615">
        <f>R50</f>
        <v>5785</v>
      </c>
      <c r="D50" s="615"/>
      <c r="E50" s="615"/>
      <c r="F50" s="615"/>
      <c r="G50" s="615"/>
      <c r="H50" s="615"/>
      <c r="I50" s="615"/>
      <c r="J50" s="615"/>
      <c r="K50" s="1294"/>
      <c r="L50" s="2026"/>
      <c r="M50" s="2014"/>
      <c r="N50" s="2014"/>
      <c r="O50" s="2027"/>
      <c r="P50" s="3505" t="str">
        <f>A50</f>
        <v>估价对象XX用房的比较价格（楼面单价，元/平方米）</v>
      </c>
      <c r="Q50" s="3506"/>
      <c r="R50" s="3507">
        <f>ROUND(IF(D49="简单平均",AVERAGE(R49:W49),R49*F49+T49*H49+V49*J49),0)</f>
        <v>5785</v>
      </c>
      <c r="S50" s="3507"/>
      <c r="T50" s="3507"/>
      <c r="U50" s="3507"/>
      <c r="V50" s="3507"/>
      <c r="W50" s="3507"/>
      <c r="X50" s="1496"/>
      <c r="Y50" s="1496"/>
      <c r="Z50" s="1496"/>
      <c r="AA50" s="1496"/>
      <c r="AB50" s="1496"/>
      <c r="AC50" s="1496"/>
    </row>
    <row r="51" spans="1:29" ht="20.25">
      <c r="A51" s="3213"/>
      <c r="B51" s="3213"/>
      <c r="C51" s="3213"/>
      <c r="D51" s="3213"/>
      <c r="E51" s="3213"/>
      <c r="F51" s="3213"/>
      <c r="G51" s="3215"/>
      <c r="H51" s="3213"/>
      <c r="I51" s="3213"/>
      <c r="J51" s="3213"/>
      <c r="K51" s="3216"/>
      <c r="L51" s="2031"/>
      <c r="M51" s="2014"/>
      <c r="N51" s="2014"/>
      <c r="O51" s="2027"/>
      <c r="P51" s="2027"/>
      <c r="Q51" s="2027"/>
      <c r="R51" s="2027"/>
      <c r="S51" s="2027"/>
      <c r="T51" s="2027"/>
      <c r="U51" s="2027"/>
      <c r="V51" s="2027"/>
      <c r="W51" s="2027"/>
      <c r="X51" s="2027"/>
      <c r="Y51" s="2027"/>
      <c r="Z51" s="2027"/>
      <c r="AA51" s="2027"/>
      <c r="AB51" s="2027"/>
      <c r="AC51" s="2027"/>
    </row>
    <row r="52" spans="1:29" ht="20.25">
      <c r="A52" s="3213"/>
      <c r="B52" s="3213"/>
      <c r="C52" s="3213"/>
      <c r="D52" s="3213"/>
      <c r="E52" s="3213"/>
      <c r="F52" s="3213"/>
      <c r="G52" s="3213"/>
      <c r="H52" s="3213"/>
      <c r="I52" s="3213"/>
      <c r="J52" s="3213"/>
      <c r="K52" s="3216"/>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f>IF(E48&lt;E49,E49/E48-1,E48/E49-1)</f>
        <v>5.6529112492933464E-3</v>
      </c>
      <c r="F53" s="619" t="str">
        <f>IF(OR(E53&gt;=0.3,E53&lt;=-0.3),"超过30%","")</f>
        <v/>
      </c>
      <c r="G53" s="618">
        <f>IF(G48&lt;G49,G49/G48-1,G48/G49-1)</f>
        <v>1.0761196391834149E-2</v>
      </c>
      <c r="H53" s="619" t="str">
        <f>IF(OR(G53&gt;=0.3,G53&lt;=-0.3),"超过30%","")</f>
        <v/>
      </c>
      <c r="I53" s="618">
        <f>IF(I48&lt;I49,I49/I48-1,I48/I49-1)</f>
        <v>3.2068902327285986E-2</v>
      </c>
      <c r="J53" s="619" t="str">
        <f>IF(OR(I53&gt;=0.3,I53&lt;=-0.3),"超过30%","")</f>
        <v/>
      </c>
      <c r="K53" s="3216"/>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f>IF(E49&lt;G49,G49/E49-1,E49/G49-1)</f>
        <v>0.19673974142776851</v>
      </c>
      <c r="F54" s="619" t="str">
        <f>IF(OR(E54&gt;=0.2,E54&lt;=-0.2),"超过20%","")</f>
        <v/>
      </c>
      <c r="G54" s="618">
        <f>IF(G49&lt;I49,I49/G49-1,G49/I49-1)</f>
        <v>0.13405539772727271</v>
      </c>
      <c r="H54" s="619" t="str">
        <f>IF(OR(G54&gt;=0.2,G54&lt;=-0.2),"超过20%","")</f>
        <v/>
      </c>
      <c r="I54" s="618">
        <f>IF(I49&lt;E49,E49/I49-1,I49/E49-1)</f>
        <v>5.5274498782087234E-2</v>
      </c>
      <c r="J54" s="619" t="str">
        <f>IF(OR(I54&gt;=0.2,I54&lt;=-0.2),"超过20%","")</f>
        <v/>
      </c>
      <c r="K54" s="3216"/>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f>IF(E48&lt;G48,G48/E48-1,E48/G48-1)</f>
        <v>0.19069153947616346</v>
      </c>
      <c r="F55" s="619" t="str">
        <f>IF(OR(E55&gt;=0.3,E55&lt;=-0.3),"超过30%","")</f>
        <v/>
      </c>
      <c r="G55" s="618">
        <f>IF(G48&lt;I48,I48/G48-1,G48/I48-1)</f>
        <v>0.157962250320689</v>
      </c>
      <c r="H55" s="619" t="str">
        <f>IF(OR(G55&gt;=0.3,G55&lt;=-0.3),"超过30%","")</f>
        <v/>
      </c>
      <c r="I55" s="618">
        <f>IF(I48&lt;E48,E48/I48-1,I48/E48-1)</f>
        <v>2.8264556246466954E-2</v>
      </c>
      <c r="J55" s="619" t="str">
        <f>IF(OR(I55&gt;=0.3,I55&lt;=-0.3),"超过30%","")</f>
        <v/>
      </c>
      <c r="K55" s="3217"/>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7"/>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468" t="s">
        <v>2269</v>
      </c>
      <c r="H57" s="3469"/>
      <c r="I57" s="1493" t="s">
        <v>1713</v>
      </c>
      <c r="J57" s="1493">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5785</v>
      </c>
      <c r="C58" s="627">
        <v>1</v>
      </c>
      <c r="D58" s="2108">
        <v>1</v>
      </c>
      <c r="E58" s="627">
        <f>'数据-汇总表'!E8+'数据-汇总表'!E9</f>
        <v>63690</v>
      </c>
      <c r="F58" s="628">
        <f t="shared" ref="F58:F67" si="15">ROUND(B58*E58/10000,0)</f>
        <v>36845</v>
      </c>
      <c r="G58" s="3470"/>
      <c r="H58" s="3471"/>
      <c r="I58" s="1494">
        <v>1</v>
      </c>
      <c r="J58" s="1494">
        <v>1</v>
      </c>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472" t="s">
        <v>2270</v>
      </c>
      <c r="H59" s="1862">
        <f>项目基本情况!B43</f>
        <v>0</v>
      </c>
      <c r="I59" s="1494">
        <f>SUMIF(修正!$A$45:$A$56,H59,修正!B45:B56)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472"/>
      <c r="H60" s="1862">
        <f>项目基本情况!B43</f>
        <v>0</v>
      </c>
      <c r="I60" s="1494">
        <f>SUMIF(修正!$A$45:$A$56,H60,修正!C45:C56)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472"/>
      <c r="H61" s="1862">
        <f>项目基本情况!B43</f>
        <v>0</v>
      </c>
      <c r="I61" s="1494">
        <f>SUMIF(修正!$A$45:$A$56,H61,修正!D45:D56)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472"/>
      <c r="H62" s="1862">
        <f>项目基本情况!B43</f>
        <v>0</v>
      </c>
      <c r="I62" s="1494">
        <f>SUMIF(修正!$A$45:$A$56,H62,修正!E45:E56)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8"/>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8"/>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19342</v>
      </c>
      <c r="F65" s="628">
        <f t="shared" si="15"/>
        <v>0</v>
      </c>
      <c r="G65" s="1860" t="s">
        <v>914</v>
      </c>
      <c r="H65" s="1858">
        <f>IF(G65="商业",项目基本情况!B43,IF(G65="办公",项目基本情况!C43,IF(G65="住宅",项目基本情况!D43,项目基本情况!E43)))</f>
        <v>0</v>
      </c>
      <c r="I65" s="1494">
        <f>SUMIF(修正!$A$45:$A$56,H65,修正!H45:H56)</f>
        <v>0</v>
      </c>
      <c r="J65" s="1495"/>
      <c r="K65" s="3218"/>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8"/>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8"/>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2282</v>
      </c>
      <c r="E68" s="635">
        <f>IF(B48="楼面地价",SUM(E58:E67),'数据-汇总表'!D3)</f>
        <v>83032</v>
      </c>
      <c r="F68" s="636">
        <f>IF(B48="楼面地价",SUM(F58:F67),ROUND(C50*E68/10000,0))</f>
        <v>36845</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2021-7-1</v>
      </c>
      <c r="D70" s="2516">
        <f>EDATE(C70,-3)</f>
        <v>44287</v>
      </c>
      <c r="E70" s="2516">
        <f t="shared" ref="E70:N70" si="18">EDATE(D70,-3)</f>
        <v>44197</v>
      </c>
      <c r="F70" s="2516">
        <f t="shared" si="18"/>
        <v>44105</v>
      </c>
      <c r="G70" s="2516">
        <f t="shared" si="18"/>
        <v>44013</v>
      </c>
      <c r="H70" s="2516">
        <f t="shared" si="18"/>
        <v>43922</v>
      </c>
      <c r="I70" s="2516">
        <f t="shared" si="18"/>
        <v>43831</v>
      </c>
      <c r="J70" s="2516">
        <f t="shared" si="18"/>
        <v>43739</v>
      </c>
      <c r="K70" s="2516">
        <f t="shared" si="18"/>
        <v>43647</v>
      </c>
      <c r="L70" s="2516">
        <f t="shared" si="18"/>
        <v>43556</v>
      </c>
      <c r="M70" s="2516">
        <f t="shared" si="18"/>
        <v>43466</v>
      </c>
      <c r="N70" s="2516">
        <f t="shared" si="18"/>
        <v>43374</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2513</v>
      </c>
      <c r="B72" s="2422"/>
      <c r="C72" s="2513" t="str">
        <f>YEAR(C70)&amp;"-"&amp;ROUNDUP(MONTH(C70)/3,0)</f>
        <v>2021-3</v>
      </c>
      <c r="D72" s="2518" t="str">
        <f>YEAR(D70)&amp;"-"&amp;ROUNDUP(MONTH(D70)/3,0)</f>
        <v>2021-2</v>
      </c>
      <c r="E72" s="2518" t="str">
        <f t="shared" ref="E72:N72" si="19">YEAR(E70)&amp;"-"&amp;ROUNDUP(MONTH(E70)/3,0)</f>
        <v>2021-1</v>
      </c>
      <c r="F72" s="2518" t="str">
        <f t="shared" si="19"/>
        <v>2020-4</v>
      </c>
      <c r="G72" s="2518" t="str">
        <f t="shared" si="19"/>
        <v>2020-3</v>
      </c>
      <c r="H72" s="2518" t="str">
        <f t="shared" si="19"/>
        <v>2020-2</v>
      </c>
      <c r="I72" s="2518" t="str">
        <f t="shared" si="19"/>
        <v>2020-1</v>
      </c>
      <c r="J72" s="2518" t="str">
        <f t="shared" si="19"/>
        <v>2019-4</v>
      </c>
      <c r="K72" s="2518" t="str">
        <f t="shared" si="19"/>
        <v>2019-3</v>
      </c>
      <c r="L72" s="2518" t="str">
        <f t="shared" si="19"/>
        <v>2019-2</v>
      </c>
      <c r="M72" s="2518" t="str">
        <f t="shared" si="19"/>
        <v>2019-1</v>
      </c>
      <c r="N72" s="2518" t="str">
        <f t="shared" si="19"/>
        <v>2018-4</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2627</v>
      </c>
      <c r="B73" s="473" t="str">
        <f>"北京市平均增长率"&amp;TEXT(SUMIF(基准地价!N21:N25,A73,基准地价!P21:P25),"0.00%")</f>
        <v>北京市平均增长率0.00%</v>
      </c>
      <c r="C73" s="882">
        <v>100</v>
      </c>
      <c r="D73" s="722">
        <f>C73-1</f>
        <v>99</v>
      </c>
      <c r="E73" s="722">
        <f t="shared" ref="E73:N73" si="20">D73-1</f>
        <v>98</v>
      </c>
      <c r="F73" s="722">
        <f t="shared" si="20"/>
        <v>97</v>
      </c>
      <c r="G73" s="722">
        <f t="shared" si="20"/>
        <v>96</v>
      </c>
      <c r="H73" s="722">
        <f t="shared" si="20"/>
        <v>95</v>
      </c>
      <c r="I73" s="722">
        <f t="shared" si="20"/>
        <v>94</v>
      </c>
      <c r="J73" s="722">
        <f t="shared" si="20"/>
        <v>93</v>
      </c>
      <c r="K73" s="722">
        <f t="shared" si="20"/>
        <v>92</v>
      </c>
      <c r="L73" s="722">
        <f t="shared" si="20"/>
        <v>91</v>
      </c>
      <c r="M73" s="722">
        <f t="shared" si="20"/>
        <v>90</v>
      </c>
      <c r="N73" s="722">
        <f t="shared" si="20"/>
        <v>89</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2626</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3289" t="s">
        <v>3366</v>
      </c>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v>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99</v>
      </c>
      <c r="E83" s="671">
        <f t="shared" ref="E83:M83" si="22">IF($B$48="单位面积地价",D83+$K13,D83-$K13)</f>
        <v>98</v>
      </c>
      <c r="F83" s="671">
        <f t="shared" si="22"/>
        <v>97</v>
      </c>
      <c r="G83" s="671">
        <f t="shared" si="22"/>
        <v>96</v>
      </c>
      <c r="H83" s="671">
        <f t="shared" si="22"/>
        <v>95</v>
      </c>
      <c r="I83" s="671">
        <f t="shared" si="22"/>
        <v>94</v>
      </c>
      <c r="J83" s="671">
        <f t="shared" si="22"/>
        <v>93</v>
      </c>
      <c r="K83" s="671">
        <f t="shared" si="22"/>
        <v>92</v>
      </c>
      <c r="L83" s="671">
        <f t="shared" si="22"/>
        <v>91</v>
      </c>
      <c r="M83" s="671">
        <f t="shared" si="22"/>
        <v>90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3292" t="s">
        <v>3368</v>
      </c>
      <c r="D84" s="1326" t="s">
        <v>3369</v>
      </c>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v>100</v>
      </c>
      <c r="D85" s="663">
        <v>102</v>
      </c>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98</v>
      </c>
      <c r="E91" s="671">
        <f>D91-$K17</f>
        <v>96</v>
      </c>
      <c r="F91" s="671">
        <f>E91-$K17</f>
        <v>94</v>
      </c>
      <c r="G91" s="671">
        <f>F91-$K17</f>
        <v>92</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99</v>
      </c>
      <c r="E99" s="671">
        <f>D99-$K25</f>
        <v>98</v>
      </c>
      <c r="F99" s="671">
        <f>E99-$K25</f>
        <v>97</v>
      </c>
      <c r="G99" s="671">
        <f>F99-$K25</f>
        <v>96</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99</v>
      </c>
      <c r="E105" s="671">
        <f>D105-$K31</f>
        <v>98</v>
      </c>
      <c r="F105" s="671">
        <f>E105-$K31</f>
        <v>97</v>
      </c>
      <c r="G105" s="671">
        <f>F105-$K31</f>
        <v>96</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v>
      </c>
      <c r="H118" s="696" t="str">
        <f t="shared" si="26"/>
        <v>(含)-</v>
      </c>
      <c r="I118" s="696" t="str">
        <f t="shared" si="26"/>
        <v>(含)-</v>
      </c>
      <c r="J118" s="2779" t="str">
        <f t="shared" si="26"/>
        <v>(含)-</v>
      </c>
      <c r="K118" s="2779" t="str">
        <f t="shared" si="26"/>
        <v>(含)-</v>
      </c>
      <c r="L118" s="2780" t="str">
        <f t="shared" si="26"/>
        <v>(含)-</v>
      </c>
      <c r="M118" s="2781"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f>C119+20000</f>
        <v>20000</v>
      </c>
      <c r="E119" s="722">
        <f t="shared" ref="E119:G119" si="27">D119+20000</f>
        <v>40000</v>
      </c>
      <c r="F119" s="722">
        <f t="shared" si="27"/>
        <v>60000</v>
      </c>
      <c r="G119" s="722">
        <f t="shared" si="27"/>
        <v>80000</v>
      </c>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f>C120+0.5</f>
        <v>100.5</v>
      </c>
      <c r="E120" s="718">
        <f t="shared" ref="E120:G120" si="28">D120+0.5</f>
        <v>101</v>
      </c>
      <c r="F120" s="718">
        <f t="shared" si="28"/>
        <v>101.5</v>
      </c>
      <c r="G120" s="718">
        <f t="shared" si="28"/>
        <v>102</v>
      </c>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293" t="s">
        <v>3395</v>
      </c>
      <c r="D121" s="3293" t="s">
        <v>3396</v>
      </c>
      <c r="E121" s="3293" t="s">
        <v>3398</v>
      </c>
      <c r="F121" s="3293" t="s">
        <v>3399</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9">C122-$K41</f>
        <v>100</v>
      </c>
      <c r="E122" s="671">
        <f t="shared" si="29"/>
        <v>100</v>
      </c>
      <c r="F122" s="671">
        <f t="shared" si="29"/>
        <v>100</v>
      </c>
      <c r="G122" s="671">
        <f t="shared" si="29"/>
        <v>100</v>
      </c>
      <c r="H122" s="671">
        <f t="shared" si="29"/>
        <v>100</v>
      </c>
      <c r="I122" s="671">
        <f t="shared" si="29"/>
        <v>100</v>
      </c>
      <c r="J122" s="671">
        <f t="shared" si="29"/>
        <v>100</v>
      </c>
      <c r="K122" s="671">
        <f t="shared" si="29"/>
        <v>100</v>
      </c>
      <c r="L122" s="671">
        <f t="shared" si="29"/>
        <v>100</v>
      </c>
      <c r="M122" s="672">
        <f t="shared" si="29"/>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3292" t="s">
        <v>3400</v>
      </c>
      <c r="D123" s="3292" t="s">
        <v>3402</v>
      </c>
      <c r="E123" s="3292" t="s">
        <v>3403</v>
      </c>
      <c r="F123" s="3293" t="s">
        <v>3404</v>
      </c>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C124-$K42</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2410</v>
      </c>
      <c r="C125" s="1326" t="s">
        <v>3408</v>
      </c>
      <c r="D125" s="1326" t="s">
        <v>3405</v>
      </c>
      <c r="E125" s="1326" t="s">
        <v>3406</v>
      </c>
      <c r="F125" s="1326" t="s">
        <v>3407</v>
      </c>
      <c r="G125" s="1326" t="s">
        <v>3410</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100</v>
      </c>
      <c r="E126" s="671">
        <f t="shared" ref="E126:M126" si="31">D126-$K43</f>
        <v>100</v>
      </c>
      <c r="F126" s="671">
        <f t="shared" si="31"/>
        <v>100</v>
      </c>
      <c r="G126" s="671">
        <f t="shared" si="31"/>
        <v>100</v>
      </c>
      <c r="H126" s="671">
        <f t="shared" si="31"/>
        <v>100</v>
      </c>
      <c r="I126" s="671">
        <f t="shared" si="31"/>
        <v>100</v>
      </c>
      <c r="J126" s="671">
        <f t="shared" si="31"/>
        <v>100</v>
      </c>
      <c r="K126" s="671">
        <f t="shared" si="31"/>
        <v>100</v>
      </c>
      <c r="L126" s="671">
        <f t="shared" si="31"/>
        <v>100</v>
      </c>
      <c r="M126" s="672">
        <f t="shared" si="31"/>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t="s">
        <v>3376</v>
      </c>
      <c r="D127" s="680" t="s">
        <v>3377</v>
      </c>
      <c r="E127" s="710" t="s">
        <v>3393</v>
      </c>
      <c r="F127" s="710" t="s">
        <v>3411</v>
      </c>
      <c r="G127" s="710" t="s">
        <v>3412</v>
      </c>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2">C128-$K44</f>
        <v>100</v>
      </c>
      <c r="E128" s="671">
        <f t="shared" si="32"/>
        <v>100</v>
      </c>
      <c r="F128" s="671">
        <f t="shared" si="32"/>
        <v>100</v>
      </c>
      <c r="G128" s="671">
        <f t="shared" si="32"/>
        <v>100</v>
      </c>
      <c r="H128" s="671">
        <f t="shared" si="32"/>
        <v>100</v>
      </c>
      <c r="I128" s="671">
        <f t="shared" si="32"/>
        <v>100</v>
      </c>
      <c r="J128" s="671">
        <f t="shared" si="32"/>
        <v>100</v>
      </c>
      <c r="K128" s="671">
        <f t="shared" si="32"/>
        <v>100</v>
      </c>
      <c r="L128" s="671">
        <f t="shared" si="32"/>
        <v>100</v>
      </c>
      <c r="M128" s="672">
        <f t="shared" si="32"/>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502" t="e">
        <f>F63</f>
        <v>#DIV/0!</v>
      </c>
      <c r="C2" s="3221"/>
      <c r="D2" s="3221"/>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c r="A3" s="1331" t="s">
        <v>1676</v>
      </c>
      <c r="B3" s="504" t="e">
        <f>ROUND(B2*10000/'数据-汇总表'!E3,0)</f>
        <v>#DIV/0!</v>
      </c>
      <c r="C3" s="3220"/>
      <c r="D3" s="3220"/>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3212"/>
      <c r="AC5" s="1944"/>
    </row>
    <row r="6" spans="1:29" ht="15">
      <c r="A6" s="506" t="s">
        <v>515</v>
      </c>
      <c r="B6" s="507"/>
      <c r="C6" s="3490" t="s">
        <v>516</v>
      </c>
      <c r="D6" s="3491"/>
      <c r="E6" s="3515" t="s">
        <v>517</v>
      </c>
      <c r="F6" s="3516"/>
      <c r="G6" s="3490" t="s">
        <v>518</v>
      </c>
      <c r="H6" s="3491"/>
      <c r="I6" s="3490" t="s">
        <v>519</v>
      </c>
      <c r="J6" s="3491"/>
      <c r="K6" s="508" t="s">
        <v>520</v>
      </c>
      <c r="L6" s="2015"/>
      <c r="M6" s="2016"/>
      <c r="N6" s="2016"/>
      <c r="O6" s="2016"/>
      <c r="P6" s="3492" t="s">
        <v>521</v>
      </c>
      <c r="Q6" s="3493"/>
      <c r="R6" s="3478" t="s">
        <v>517</v>
      </c>
      <c r="S6" s="3479"/>
      <c r="T6" s="3478" t="s">
        <v>518</v>
      </c>
      <c r="U6" s="3479"/>
      <c r="V6" s="3498" t="s">
        <v>519</v>
      </c>
      <c r="W6" s="3498"/>
      <c r="X6" s="1501"/>
      <c r="Y6" s="3478" t="s">
        <v>521</v>
      </c>
      <c r="Z6" s="3479"/>
      <c r="AA6" s="3473" t="s">
        <v>517</v>
      </c>
      <c r="AB6" s="3474" t="s">
        <v>518</v>
      </c>
      <c r="AC6" s="3473" t="s">
        <v>519</v>
      </c>
    </row>
    <row r="7" spans="1:29" ht="15">
      <c r="A7" s="509"/>
      <c r="B7" s="510"/>
      <c r="C7" s="3501" t="s">
        <v>2897</v>
      </c>
      <c r="D7" s="3502"/>
      <c r="E7" s="3517" t="s">
        <v>2898</v>
      </c>
      <c r="F7" s="3518"/>
      <c r="G7" s="3501" t="s">
        <v>2899</v>
      </c>
      <c r="H7" s="3502"/>
      <c r="I7" s="3501" t="s">
        <v>2900</v>
      </c>
      <c r="J7" s="3502"/>
      <c r="K7" s="508"/>
      <c r="L7" s="2015"/>
      <c r="M7" s="2016"/>
      <c r="N7" s="2016"/>
      <c r="O7" s="2016"/>
      <c r="P7" s="3494"/>
      <c r="Q7" s="3495"/>
      <c r="R7" s="3480"/>
      <c r="S7" s="3481"/>
      <c r="T7" s="3480"/>
      <c r="U7" s="3481"/>
      <c r="V7" s="3498"/>
      <c r="W7" s="3498"/>
      <c r="X7" s="1501"/>
      <c r="Y7" s="3480"/>
      <c r="Z7" s="3481"/>
      <c r="AA7" s="3474"/>
      <c r="AB7" s="3474"/>
      <c r="AC7" s="3474"/>
    </row>
    <row r="8" spans="1:29" ht="15.75" thickBot="1">
      <c r="A8" s="511"/>
      <c r="B8" s="512"/>
      <c r="C8" s="3499" t="s">
        <v>2901</v>
      </c>
      <c r="D8" s="3500"/>
      <c r="E8" s="3519" t="s">
        <v>2901</v>
      </c>
      <c r="F8" s="3520"/>
      <c r="G8" s="3499" t="s">
        <v>2901</v>
      </c>
      <c r="H8" s="3500"/>
      <c r="I8" s="3499" t="s">
        <v>2901</v>
      </c>
      <c r="J8" s="3500"/>
      <c r="K8" s="508" t="s">
        <v>522</v>
      </c>
      <c r="L8" s="2015"/>
      <c r="M8" s="2016"/>
      <c r="N8" s="2016"/>
      <c r="O8" s="2016"/>
      <c r="P8" s="3496"/>
      <c r="Q8" s="3497"/>
      <c r="R8" s="3480"/>
      <c r="S8" s="3481"/>
      <c r="T8" s="3482"/>
      <c r="U8" s="3483"/>
      <c r="V8" s="3498"/>
      <c r="W8" s="3498"/>
      <c r="X8" s="1501"/>
      <c r="Y8" s="3482"/>
      <c r="Z8" s="3483"/>
      <c r="AA8" s="3475"/>
      <c r="AB8" s="3475"/>
      <c r="AC8" s="3475"/>
    </row>
    <row r="9" spans="1:29" s="1202" customFormat="1" ht="15.75" thickBot="1">
      <c r="A9" s="2629"/>
      <c r="B9" s="2636" t="s">
        <v>523</v>
      </c>
      <c r="C9" s="513">
        <f>'数据-取费表'!B2</f>
        <v>44385</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76" t="s">
        <v>524</v>
      </c>
      <c r="Q9" s="3485"/>
      <c r="R9" s="1502" t="s">
        <v>8</v>
      </c>
      <c r="S9" s="1503">
        <f t="shared" ref="S9:S17" si="0">F9</f>
        <v>0</v>
      </c>
      <c r="T9" s="1502" t="s">
        <v>8</v>
      </c>
      <c r="U9" s="1503">
        <f t="shared" ref="U9:U17" si="1">H9</f>
        <v>0</v>
      </c>
      <c r="V9" s="1502" t="s">
        <v>8</v>
      </c>
      <c r="W9" s="1503">
        <f t="shared" ref="W9:W17" si="2">J9</f>
        <v>0</v>
      </c>
      <c r="X9" s="1504"/>
      <c r="Y9" s="3476" t="s">
        <v>524</v>
      </c>
      <c r="Z9" s="3477"/>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76" t="s">
        <v>527</v>
      </c>
      <c r="Q10" s="3477"/>
      <c r="R10" s="1502" t="s">
        <v>8</v>
      </c>
      <c r="S10" s="1503">
        <f t="shared" si="0"/>
        <v>0</v>
      </c>
      <c r="T10" s="1502" t="s">
        <v>8</v>
      </c>
      <c r="U10" s="1503">
        <f t="shared" si="1"/>
        <v>0</v>
      </c>
      <c r="V10" s="1502" t="s">
        <v>8</v>
      </c>
      <c r="W10" s="1503">
        <f t="shared" si="2"/>
        <v>0</v>
      </c>
      <c r="X10" s="1504"/>
      <c r="Y10" s="3476" t="s">
        <v>527</v>
      </c>
      <c r="Z10" s="3477"/>
      <c r="AA10" s="1505" t="e">
        <f t="shared" ref="AA10:AA42" si="3">D10/F10</f>
        <v>#DIV/0!</v>
      </c>
      <c r="AB10" s="1505" t="e">
        <f t="shared" ref="AB10:AB42" si="4">D10/H10</f>
        <v>#DIV/0!</v>
      </c>
      <c r="AC10" s="1505" t="e">
        <f t="shared" ref="AC10:AC42" si="5">D10/J10</f>
        <v>#DIV/0!</v>
      </c>
    </row>
    <row r="11" spans="1:29" s="1202" customFormat="1" ht="15">
      <c r="A11" s="2631"/>
      <c r="B11" s="2638" t="s">
        <v>2736</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84" t="s">
        <v>529</v>
      </c>
      <c r="Q11" s="1133" t="str">
        <f t="shared" ref="Q11:Q17" si="6">B11</f>
        <v>用途</v>
      </c>
      <c r="R11" s="1502" t="s">
        <v>8</v>
      </c>
      <c r="S11" s="1503">
        <f t="shared" si="0"/>
        <v>100</v>
      </c>
      <c r="T11" s="1502" t="s">
        <v>8</v>
      </c>
      <c r="U11" s="1503">
        <f t="shared" si="1"/>
        <v>100</v>
      </c>
      <c r="V11" s="1502" t="s">
        <v>8</v>
      </c>
      <c r="W11" s="1503">
        <f t="shared" si="2"/>
        <v>100</v>
      </c>
      <c r="X11" s="1504"/>
      <c r="Y11" s="3435" t="s">
        <v>530</v>
      </c>
      <c r="Z11" s="1132" t="str">
        <f t="shared" ref="Z11:Z17" si="7">Q11</f>
        <v>用途</v>
      </c>
      <c r="AA11" s="1505">
        <f t="shared" si="3"/>
        <v>1</v>
      </c>
      <c r="AB11" s="1505">
        <f t="shared" si="4"/>
        <v>1</v>
      </c>
      <c r="AC11" s="1505">
        <f t="shared" si="5"/>
        <v>1</v>
      </c>
    </row>
    <row r="12" spans="1:29" s="1291" customFormat="1" ht="27">
      <c r="A12" s="2632"/>
      <c r="B12" s="2637" t="s">
        <v>2737</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484"/>
      <c r="Q12" s="1133" t="str">
        <f t="shared" si="6"/>
        <v>土地使用年限（年）</v>
      </c>
      <c r="R12" s="1502" t="s">
        <v>8</v>
      </c>
      <c r="S12" s="1503">
        <f t="shared" si="0"/>
        <v>100</v>
      </c>
      <c r="T12" s="1502" t="s">
        <v>8</v>
      </c>
      <c r="U12" s="1503">
        <f t="shared" si="1"/>
        <v>100</v>
      </c>
      <c r="V12" s="1502" t="s">
        <v>8</v>
      </c>
      <c r="W12" s="1503">
        <f t="shared" si="2"/>
        <v>100</v>
      </c>
      <c r="X12" s="1504"/>
      <c r="Y12" s="3435"/>
      <c r="Z12" s="1132" t="str">
        <f t="shared" si="7"/>
        <v>土地使用年限（年）</v>
      </c>
      <c r="AA12" s="1505">
        <f t="shared" si="3"/>
        <v>1</v>
      </c>
      <c r="AB12" s="1505">
        <f t="shared" si="4"/>
        <v>1</v>
      </c>
      <c r="AC12" s="1505">
        <f t="shared" si="5"/>
        <v>1</v>
      </c>
    </row>
    <row r="13" spans="1:29" ht="15">
      <c r="A13" s="2633"/>
      <c r="B13" s="2637"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84"/>
      <c r="Q13" s="1133" t="str">
        <f t="shared" si="6"/>
        <v>容积率</v>
      </c>
      <c r="R13" s="1502" t="s">
        <v>8</v>
      </c>
      <c r="S13" s="1503" t="e">
        <f t="shared" si="0"/>
        <v>#N/A</v>
      </c>
      <c r="T13" s="1502" t="s">
        <v>8</v>
      </c>
      <c r="U13" s="1503" t="e">
        <f t="shared" si="1"/>
        <v>#N/A</v>
      </c>
      <c r="V13" s="1502" t="s">
        <v>8</v>
      </c>
      <c r="W13" s="1503" t="e">
        <f t="shared" si="2"/>
        <v>#N/A</v>
      </c>
      <c r="X13" s="1504"/>
      <c r="Y13" s="3435"/>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84"/>
      <c r="Q14" s="1133">
        <f t="shared" si="6"/>
        <v>111</v>
      </c>
      <c r="R14" s="1502" t="s">
        <v>8</v>
      </c>
      <c r="S14" s="1503">
        <f t="shared" si="0"/>
        <v>100</v>
      </c>
      <c r="T14" s="1502" t="s">
        <v>8</v>
      </c>
      <c r="U14" s="1503">
        <f t="shared" si="1"/>
        <v>100</v>
      </c>
      <c r="V14" s="1502" t="s">
        <v>8</v>
      </c>
      <c r="W14" s="1503">
        <f t="shared" si="2"/>
        <v>100</v>
      </c>
      <c r="X14" s="1504"/>
      <c r="Y14" s="3435"/>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84"/>
      <c r="Q15" s="1133">
        <f t="shared" si="6"/>
        <v>111</v>
      </c>
      <c r="R15" s="1502" t="s">
        <v>8</v>
      </c>
      <c r="S15" s="1503">
        <f t="shared" si="0"/>
        <v>100</v>
      </c>
      <c r="T15" s="1502" t="s">
        <v>8</v>
      </c>
      <c r="U15" s="1503">
        <f t="shared" si="1"/>
        <v>100</v>
      </c>
      <c r="V15" s="1502" t="s">
        <v>8</v>
      </c>
      <c r="W15" s="1503">
        <f t="shared" si="2"/>
        <v>100</v>
      </c>
      <c r="X15" s="1504"/>
      <c r="Y15" s="3435"/>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84"/>
      <c r="Q16" s="1133">
        <f t="shared" si="6"/>
        <v>111</v>
      </c>
      <c r="R16" s="1502" t="s">
        <v>8</v>
      </c>
      <c r="S16" s="1503">
        <f t="shared" si="0"/>
        <v>100</v>
      </c>
      <c r="T16" s="1502" t="s">
        <v>8</v>
      </c>
      <c r="U16" s="1503">
        <f t="shared" si="1"/>
        <v>100</v>
      </c>
      <c r="V16" s="1502" t="s">
        <v>8</v>
      </c>
      <c r="W16" s="1503">
        <f t="shared" si="2"/>
        <v>100</v>
      </c>
      <c r="X16" s="1504"/>
      <c r="Y16" s="3435"/>
      <c r="Z16" s="1132">
        <f t="shared" si="7"/>
        <v>111</v>
      </c>
      <c r="AA16" s="1505">
        <f t="shared" si="3"/>
        <v>1</v>
      </c>
      <c r="AB16" s="1505">
        <f t="shared" si="4"/>
        <v>1</v>
      </c>
      <c r="AC16" s="1505">
        <f t="shared" si="5"/>
        <v>1</v>
      </c>
    </row>
    <row r="17" spans="1:29" ht="57">
      <c r="A17" s="2627" t="s">
        <v>2734</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86" t="s">
        <v>534</v>
      </c>
      <c r="Q17" s="1506" t="str">
        <f t="shared" si="6"/>
        <v>产业集聚程度</v>
      </c>
      <c r="R17" s="1507" t="s">
        <v>8</v>
      </c>
      <c r="S17" s="1508">
        <f t="shared" si="0"/>
        <v>100</v>
      </c>
      <c r="T17" s="1507" t="s">
        <v>8</v>
      </c>
      <c r="U17" s="1508">
        <f t="shared" si="1"/>
        <v>100</v>
      </c>
      <c r="V17" s="1507" t="s">
        <v>8</v>
      </c>
      <c r="W17" s="1508">
        <f t="shared" si="2"/>
        <v>100</v>
      </c>
      <c r="X17" s="1501"/>
      <c r="Y17" s="3486"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487"/>
      <c r="Q18" s="1506"/>
      <c r="R18" s="1507"/>
      <c r="S18" s="1508"/>
      <c r="T18" s="1507"/>
      <c r="U18" s="1508"/>
      <c r="V18" s="1507"/>
      <c r="W18" s="1508"/>
      <c r="X18" s="1501"/>
      <c r="Y18" s="3487"/>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87"/>
      <c r="Q19" s="1506" t="str">
        <f>B19</f>
        <v>交通便捷度</v>
      </c>
      <c r="R19" s="1507" t="s">
        <v>8</v>
      </c>
      <c r="S19" s="1508">
        <f>F19</f>
        <v>100</v>
      </c>
      <c r="T19" s="1507" t="s">
        <v>8</v>
      </c>
      <c r="U19" s="1508">
        <f>H19</f>
        <v>100</v>
      </c>
      <c r="V19" s="1507" t="s">
        <v>8</v>
      </c>
      <c r="W19" s="1508">
        <f>J19</f>
        <v>100</v>
      </c>
      <c r="X19" s="1501"/>
      <c r="Y19" s="3487"/>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487"/>
      <c r="Q20" s="1506"/>
      <c r="R20" s="1507"/>
      <c r="S20" s="1508"/>
      <c r="T20" s="1507"/>
      <c r="U20" s="1508"/>
      <c r="V20" s="1507"/>
      <c r="W20" s="1508"/>
      <c r="X20" s="1501"/>
      <c r="Y20" s="3487"/>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487"/>
      <c r="Q21" s="1506" t="str">
        <f t="shared" ref="Q21:Q35" si="8">B21</f>
        <v>区域土地利用方向</v>
      </c>
      <c r="R21" s="1507" t="s">
        <v>8</v>
      </c>
      <c r="S21" s="1508">
        <f>F21</f>
        <v>100</v>
      </c>
      <c r="T21" s="1507" t="s">
        <v>8</v>
      </c>
      <c r="U21" s="1508">
        <f>H21</f>
        <v>100</v>
      </c>
      <c r="V21" s="1507" t="s">
        <v>8</v>
      </c>
      <c r="W21" s="1508">
        <f>J21</f>
        <v>100</v>
      </c>
      <c r="X21" s="1501"/>
      <c r="Y21" s="3487"/>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487"/>
      <c r="Q22" s="1506"/>
      <c r="R22" s="1507"/>
      <c r="S22" s="1508"/>
      <c r="T22" s="1507"/>
      <c r="U22" s="1508"/>
      <c r="V22" s="1507"/>
      <c r="W22" s="1508"/>
      <c r="X22" s="1501"/>
      <c r="Y22" s="3487"/>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87"/>
      <c r="Q23" s="1506" t="str">
        <f t="shared" si="8"/>
        <v>环境状况</v>
      </c>
      <c r="R23" s="1507" t="s">
        <v>8</v>
      </c>
      <c r="S23" s="1508">
        <f>F23</f>
        <v>100</v>
      </c>
      <c r="T23" s="1507" t="s">
        <v>8</v>
      </c>
      <c r="U23" s="1508">
        <f>H23</f>
        <v>100</v>
      </c>
      <c r="V23" s="1507" t="s">
        <v>8</v>
      </c>
      <c r="W23" s="1508">
        <f>J23</f>
        <v>100</v>
      </c>
      <c r="X23" s="1501"/>
      <c r="Y23" s="3487"/>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487"/>
      <c r="Q24" s="1506"/>
      <c r="R24" s="1507"/>
      <c r="S24" s="1508"/>
      <c r="T24" s="1507"/>
      <c r="U24" s="1508"/>
      <c r="V24" s="1507"/>
      <c r="W24" s="1508"/>
      <c r="X24" s="1501"/>
      <c r="Y24" s="3487"/>
      <c r="Z24" s="1509"/>
      <c r="AA24" s="1510">
        <v>1</v>
      </c>
      <c r="AB24" s="1510">
        <v>1</v>
      </c>
      <c r="AC24" s="1510">
        <v>1</v>
      </c>
    </row>
    <row r="25" spans="1:29" s="1202"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87"/>
      <c r="Q25" s="1133" t="str">
        <f t="shared" si="8"/>
        <v>公共配套设施</v>
      </c>
      <c r="R25" s="1502" t="s">
        <v>8</v>
      </c>
      <c r="S25" s="1503">
        <f>F25</f>
        <v>100</v>
      </c>
      <c r="T25" s="1502" t="s">
        <v>8</v>
      </c>
      <c r="U25" s="1503">
        <f>H25</f>
        <v>100</v>
      </c>
      <c r="V25" s="1502" t="s">
        <v>8</v>
      </c>
      <c r="W25" s="1503">
        <f>J25</f>
        <v>100</v>
      </c>
      <c r="X25" s="1504"/>
      <c r="Y25" s="3487"/>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487"/>
      <c r="Q26" s="1133"/>
      <c r="R26" s="1502"/>
      <c r="S26" s="1503"/>
      <c r="T26" s="1502"/>
      <c r="U26" s="1503"/>
      <c r="V26" s="1502"/>
      <c r="W26" s="1503"/>
      <c r="X26" s="1504"/>
      <c r="Y26" s="3487"/>
      <c r="Z26" s="1132"/>
      <c r="AA26" s="1505">
        <v>1</v>
      </c>
      <c r="AB26" s="1505">
        <v>1</v>
      </c>
      <c r="AC26" s="1505">
        <v>1</v>
      </c>
    </row>
    <row r="27" spans="1:29" s="1202"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87"/>
      <c r="Q27" s="2428" t="str">
        <f t="shared" ref="Q27" si="9">B27</f>
        <v>基础设施水平</v>
      </c>
      <c r="R27" s="1502" t="s">
        <v>8</v>
      </c>
      <c r="S27" s="1503">
        <f>F27</f>
        <v>100</v>
      </c>
      <c r="T27" s="1502" t="s">
        <v>8</v>
      </c>
      <c r="U27" s="1503">
        <f>H27</f>
        <v>100</v>
      </c>
      <c r="V27" s="1502" t="s">
        <v>8</v>
      </c>
      <c r="W27" s="1503">
        <f>J27</f>
        <v>100</v>
      </c>
      <c r="X27" s="1504"/>
      <c r="Y27" s="3487"/>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487"/>
      <c r="Q28" s="2428"/>
      <c r="R28" s="1502"/>
      <c r="S28" s="1503"/>
      <c r="T28" s="1502"/>
      <c r="U28" s="1503"/>
      <c r="V28" s="1502"/>
      <c r="W28" s="1503"/>
      <c r="X28" s="1504"/>
      <c r="Y28" s="3487"/>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87"/>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487"/>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87"/>
      <c r="Q30" s="1506" t="str">
        <f t="shared" si="8"/>
        <v>毗邻道路的类型与等级</v>
      </c>
      <c r="R30" s="1507" t="s">
        <v>8</v>
      </c>
      <c r="S30" s="1508">
        <f t="shared" si="10"/>
        <v>100</v>
      </c>
      <c r="T30" s="1507" t="s">
        <v>8</v>
      </c>
      <c r="U30" s="1508">
        <f t="shared" si="11"/>
        <v>100</v>
      </c>
      <c r="V30" s="1507" t="s">
        <v>8</v>
      </c>
      <c r="W30" s="1508">
        <f t="shared" si="12"/>
        <v>100</v>
      </c>
      <c r="X30" s="1501"/>
      <c r="Y30" s="3487"/>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487"/>
      <c r="Q31" s="1506"/>
      <c r="R31" s="1507"/>
      <c r="S31" s="1508"/>
      <c r="T31" s="1507"/>
      <c r="U31" s="1508"/>
      <c r="V31" s="1507"/>
      <c r="W31" s="1508"/>
      <c r="X31" s="1501"/>
      <c r="Y31" s="3487"/>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87"/>
      <c r="Q32" s="1506" t="str">
        <f t="shared" si="8"/>
        <v>土地级别</v>
      </c>
      <c r="R32" s="1507" t="s">
        <v>8</v>
      </c>
      <c r="S32" s="1508">
        <f t="shared" si="10"/>
        <v>100</v>
      </c>
      <c r="T32" s="1507" t="s">
        <v>8</v>
      </c>
      <c r="U32" s="1508">
        <f t="shared" si="11"/>
        <v>100</v>
      </c>
      <c r="V32" s="1507" t="s">
        <v>8</v>
      </c>
      <c r="W32" s="1508">
        <f t="shared" si="12"/>
        <v>100</v>
      </c>
      <c r="X32" s="1501"/>
      <c r="Y32" s="3487"/>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87"/>
      <c r="Q33" s="1506">
        <f t="shared" si="8"/>
        <v>111</v>
      </c>
      <c r="R33" s="1507" t="s">
        <v>8</v>
      </c>
      <c r="S33" s="1508">
        <f t="shared" si="10"/>
        <v>100</v>
      </c>
      <c r="T33" s="1507" t="s">
        <v>8</v>
      </c>
      <c r="U33" s="1508">
        <f t="shared" si="11"/>
        <v>100</v>
      </c>
      <c r="V33" s="1507" t="s">
        <v>8</v>
      </c>
      <c r="W33" s="1508">
        <f t="shared" si="12"/>
        <v>100</v>
      </c>
      <c r="X33" s="1501"/>
      <c r="Y33" s="3487"/>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88" t="s">
        <v>544</v>
      </c>
      <c r="Q34" s="1506">
        <f t="shared" si="8"/>
        <v>111</v>
      </c>
      <c r="R34" s="1507" t="s">
        <v>8</v>
      </c>
      <c r="S34" s="1508">
        <f t="shared" si="10"/>
        <v>100</v>
      </c>
      <c r="T34" s="1507" t="s">
        <v>8</v>
      </c>
      <c r="U34" s="1508">
        <f t="shared" si="11"/>
        <v>100</v>
      </c>
      <c r="V34" s="1507" t="s">
        <v>8</v>
      </c>
      <c r="W34" s="1508">
        <f t="shared" si="12"/>
        <v>100</v>
      </c>
      <c r="X34" s="1501"/>
      <c r="Y34" s="3489"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89"/>
      <c r="Q35" s="1506">
        <f t="shared" si="8"/>
        <v>111</v>
      </c>
      <c r="R35" s="1511" t="s">
        <v>8</v>
      </c>
      <c r="S35" s="1512">
        <f t="shared" si="10"/>
        <v>100</v>
      </c>
      <c r="T35" s="1511" t="s">
        <v>8</v>
      </c>
      <c r="U35" s="1512">
        <f t="shared" si="11"/>
        <v>100</v>
      </c>
      <c r="V35" s="1511" t="s">
        <v>8</v>
      </c>
      <c r="W35" s="1512">
        <f t="shared" si="12"/>
        <v>100</v>
      </c>
      <c r="X35" s="1513"/>
      <c r="Y35" s="3489"/>
      <c r="Z35" s="1514">
        <f t="shared" si="13"/>
        <v>111</v>
      </c>
      <c r="AA35" s="1510">
        <f t="shared" si="3"/>
        <v>1</v>
      </c>
      <c r="AB35" s="1510">
        <f t="shared" si="4"/>
        <v>1</v>
      </c>
      <c r="AC35" s="1510">
        <f t="shared" si="5"/>
        <v>1</v>
      </c>
    </row>
    <row r="36" spans="1:29" ht="15">
      <c r="A36" s="2624"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89"/>
      <c r="Q36" s="1506" t="str">
        <f>B36</f>
        <v>宗地面积</v>
      </c>
      <c r="R36" s="1507" t="s">
        <v>8</v>
      </c>
      <c r="S36" s="1508" t="e">
        <f t="shared" si="10"/>
        <v>#N/A</v>
      </c>
      <c r="T36" s="1507" t="s">
        <v>8</v>
      </c>
      <c r="U36" s="1508" t="e">
        <f t="shared" si="11"/>
        <v>#N/A</v>
      </c>
      <c r="V36" s="1507" t="s">
        <v>8</v>
      </c>
      <c r="W36" s="1508" t="e">
        <f t="shared" si="12"/>
        <v>#N/A</v>
      </c>
      <c r="X36" s="1501"/>
      <c r="Y36" s="3489"/>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89"/>
      <c r="Q37" s="1506" t="str">
        <f t="shared" ref="Q37:Q42" si="14">B37</f>
        <v>宗地形状</v>
      </c>
      <c r="R37" s="1507" t="s">
        <v>8</v>
      </c>
      <c r="S37" s="1508">
        <f t="shared" si="10"/>
        <v>100</v>
      </c>
      <c r="T37" s="1507" t="s">
        <v>8</v>
      </c>
      <c r="U37" s="1508">
        <f t="shared" si="11"/>
        <v>100</v>
      </c>
      <c r="V37" s="1507" t="s">
        <v>8</v>
      </c>
      <c r="W37" s="1508">
        <f t="shared" si="12"/>
        <v>100</v>
      </c>
      <c r="X37" s="1501"/>
      <c r="Y37" s="3489"/>
      <c r="Z37" s="1509" t="str">
        <f t="shared" si="13"/>
        <v>宗地形状</v>
      </c>
      <c r="AA37" s="1510">
        <f t="shared" si="3"/>
        <v>1</v>
      </c>
      <c r="AB37" s="1510">
        <f t="shared" si="4"/>
        <v>1</v>
      </c>
      <c r="AC37" s="1510">
        <f t="shared" si="5"/>
        <v>1</v>
      </c>
    </row>
    <row r="38" spans="1:29" s="1202"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89"/>
      <c r="Q38" s="1506" t="str">
        <f t="shared" si="14"/>
        <v>宗地开发程度</v>
      </c>
      <c r="R38" s="1502" t="s">
        <v>8</v>
      </c>
      <c r="S38" s="1503">
        <f t="shared" si="10"/>
        <v>100</v>
      </c>
      <c r="T38" s="1502" t="s">
        <v>8</v>
      </c>
      <c r="U38" s="1503">
        <f t="shared" si="11"/>
        <v>100</v>
      </c>
      <c r="V38" s="1502" t="s">
        <v>8</v>
      </c>
      <c r="W38" s="1503">
        <f t="shared" si="12"/>
        <v>100</v>
      </c>
      <c r="X38" s="1504"/>
      <c r="Y38" s="3489"/>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89" t="s">
        <v>595</v>
      </c>
      <c r="Q39" s="1506" t="str">
        <f t="shared" si="14"/>
        <v>工程地质条件</v>
      </c>
      <c r="R39" s="1507" t="s">
        <v>8</v>
      </c>
      <c r="S39" s="1508">
        <f t="shared" si="10"/>
        <v>100</v>
      </c>
      <c r="T39" s="1507" t="s">
        <v>8</v>
      </c>
      <c r="U39" s="1508">
        <f t="shared" si="11"/>
        <v>100</v>
      </c>
      <c r="V39" s="1507" t="s">
        <v>8</v>
      </c>
      <c r="W39" s="1508">
        <f t="shared" si="12"/>
        <v>100</v>
      </c>
      <c r="X39" s="1501"/>
      <c r="Y39" s="3489"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89"/>
      <c r="Q40" s="1506">
        <f t="shared" si="14"/>
        <v>111</v>
      </c>
      <c r="R40" s="1507" t="s">
        <v>8</v>
      </c>
      <c r="S40" s="1508">
        <f t="shared" si="10"/>
        <v>100</v>
      </c>
      <c r="T40" s="1507" t="s">
        <v>8</v>
      </c>
      <c r="U40" s="1508">
        <f t="shared" si="11"/>
        <v>100</v>
      </c>
      <c r="V40" s="1507" t="s">
        <v>8</v>
      </c>
      <c r="W40" s="1508">
        <f t="shared" si="12"/>
        <v>100</v>
      </c>
      <c r="X40" s="1501"/>
      <c r="Y40" s="3489"/>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89"/>
      <c r="Q41" s="1506">
        <f t="shared" si="14"/>
        <v>111</v>
      </c>
      <c r="R41" s="1507" t="s">
        <v>8</v>
      </c>
      <c r="S41" s="1508">
        <f t="shared" si="10"/>
        <v>100</v>
      </c>
      <c r="T41" s="1507" t="s">
        <v>8</v>
      </c>
      <c r="U41" s="1508">
        <f t="shared" si="11"/>
        <v>100</v>
      </c>
      <c r="V41" s="1507" t="s">
        <v>8</v>
      </c>
      <c r="W41" s="1508">
        <f t="shared" si="12"/>
        <v>100</v>
      </c>
      <c r="X41" s="1501"/>
      <c r="Y41" s="3489"/>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89"/>
      <c r="Q42" s="1506">
        <f t="shared" si="14"/>
        <v>111</v>
      </c>
      <c r="R42" s="1511" t="s">
        <v>8</v>
      </c>
      <c r="S42" s="1512">
        <f t="shared" si="10"/>
        <v>100</v>
      </c>
      <c r="T42" s="1511" t="s">
        <v>8</v>
      </c>
      <c r="U42" s="1512">
        <f t="shared" si="11"/>
        <v>100</v>
      </c>
      <c r="V42" s="1511" t="s">
        <v>8</v>
      </c>
      <c r="W42" s="1512">
        <f t="shared" si="12"/>
        <v>100</v>
      </c>
      <c r="X42" s="1513"/>
      <c r="Y42" s="3489"/>
      <c r="Z42" s="1514">
        <f t="shared" si="13"/>
        <v>111</v>
      </c>
      <c r="AA42" s="1510">
        <f t="shared" si="3"/>
        <v>1</v>
      </c>
      <c r="AB42" s="1510">
        <f t="shared" si="4"/>
        <v>1</v>
      </c>
      <c r="AC42" s="1510">
        <f t="shared" si="5"/>
        <v>1</v>
      </c>
    </row>
    <row r="43" spans="1:29" ht="15">
      <c r="A43" s="601" t="s">
        <v>550</v>
      </c>
      <c r="B43" s="602" t="s">
        <v>2902</v>
      </c>
      <c r="C43" s="603" t="s">
        <v>1</v>
      </c>
      <c r="D43" s="604"/>
      <c r="E43" s="605"/>
      <c r="F43" s="606"/>
      <c r="G43" s="607"/>
      <c r="H43" s="608"/>
      <c r="I43" s="605"/>
      <c r="J43" s="608"/>
      <c r="K43" s="1293"/>
      <c r="L43" s="2026"/>
      <c r="M43" s="2016"/>
      <c r="N43" s="2016"/>
      <c r="O43" s="2027"/>
      <c r="P43" s="3484" t="str">
        <f>A43</f>
        <v>成交单价</v>
      </c>
      <c r="Q43" s="3484"/>
      <c r="R43" s="3498">
        <f>E43</f>
        <v>0</v>
      </c>
      <c r="S43" s="3498"/>
      <c r="T43" s="3498">
        <f>G43</f>
        <v>0</v>
      </c>
      <c r="U43" s="3498"/>
      <c r="V43" s="3498">
        <f>I43</f>
        <v>0</v>
      </c>
      <c r="W43" s="3498"/>
      <c r="X43" s="1496"/>
      <c r="Y43" s="1515"/>
      <c r="Z43" s="1496"/>
      <c r="AA43" s="1496"/>
      <c r="AB43" s="1496"/>
      <c r="AC43" s="1496"/>
    </row>
    <row r="44" spans="1:29" ht="15.75" thickBot="1">
      <c r="A44" s="609" t="s">
        <v>2673</v>
      </c>
      <c r="B44" s="610"/>
      <c r="C44" s="611" t="e">
        <f>R45</f>
        <v>#DIV/0!</v>
      </c>
      <c r="D44" s="3013" t="s">
        <v>2971</v>
      </c>
      <c r="E44" s="611" t="e">
        <f>R44</f>
        <v>#DIV/0!</v>
      </c>
      <c r="F44" s="3014"/>
      <c r="G44" s="612" t="e">
        <f>T44</f>
        <v>#DIV/0!</v>
      </c>
      <c r="H44" s="3014"/>
      <c r="I44" s="611" t="e">
        <f>V44</f>
        <v>#DIV/0!</v>
      </c>
      <c r="J44" s="3014"/>
      <c r="K44" s="3015">
        <f>F44+H44+J44</f>
        <v>0</v>
      </c>
      <c r="L44" s="2026"/>
      <c r="M44" s="2016"/>
      <c r="N44" s="2016"/>
      <c r="O44" s="2027"/>
      <c r="P44" s="3484" t="str">
        <f>A44</f>
        <v>比较价格（元/平方米）</v>
      </c>
      <c r="Q44" s="3484"/>
      <c r="R44" s="3508" t="e">
        <f>ROUND(PRODUCT(R43,AA9:AA42),0)</f>
        <v>#DIV/0!</v>
      </c>
      <c r="S44" s="3508"/>
      <c r="T44" s="3508" t="e">
        <f>ROUND(PRODUCT(T43,AB9:AB42),0)</f>
        <v>#DIV/0!</v>
      </c>
      <c r="U44" s="3508"/>
      <c r="V44" s="3508" t="e">
        <f>ROUND(PRODUCT(V43,AC9:AC42),0)</f>
        <v>#DIV/0!</v>
      </c>
      <c r="W44" s="3508"/>
      <c r="X44" s="1496"/>
      <c r="Y44" s="1496"/>
      <c r="Z44" s="1496"/>
      <c r="AA44" s="1496"/>
      <c r="AB44" s="1496"/>
      <c r="AC44" s="1496"/>
    </row>
    <row r="45" spans="1:29" ht="15.75" thickBot="1">
      <c r="A45" s="613" t="s">
        <v>2903</v>
      </c>
      <c r="B45" s="614"/>
      <c r="C45" s="615" t="e">
        <f>R45</f>
        <v>#DIV/0!</v>
      </c>
      <c r="D45" s="615"/>
      <c r="E45" s="615"/>
      <c r="F45" s="615"/>
      <c r="G45" s="615"/>
      <c r="H45" s="615"/>
      <c r="I45" s="615"/>
      <c r="J45" s="615"/>
      <c r="K45" s="1294"/>
      <c r="L45" s="2026"/>
      <c r="M45" s="2016"/>
      <c r="N45" s="2016"/>
      <c r="O45" s="2027"/>
      <c r="P45" s="3505" t="str">
        <f>A45</f>
        <v>估价对象XX用房的比较价格（楼面单价，元/平方米）</v>
      </c>
      <c r="Q45" s="3506"/>
      <c r="R45" s="3514" t="e">
        <f>ROUND(IF(D44="简单平均",AVERAGE(R44:W44),R44*F44+T44*H44+V44*J44),0)</f>
        <v>#DIV/0!</v>
      </c>
      <c r="S45" s="3514"/>
      <c r="T45" s="3514"/>
      <c r="U45" s="3514"/>
      <c r="V45" s="3514"/>
      <c r="W45" s="3514"/>
      <c r="X45" s="1496"/>
      <c r="Y45" s="1496"/>
      <c r="Z45" s="1496"/>
      <c r="AA45" s="1496"/>
      <c r="AB45" s="1496"/>
      <c r="AC45" s="1496"/>
    </row>
    <row r="46" spans="1:29">
      <c r="A46" s="3213"/>
      <c r="B46" s="3213"/>
      <c r="C46" s="3213"/>
      <c r="D46" s="3213"/>
      <c r="E46" s="3213"/>
      <c r="F46" s="3213"/>
      <c r="G46" s="3215"/>
      <c r="H46" s="3213"/>
      <c r="I46" s="3213"/>
      <c r="J46" s="3213"/>
      <c r="K46" s="3216"/>
      <c r="L46" s="2031"/>
      <c r="M46" s="2016"/>
      <c r="N46" s="2016"/>
      <c r="O46" s="2027"/>
      <c r="P46" s="2027"/>
      <c r="Q46" s="2027"/>
      <c r="R46" s="2027"/>
      <c r="S46" s="2027"/>
      <c r="T46" s="2027"/>
      <c r="U46" s="2027"/>
      <c r="V46" s="2027"/>
      <c r="W46" s="2027"/>
      <c r="X46" s="2027"/>
      <c r="Y46" s="2027"/>
      <c r="Z46" s="2027"/>
      <c r="AA46" s="2027"/>
      <c r="AB46" s="2027"/>
      <c r="AC46" s="2027"/>
    </row>
    <row r="47" spans="1:29">
      <c r="A47" s="3213"/>
      <c r="B47" s="3213"/>
      <c r="C47" s="3213"/>
      <c r="D47" s="3213"/>
      <c r="E47" s="3213"/>
      <c r="F47" s="3213"/>
      <c r="G47" s="3213"/>
      <c r="H47" s="3213"/>
      <c r="I47" s="3213"/>
      <c r="J47" s="3213"/>
      <c r="K47" s="3216"/>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4"/>
      <c r="B51" s="3225"/>
      <c r="C51" s="2032"/>
      <c r="D51" s="2028"/>
      <c r="E51" s="2028"/>
      <c r="F51" s="2028"/>
      <c r="G51" s="2028"/>
      <c r="H51" s="2028"/>
      <c r="I51" s="2028"/>
      <c r="J51" s="2028"/>
      <c r="K51" s="3217"/>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09" t="s">
        <v>2272</v>
      </c>
      <c r="H52" s="3510"/>
      <c r="I52" s="1866" t="s">
        <v>1934</v>
      </c>
      <c r="J52" s="1493">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63690</v>
      </c>
      <c r="F53" s="1864" t="e">
        <f t="shared" ref="F53:F62" si="15">ROUND(B53*E53/10000,0)</f>
        <v>#DIV/0!</v>
      </c>
      <c r="G53" s="3511"/>
      <c r="H53" s="3512"/>
      <c r="I53" s="1867">
        <v>1</v>
      </c>
      <c r="J53" s="1494">
        <v>1</v>
      </c>
      <c r="K53" s="3218"/>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13" t="s">
        <v>2273</v>
      </c>
      <c r="H54" s="1868">
        <f>项目基本情况!B43</f>
        <v>0</v>
      </c>
      <c r="I54" s="1867">
        <f>SUMIF(修正!$A$45:$A$56,H54,修正!B45:B56)</f>
        <v>0</v>
      </c>
      <c r="J54" s="1495"/>
      <c r="K54" s="3218"/>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13"/>
      <c r="H55" s="1869">
        <f>项目基本情况!B43</f>
        <v>0</v>
      </c>
      <c r="I55" s="1867">
        <f>SUMIF(修正!$A$45:$A$56,H55,修正!C45:C56)</f>
        <v>0</v>
      </c>
      <c r="J55" s="1495"/>
      <c r="K55" s="3218"/>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13"/>
      <c r="H56" s="1869">
        <f>项目基本情况!B43</f>
        <v>0</v>
      </c>
      <c r="I56" s="1867">
        <f>SUMIF(修正!$A$45:$A$56,H56,修正!D45:D56)</f>
        <v>0</v>
      </c>
      <c r="J56" s="1495"/>
      <c r="K56" s="3218"/>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13"/>
      <c r="H57" s="1869">
        <f>项目基本情况!B43</f>
        <v>0</v>
      </c>
      <c r="I57" s="1867">
        <f>SUMIF(修正!$A$45:$A$56,H57,修正!E45:E56)</f>
        <v>0</v>
      </c>
      <c r="J57" s="1495"/>
      <c r="K57" s="3218"/>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19342</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2282</v>
      </c>
      <c r="E63" s="635">
        <f>IF(B43="楼面地价",SUM(E53:E62),'数据-汇总表'!D3)</f>
        <v>45034</v>
      </c>
      <c r="F63" s="636" t="e">
        <f>IF(B43="楼面地价",SUM(F53:F62),ROUND(C45*E63/10000,0))</f>
        <v>#DIV/0!</v>
      </c>
      <c r="G63" s="2037"/>
      <c r="H63" s="2037"/>
      <c r="I63" s="2037"/>
      <c r="J63" s="2037"/>
      <c r="K63" s="3226"/>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2021-7-1</v>
      </c>
      <c r="D65" s="2516">
        <f>EDATE(C65,-3)</f>
        <v>44287</v>
      </c>
      <c r="E65" s="2516">
        <f t="shared" ref="E65:N65" si="18">EDATE(D65,-3)</f>
        <v>44197</v>
      </c>
      <c r="F65" s="2516">
        <f t="shared" si="18"/>
        <v>44105</v>
      </c>
      <c r="G65" s="2516">
        <f t="shared" si="18"/>
        <v>44013</v>
      </c>
      <c r="H65" s="2516">
        <f t="shared" si="18"/>
        <v>43922</v>
      </c>
      <c r="I65" s="2516">
        <f t="shared" si="18"/>
        <v>43831</v>
      </c>
      <c r="J65" s="2516">
        <f t="shared" si="18"/>
        <v>43739</v>
      </c>
      <c r="K65" s="2516">
        <f t="shared" si="18"/>
        <v>43647</v>
      </c>
      <c r="L65" s="2516">
        <f t="shared" si="18"/>
        <v>43556</v>
      </c>
      <c r="M65" s="2516">
        <f t="shared" si="18"/>
        <v>43466</v>
      </c>
      <c r="N65" s="2516">
        <f t="shared" si="18"/>
        <v>43374</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2514</v>
      </c>
      <c r="B67" s="638"/>
      <c r="C67" s="2513" t="str">
        <f>YEAR(C65)&amp;"-"&amp;ROUNDUP(MONTH(C65)/3,0)</f>
        <v>2021-3</v>
      </c>
      <c r="D67" s="2518" t="str">
        <f t="shared" ref="D67:N67" si="19">YEAR(D65)&amp;"-"&amp;ROUNDUP(MONTH(D65)/3,0)</f>
        <v>2021-2</v>
      </c>
      <c r="E67" s="2518" t="str">
        <f t="shared" si="19"/>
        <v>2021-1</v>
      </c>
      <c r="F67" s="2518" t="str">
        <f t="shared" si="19"/>
        <v>2020-4</v>
      </c>
      <c r="G67" s="2518" t="str">
        <f t="shared" si="19"/>
        <v>2020-3</v>
      </c>
      <c r="H67" s="2518" t="str">
        <f t="shared" si="19"/>
        <v>2020-2</v>
      </c>
      <c r="I67" s="2518" t="str">
        <f t="shared" si="19"/>
        <v>2020-1</v>
      </c>
      <c r="J67" s="2518" t="str">
        <f t="shared" si="19"/>
        <v>2019-4</v>
      </c>
      <c r="K67" s="2518" t="str">
        <f t="shared" si="19"/>
        <v>2019-3</v>
      </c>
      <c r="L67" s="2518" t="str">
        <f t="shared" si="19"/>
        <v>2019-2</v>
      </c>
      <c r="M67" s="2518" t="str">
        <f t="shared" si="19"/>
        <v>2019-1</v>
      </c>
      <c r="N67" s="2518" t="str">
        <f t="shared" si="19"/>
        <v>2018-4</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2629</v>
      </c>
      <c r="B68" s="473" t="str">
        <f>"北京市平均增长率"&amp;TEXT(基准地价!P24,"0.00%")</f>
        <v>北京市平均增长率0.00%</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7"/>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7"/>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8"/>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9"/>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8"/>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9"/>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8"/>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0"/>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9"/>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0"/>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0"/>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0"/>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0"/>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8"/>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2529</v>
      </c>
      <c r="C93" s="695" t="s">
        <v>573</v>
      </c>
      <c r="D93" s="695" t="s">
        <v>574</v>
      </c>
      <c r="E93" s="695" t="s">
        <v>575</v>
      </c>
      <c r="F93" s="695" t="s">
        <v>576</v>
      </c>
      <c r="G93" s="695" t="s">
        <v>577</v>
      </c>
      <c r="H93" s="705"/>
      <c r="I93" s="705"/>
      <c r="J93" s="705"/>
      <c r="K93" s="705"/>
      <c r="L93" s="706"/>
      <c r="M93" s="707"/>
      <c r="N93" s="3230"/>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2531</v>
      </c>
      <c r="C95" s="2442" t="s">
        <v>2532</v>
      </c>
      <c r="D95" s="2442" t="s">
        <v>2533</v>
      </c>
      <c r="E95" s="2442" t="s">
        <v>2534</v>
      </c>
      <c r="F95" s="2442" t="s">
        <v>2535</v>
      </c>
      <c r="G95" s="2442" t="s">
        <v>2536</v>
      </c>
      <c r="H95" s="705"/>
      <c r="I95" s="705"/>
      <c r="J95" s="705"/>
      <c r="K95" s="705"/>
      <c r="L95" s="705"/>
      <c r="M95" s="707"/>
      <c r="N95" s="3230"/>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0"/>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8"/>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8"/>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8"/>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9"/>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8"/>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9"/>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0"/>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9"/>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8"/>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8"/>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9"/>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8"/>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2410</v>
      </c>
      <c r="C114" s="1326"/>
      <c r="D114" s="1326"/>
      <c r="E114" s="1326"/>
      <c r="F114" s="1326"/>
      <c r="G114" s="1326"/>
      <c r="H114" s="710"/>
      <c r="I114" s="710"/>
      <c r="J114" s="710"/>
      <c r="K114" s="711"/>
      <c r="L114" s="712"/>
      <c r="M114" s="713"/>
      <c r="N114" s="3230"/>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8"/>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8"/>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9"/>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8"/>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9"/>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0"/>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0"/>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2741</v>
      </c>
      <c r="S1" s="2653" t="s">
        <v>2742</v>
      </c>
      <c r="T1" s="2653" t="s">
        <v>2763</v>
      </c>
      <c r="U1" s="2653" t="s">
        <v>2764</v>
      </c>
      <c r="V1" s="2653" t="s">
        <v>2765</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1"/>
      <c r="L2" s="1799" t="s">
        <v>2228</v>
      </c>
      <c r="M2" s="1800">
        <f>SUMPRODUCT((区片价!B10:B28=I2)*(区片价!C3:F3=E2)*(区片价!C10:F28))</f>
        <v>0</v>
      </c>
      <c r="N2" s="1801">
        <f>SUMPRODUCT((因素修正幅度!B10:B28=I2)*(因素修正幅度!C3:F3=E2)*(因素修正幅度!C10:F28))</f>
        <v>0</v>
      </c>
      <c r="O2" s="3231"/>
      <c r="P2" s="2070"/>
      <c r="Q2" s="2070"/>
      <c r="R2" s="2654">
        <v>1</v>
      </c>
      <c r="S2" s="2654" t="e">
        <f>ROUND(IF(G3&gt;1,IF(R2&lt;7,SUMPRODUCT((B93:B98=R2)*(C92:N92=G2)*(C93:N98)),SUMIF(C92:N92,G2,C100:N100)),IF(R2&lt;7,SUMPRODUCT((B102:B107=R2)*(C92:N92=G2)*(C102:N107)),SUMIF(C92:N92,G2,C109:N109))),4)</f>
        <v>#DIV/0!</v>
      </c>
      <c r="T2" s="2654" t="e">
        <f>ROUND($C$5*$C$18*$C$19*$C$20*S2*$C$24,0)</f>
        <v>#DIV/0!</v>
      </c>
      <c r="U2" s="2643"/>
      <c r="V2" s="2654"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0</v>
      </c>
      <c r="H3" s="1362" t="s">
        <v>920</v>
      </c>
      <c r="I3" s="1026">
        <v>8</v>
      </c>
      <c r="J3" s="1358" t="s">
        <v>921</v>
      </c>
      <c r="K3" s="3231"/>
      <c r="L3" s="1799" t="s">
        <v>2229</v>
      </c>
      <c r="M3" s="1800">
        <f>SUMPRODUCT((区片价!B29:B48=I2)*(区片价!C3:F3=E2)*(区片价!C29:F48))</f>
        <v>0</v>
      </c>
      <c r="N3" s="1801">
        <f>SUMPRODUCT((因素修正幅度!B29:B48=I2)*(因素修正幅度!C3:F3=E2)*(因素修正幅度!C29:F48))</f>
        <v>0</v>
      </c>
      <c r="O3" s="3231"/>
      <c r="P3" s="2070"/>
      <c r="Q3" s="2070"/>
      <c r="R3" s="2654">
        <v>2</v>
      </c>
      <c r="S3" s="2654" t="e">
        <f>ROUND(IF(G3&gt;1,IF(R3&lt;7,SUMPRODUCT((B93:B98=R3)*(C92:N92=G2)*(C93:N98)),SUMIF(C92:N92,G2,C100:N100)),IF(R3&lt;7,SUMPRODUCT((B102:B107=R3)*(C92:N92=G2)*(C102:N107)),SUMIF(C92:N92,G2,C109:N109))),4)</f>
        <v>#DIV/0!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2"/>
      <c r="L4" s="1799" t="s">
        <v>2230</v>
      </c>
      <c r="M4" s="1800">
        <f>SUMPRODUCT((区片价!B49:B75=I2)*(区片价!C3:F3=E2)*(区片价!C49:F75))</f>
        <v>0</v>
      </c>
      <c r="N4" s="1801">
        <f>SUMPRODUCT((因素修正幅度!B49:B75=I2)*(因素修正幅度!C3:F3=E2)*(因素修正幅度!C49:F75))</f>
        <v>0</v>
      </c>
      <c r="O4" s="3232"/>
      <c r="P4" s="2070"/>
      <c r="Q4" s="2070"/>
      <c r="R4" s="2654">
        <v>3</v>
      </c>
      <c r="S4" s="2654" t="e">
        <f>ROUND(IF(G3&gt;1,IF(R4&lt;7,SUMPRODUCT((B93:B98=R4)*(C92:N92=G2)*(C93:N98)),SUMIF(C92:N92,G2,C100:N100)),IF(R4&lt;7,SUMPRODUCT((B102:B107=R4)*(C92:N92=G2)*(C102:N107)),SUMIF(C92:N92,G2,C109:N109))),4)</f>
        <v>#DIV/0!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2" t="e">
        <f>ROUND(C6+C16,0)</f>
        <v>#DIV/0!</v>
      </c>
      <c r="E5" s="2792"/>
      <c r="F5" s="1364"/>
      <c r="G5" s="1365"/>
      <c r="H5" s="1365"/>
      <c r="I5" s="1365"/>
      <c r="J5" s="1366"/>
      <c r="K5" s="3233"/>
      <c r="L5" s="1799" t="s">
        <v>2231</v>
      </c>
      <c r="M5" s="1800">
        <f>SUMPRODUCT((区片价!B76:B109=I2)*(区片价!C3:F3=E2)*(区片价!C76:F109))</f>
        <v>0</v>
      </c>
      <c r="N5" s="1801">
        <f>SUMPRODUCT((因素修正幅度!B76:B109=I2)*(因素修正幅度!C3:F3=E2)*(因素修正幅度!C76:F109))</f>
        <v>0</v>
      </c>
      <c r="O5" s="3233"/>
      <c r="P5" s="3236"/>
      <c r="Q5" s="2070"/>
      <c r="R5" s="2654">
        <v>4</v>
      </c>
      <c r="S5" s="2654" t="e">
        <f>ROUND(IF(G3&gt;1,IF(R5&lt;7,SUMPRODUCT((B93:B98=R5)*(C92:N92=G2)*(C93:N98)),SUMIF(C92:N92,G2,C100:N100)),IF(R5&lt;7,SUMPRODUCT((B102:B107=R5)*(C92:N92=G2)*(C102:N107)),SUMIF(C92:N92,G2,C109:N109))),4)</f>
        <v>#DIV/0!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4"/>
      <c r="L6" s="1799" t="s">
        <v>2232</v>
      </c>
      <c r="M6" s="1800">
        <f>SUMPRODUCT((区片价!B110:B157=I2)*(区片价!C3:F3=E2)*(区片价!C110:F157))</f>
        <v>0</v>
      </c>
      <c r="N6" s="1801">
        <f>SUMPRODUCT((因素修正幅度!B110:B157=I2)*(因素修正幅度!C3:F3=E2)*(因素修正幅度!C110:F157))</f>
        <v>0</v>
      </c>
      <c r="O6" s="3234"/>
      <c r="P6" s="3237"/>
      <c r="Q6" s="2070"/>
      <c r="R6" s="2654">
        <v>5</v>
      </c>
      <c r="S6" s="2654" t="e">
        <f>ROUND(IF(G3&gt;1,IF(R6&lt;7,SUMPRODUCT((B93:B98=R6)*(C92:N92=G2)*(C93:N98)),SUMIF(C92:N92,G2,C100:N100)),IF(R6&lt;7,SUMPRODUCT((B102:B107=R6)*(C92:N92=G2)*(C102:N107)),SUMIF(C92:N92,G2,C109:N109))),4)</f>
        <v>#DIV/0!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22" t="str">
        <f>IF(E2="商业",IF(C8="不临58条商业街","",2),"")</f>
        <v/>
      </c>
      <c r="B7" s="1375" t="s">
        <v>923</v>
      </c>
      <c r="C7" s="1029" t="e">
        <f>IF(C8="不临58条商业街",1,ROUND(1+(1.6*E8+1.2*E9+0.8*E10+0.4*E11)*C9,4))</f>
        <v>#DIV/0!</v>
      </c>
      <c r="D7" s="1376" t="s">
        <v>924</v>
      </c>
      <c r="E7" s="1030"/>
      <c r="F7" s="1377"/>
      <c r="G7" s="1378"/>
      <c r="H7" s="1378"/>
      <c r="I7" s="1378"/>
      <c r="J7" s="1379"/>
      <c r="K7" s="3234"/>
      <c r="L7" s="1799" t="s">
        <v>2233</v>
      </c>
      <c r="M7" s="1800">
        <f>SUMPRODUCT((区片价!B158:B205=I2)*(区片价!C3:F3=E2)*(区片价!C158:F205))</f>
        <v>0</v>
      </c>
      <c r="N7" s="1801">
        <f>SUMPRODUCT((因素修正幅度!B158:B205=I2)*(因素修正幅度!C3:F3=E2)*(因素修正幅度!C158:F205))</f>
        <v>0</v>
      </c>
      <c r="O7" s="3234"/>
      <c r="P7" s="3237"/>
      <c r="Q7" s="2070"/>
      <c r="R7" s="2654">
        <v>6</v>
      </c>
      <c r="S7" s="2654" t="e">
        <f>ROUND(IF(G3&gt;1,IF(R7&lt;7,SUMPRODUCT((B93:B98=R7)*(C92:N92=G2)*(C93:N98)),SUMIF(C92:N92,G2,C100:N100)),IF(R7&lt;7,SUMPRODUCT((B102:B107=R7)*(C92:N92=G2)*(C102:N107)),SUMIF(C92:N92,G2,C109:N109))),4)</f>
        <v>#DIV/0!</v>
      </c>
      <c r="T7" s="2654" t="e">
        <f t="shared" si="0"/>
        <v>#DIV/0!</v>
      </c>
      <c r="U7" s="2643"/>
      <c r="V7" s="2654" t="e">
        <f t="shared" si="1"/>
        <v>#DIV/0!</v>
      </c>
      <c r="W7" s="2652" t="s">
        <v>2744</v>
      </c>
      <c r="X7" s="2644">
        <f>G2</f>
        <v>0</v>
      </c>
      <c r="Y7" s="2644" t="s">
        <v>2745</v>
      </c>
      <c r="Z7" s="2645">
        <f>G3</f>
        <v>0</v>
      </c>
      <c r="AA7" s="2073"/>
      <c r="AB7" s="2073"/>
      <c r="AC7" s="2074"/>
      <c r="AD7" s="2646"/>
      <c r="AE7" s="2646"/>
      <c r="AF7" s="2646"/>
      <c r="AG7" s="2646"/>
      <c r="AH7" s="2646"/>
      <c r="AI7" s="2646"/>
      <c r="AJ7" s="2647"/>
    </row>
    <row r="8" spans="1:39" ht="15">
      <c r="A8" s="3523"/>
      <c r="B8" s="1362" t="s">
        <v>925</v>
      </c>
      <c r="C8" s="1468"/>
      <c r="D8" s="1031" t="s">
        <v>926</v>
      </c>
      <c r="E8" s="1032" t="e">
        <f>ROUND(C11/E7,4)</f>
        <v>#DIV/0!</v>
      </c>
      <c r="F8" s="1380" t="s">
        <v>927</v>
      </c>
      <c r="G8" s="1381"/>
      <c r="H8" s="1381"/>
      <c r="I8" s="1381"/>
      <c r="J8" s="1382"/>
      <c r="K8" s="3234"/>
      <c r="L8" s="1799" t="s">
        <v>2234</v>
      </c>
      <c r="M8" s="1800">
        <f>SUMPRODUCT((区片价!B206:B244=I2)*(区片价!C3:F3=E2)*(区片价!C206:F244))</f>
        <v>0</v>
      </c>
      <c r="N8" s="1801">
        <f>SUMPRODUCT((因素修正幅度!B206:B244=I2)*(因素修正幅度!C3:F3=E2)*(因素修正幅度!C206:F244))</f>
        <v>0</v>
      </c>
      <c r="O8" s="3234"/>
      <c r="P8" s="2070"/>
      <c r="Q8" s="2070"/>
      <c r="R8" s="2654">
        <v>7</v>
      </c>
      <c r="S8" s="2643"/>
      <c r="T8" s="2654" t="e">
        <f t="shared" si="0"/>
        <v>#DIV/0!</v>
      </c>
      <c r="U8" s="2643"/>
      <c r="V8" s="2654" t="e">
        <f t="shared" si="1"/>
        <v>#DIV/0!</v>
      </c>
      <c r="W8" s="3533" t="s">
        <v>2762</v>
      </c>
      <c r="X8" s="3534"/>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523"/>
      <c r="B9" s="1362" t="s">
        <v>928</v>
      </c>
      <c r="C9" s="1033">
        <f>SUMIF(修正!C59:C119,C8,修正!E59:E119)</f>
        <v>0</v>
      </c>
      <c r="D9" s="1034" t="s">
        <v>929</v>
      </c>
      <c r="E9" s="1034" t="e">
        <f>ROUND(C11/E7,4)</f>
        <v>#DIV/0!</v>
      </c>
      <c r="F9" s="1380" t="s">
        <v>930</v>
      </c>
      <c r="G9" s="1381"/>
      <c r="H9" s="1381"/>
      <c r="I9" s="1381"/>
      <c r="J9" s="1382"/>
      <c r="K9" s="3234"/>
      <c r="L9" s="1799" t="s">
        <v>2235</v>
      </c>
      <c r="M9" s="1800">
        <f>SUMPRODUCT((区片价!B245:B289=I2)*(区片价!C3:F3=E2)*(区片价!C245:F289))</f>
        <v>0</v>
      </c>
      <c r="N9" s="1801">
        <f>SUMPRODUCT((因素修正幅度!B245:B289=I2)*(因素修正幅度!C3:F3=E2)*(因素修正幅度!C245:F289))</f>
        <v>0</v>
      </c>
      <c r="O9" s="3234"/>
      <c r="P9" s="2070"/>
      <c r="Q9" s="2070"/>
      <c r="R9" s="2654">
        <v>8</v>
      </c>
      <c r="S9" s="2643"/>
      <c r="T9" s="2654" t="e">
        <f t="shared" si="0"/>
        <v>#DIV/0!</v>
      </c>
      <c r="U9" s="2643"/>
      <c r="V9" s="2654" t="e">
        <f t="shared" si="1"/>
        <v>#DIV/0!</v>
      </c>
      <c r="W9" s="3532" t="s">
        <v>2758</v>
      </c>
      <c r="X9" s="2648" t="s">
        <v>2759</v>
      </c>
      <c r="Y9" s="2785"/>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23"/>
      <c r="B10" s="1362" t="s">
        <v>931</v>
      </c>
      <c r="C10" s="1034">
        <f>SUMIF(修正!C59:C119,C8,修正!F59:F119)</f>
        <v>0</v>
      </c>
      <c r="D10" s="1034" t="s">
        <v>932</v>
      </c>
      <c r="E10" s="1034" t="e">
        <f>ROUND(C11/E7,4)</f>
        <v>#DIV/0!</v>
      </c>
      <c r="F10" s="1380" t="s">
        <v>933</v>
      </c>
      <c r="G10" s="1381"/>
      <c r="H10" s="1381"/>
      <c r="I10" s="1381"/>
      <c r="J10" s="1382"/>
      <c r="K10" s="3234"/>
      <c r="L10" s="1799" t="s">
        <v>2236</v>
      </c>
      <c r="M10" s="1800">
        <f>SUMPRODUCT((区片价!B290:B316=I2)*(区片价!C3:F3=E2)*(区片价!C290:F316))</f>
        <v>0</v>
      </c>
      <c r="N10" s="1801">
        <f>SUMPRODUCT((因素修正幅度!B290:B316=I2)*(因素修正幅度!C3:F3=E2)*(因素修正幅度!C290:F316))</f>
        <v>0</v>
      </c>
      <c r="O10" s="3234"/>
      <c r="P10" s="2070"/>
      <c r="Q10" s="2070"/>
      <c r="R10" s="2654">
        <v>9</v>
      </c>
      <c r="S10" s="2643"/>
      <c r="T10" s="2654" t="e">
        <f t="shared" si="0"/>
        <v>#DIV/0!</v>
      </c>
      <c r="U10" s="2643"/>
      <c r="V10" s="2654" t="e">
        <f t="shared" si="1"/>
        <v>#DIV/0!</v>
      </c>
      <c r="W10" s="353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23"/>
      <c r="B11" s="1383" t="s">
        <v>934</v>
      </c>
      <c r="C11" s="1035">
        <f>C10/4</f>
        <v>0</v>
      </c>
      <c r="D11" s="1035" t="s">
        <v>935</v>
      </c>
      <c r="E11" s="1035" t="e">
        <f>ROUND(C11/E7,4)</f>
        <v>#DIV/0!</v>
      </c>
      <c r="F11" s="1384" t="s">
        <v>936</v>
      </c>
      <c r="G11" s="1385"/>
      <c r="H11" s="1385"/>
      <c r="I11" s="1385"/>
      <c r="J11" s="1386"/>
      <c r="K11" s="3234"/>
      <c r="L11" s="1799" t="s">
        <v>2237</v>
      </c>
      <c r="M11" s="1800">
        <f>SUMPRODUCT((区片价!B317:B337=I2)*(区片价!C3:F3=E2)*(区片价!C317:F337))</f>
        <v>0</v>
      </c>
      <c r="N11" s="1801">
        <f>SUMPRODUCT((因素修正幅度!B317:B337=I2)*(因素修正幅度!C3:F3=E2)*(因素修正幅度!C317:F337))</f>
        <v>0</v>
      </c>
      <c r="O11" s="3234"/>
      <c r="P11" s="2070"/>
      <c r="Q11" s="2070"/>
      <c r="R11" s="2654">
        <v>10</v>
      </c>
      <c r="S11" s="2643"/>
      <c r="T11" s="2654" t="e">
        <f t="shared" si="0"/>
        <v>#DIV/0!</v>
      </c>
      <c r="U11" s="2643"/>
      <c r="V11" s="2654" t="e">
        <f t="shared" si="1"/>
        <v>#DIV/0!</v>
      </c>
      <c r="W11" s="3532" t="s">
        <v>2760</v>
      </c>
      <c r="X11" s="1034" t="s">
        <v>2745</v>
      </c>
      <c r="Y11" s="1581">
        <f>$G$3</f>
        <v>0</v>
      </c>
      <c r="Z11" s="1581">
        <f t="shared" ref="Z11:AJ11" si="3">$G$3</f>
        <v>0</v>
      </c>
      <c r="AA11" s="1581">
        <f t="shared" si="3"/>
        <v>0</v>
      </c>
      <c r="AB11" s="1581">
        <f t="shared" si="3"/>
        <v>0</v>
      </c>
      <c r="AC11" s="1581">
        <f t="shared" si="3"/>
        <v>0</v>
      </c>
      <c r="AD11" s="1581">
        <f t="shared" si="3"/>
        <v>0</v>
      </c>
      <c r="AE11" s="1581">
        <f t="shared" si="3"/>
        <v>0</v>
      </c>
      <c r="AF11" s="1581">
        <f t="shared" si="3"/>
        <v>0</v>
      </c>
      <c r="AG11" s="1581">
        <f t="shared" si="3"/>
        <v>0</v>
      </c>
      <c r="AH11" s="1581">
        <f t="shared" si="3"/>
        <v>0</v>
      </c>
      <c r="AI11" s="1581">
        <f t="shared" si="3"/>
        <v>0</v>
      </c>
      <c r="AJ11" s="1581">
        <f t="shared" si="3"/>
        <v>0</v>
      </c>
    </row>
    <row r="12" spans="1:39" ht="25.5" thickBot="1">
      <c r="A12" s="3522" t="s">
        <v>1862</v>
      </c>
      <c r="B12" s="1387" t="s">
        <v>937</v>
      </c>
      <c r="C12" s="1029">
        <f>ROUND(C15*D15*E15*F15*G15*H15*I15*J15,4)</f>
        <v>1</v>
      </c>
      <c r="D12" s="1388" t="s">
        <v>938</v>
      </c>
      <c r="E12" s="1389"/>
      <c r="F12" s="1389"/>
      <c r="G12" s="1390"/>
      <c r="H12" s="1390"/>
      <c r="I12" s="1390"/>
      <c r="J12" s="1391"/>
      <c r="K12" s="3234"/>
      <c r="L12" s="1802" t="s">
        <v>2238</v>
      </c>
      <c r="M12" s="1803">
        <f>SUMPRODUCT((区片价!B338:B344=I2)*(区片价!C3:F3=E2)*(区片价!C338:F344))</f>
        <v>0</v>
      </c>
      <c r="N12" s="1804">
        <f>SUMPRODUCT((因素修正幅度!B338:B344=I2)*(因素修正幅度!C3:F3=E2)*(因素修正幅度!C338:F344))</f>
        <v>0</v>
      </c>
      <c r="O12" s="3234"/>
      <c r="P12" s="2070"/>
      <c r="Q12" s="2070"/>
      <c r="R12" s="2654">
        <v>11</v>
      </c>
      <c r="S12" s="2643"/>
      <c r="T12" s="2654" t="e">
        <f t="shared" si="0"/>
        <v>#DIV/0!</v>
      </c>
      <c r="U12" s="2643"/>
      <c r="V12" s="2654" t="e">
        <f t="shared" si="1"/>
        <v>#DIV/0!</v>
      </c>
      <c r="W12" s="3532"/>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24"/>
      <c r="B13" s="1392" t="s">
        <v>1687</v>
      </c>
      <c r="C13" s="1393" t="s">
        <v>1688</v>
      </c>
      <c r="D13" s="1071" t="s">
        <v>1689</v>
      </c>
      <c r="E13" s="1071" t="s">
        <v>1690</v>
      </c>
      <c r="F13" s="1394" t="s">
        <v>939</v>
      </c>
      <c r="G13" s="1395" t="s">
        <v>1633</v>
      </c>
      <c r="H13" s="1396" t="s">
        <v>1633</v>
      </c>
      <c r="I13" s="1397" t="s">
        <v>1633</v>
      </c>
      <c r="J13" s="1398" t="s">
        <v>1633</v>
      </c>
      <c r="K13" s="2842"/>
      <c r="L13" s="2842"/>
      <c r="M13" s="2842"/>
      <c r="N13" s="2842"/>
      <c r="O13" s="2842"/>
      <c r="P13" s="2070"/>
      <c r="Q13" s="2070"/>
      <c r="R13" s="2654">
        <v>12</v>
      </c>
      <c r="S13" s="2643"/>
      <c r="T13" s="2654" t="e">
        <f t="shared" si="0"/>
        <v>#DIV/0!</v>
      </c>
      <c r="U13" s="2643"/>
      <c r="V13" s="2654" t="e">
        <f t="shared" si="1"/>
        <v>#DIV/0!</v>
      </c>
      <c r="W13" s="3532"/>
      <c r="X13" s="2651"/>
      <c r="Y13" s="2650" t="e">
        <f>(-0.163*(Y12^2)-0.59*Y12+7617)*(10^(-4))/Y11</f>
        <v>#DIV/0!</v>
      </c>
      <c r="Z13" s="2650" t="e">
        <f t="shared" ref="Z13:AJ13" si="5">(-0.163*(Z12^2)-0.59*Z12+7617)*(10^(-4))/Z11</f>
        <v>#DIV/0!</v>
      </c>
      <c r="AA13" s="2650" t="e">
        <f t="shared" si="5"/>
        <v>#DIV/0!</v>
      </c>
      <c r="AB13" s="2650" t="e">
        <f t="shared" si="5"/>
        <v>#DIV/0!</v>
      </c>
      <c r="AC13" s="2650" t="e">
        <f t="shared" si="5"/>
        <v>#DIV/0!</v>
      </c>
      <c r="AD13" s="2650" t="e">
        <f t="shared" si="5"/>
        <v>#DIV/0!</v>
      </c>
      <c r="AE13" s="2650" t="e">
        <f t="shared" si="5"/>
        <v>#DIV/0!</v>
      </c>
      <c r="AF13" s="2650" t="e">
        <f t="shared" si="5"/>
        <v>#DIV/0!</v>
      </c>
      <c r="AG13" s="2650" t="e">
        <f t="shared" si="5"/>
        <v>#DIV/0!</v>
      </c>
      <c r="AH13" s="2650" t="e">
        <f t="shared" si="5"/>
        <v>#DIV/0!</v>
      </c>
      <c r="AI13" s="2650" t="e">
        <f t="shared" si="5"/>
        <v>#DIV/0!</v>
      </c>
      <c r="AJ13" s="2650" t="e">
        <f t="shared" si="5"/>
        <v>#DIV/0!</v>
      </c>
    </row>
    <row r="14" spans="1:39" ht="12.75" customHeight="1">
      <c r="A14" s="3524"/>
      <c r="B14" s="1399"/>
      <c r="C14" s="1400"/>
      <c r="D14" s="1401"/>
      <c r="E14" s="1401"/>
      <c r="F14" s="1402"/>
      <c r="G14" s="1403" t="s">
        <v>940</v>
      </c>
      <c r="H14" s="1404"/>
      <c r="I14" s="1405"/>
      <c r="J14" s="1406"/>
      <c r="K14" s="3235"/>
      <c r="L14" s="3235"/>
      <c r="M14" s="3235"/>
      <c r="N14" s="3235"/>
      <c r="O14" s="3235"/>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25"/>
      <c r="B15" s="2847" t="s">
        <v>1691</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22" t="s">
        <v>1829</v>
      </c>
      <c r="B16" s="1375" t="s">
        <v>941</v>
      </c>
      <c r="C16" s="1038" t="e">
        <f>ROUND(IF(F17="与级别开发程度一致",0,(G17-E17)/C17),0)</f>
        <v>#DIV/0!</v>
      </c>
      <c r="D16" s="3540" t="s">
        <v>945</v>
      </c>
      <c r="E16" s="3541"/>
      <c r="F16" s="3540" t="s">
        <v>942</v>
      </c>
      <c r="G16" s="3541"/>
      <c r="H16" s="1407"/>
      <c r="I16" s="1407"/>
      <c r="J16" s="1407"/>
      <c r="K16" s="1407"/>
      <c r="L16" s="1407"/>
      <c r="M16" s="1407"/>
      <c r="N16" s="1407"/>
      <c r="O16" s="2852"/>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26"/>
      <c r="B17" s="2853" t="s">
        <v>944</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8" t="s">
        <v>946</v>
      </c>
      <c r="C18" s="2849">
        <f>SUMIF(修正!C18:C39,E3,修正!E18:E39)</f>
        <v>0</v>
      </c>
      <c r="D18" s="2850"/>
      <c r="E18" s="2851"/>
      <c r="F18" s="2834"/>
      <c r="G18" s="2833"/>
      <c r="H18" s="2833"/>
      <c r="I18" s="2833"/>
      <c r="J18" s="2841"/>
      <c r="K18" s="3233"/>
      <c r="L18" s="2833"/>
      <c r="M18" s="2833"/>
      <c r="N18" s="2833"/>
      <c r="O18" s="2833"/>
      <c r="P18" s="3238"/>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ROUND(IF(H19="按公示增长率计算",SUMPRODUCT((地价!A3:A34=YEAR(G19)&amp;"-"&amp;ROUNDUP(MONTH(G19)/3,0))*(地价!X2:AB2=E2)*(地价!X3:AB34)),IF(H19="地价指数",M20/M19,(1+I19)^O19)),4)</f>
        <v>0</v>
      </c>
      <c r="D19" s="1414" t="s">
        <v>948</v>
      </c>
      <c r="E19" s="1040">
        <v>41640</v>
      </c>
      <c r="F19" s="1414" t="s">
        <v>949</v>
      </c>
      <c r="G19" s="1041">
        <f>'数据-取费表'!B2</f>
        <v>44385</v>
      </c>
      <c r="H19" s="1415" t="s">
        <v>2955</v>
      </c>
      <c r="I19" s="2503" t="str">
        <f>IF(H19="季度增幅（自定义）",SUMIF(N21:N24,E2,O21:O24),"")</f>
        <v/>
      </c>
      <c r="J19" s="1411"/>
      <c r="K19" s="3233"/>
      <c r="L19" s="2752" t="s">
        <v>2820</v>
      </c>
      <c r="M19" s="2753">
        <f>ROUND(SUMIF(地价!B2:F2,E2,地价!B34:F34),0)</f>
        <v>0</v>
      </c>
      <c r="N19" s="2505" t="s">
        <v>1667</v>
      </c>
      <c r="O19" s="2504">
        <f>ROUNDDOWN(DATEDIF(E19,G19,"M")/3,0)</f>
        <v>30</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2">
        <f>存贷款利率!E18/100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3"/>
      <c r="L20" s="2754" t="s">
        <v>2821</v>
      </c>
      <c r="M20" s="2836">
        <f>ROUND(SUMPRODUCT((地价!A4:A34=YEAR(G19)&amp;"-"&amp;ROUNDUP(MONTH(G19)/3,0))*(地价!B2:F2=E2)*(地价!B4:F34)),0)</f>
        <v>0</v>
      </c>
      <c r="N20" s="2508" t="s">
        <v>2625</v>
      </c>
      <c r="O20" s="2506" t="s">
        <v>2624</v>
      </c>
      <c r="P20" s="2507" t="s">
        <v>2630</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2990</v>
      </c>
      <c r="C21" s="1140" t="b">
        <f>IF(B21="容积率修正",IF(G3&lt;=10,D22,J22),C23)</f>
        <v>0</v>
      </c>
      <c r="D21" s="1421"/>
      <c r="E21" s="1421"/>
      <c r="F21" s="1421"/>
      <c r="G21" s="1421"/>
      <c r="H21" s="1421"/>
      <c r="I21" s="1421"/>
      <c r="J21" s="1422"/>
      <c r="K21" s="3233"/>
      <c r="L21" s="1421"/>
      <c r="M21" s="1421"/>
      <c r="N21" s="1418" t="s">
        <v>966</v>
      </c>
      <c r="O21" s="1481"/>
      <c r="P21" s="2495">
        <f>SUMPRODUCT((地价!A3:A34=YEAR(G19)&amp;"-"&amp;ROUNDUP(MONTH(G19)/3,0))*(地价!AD2:AH2=N21)*(地价!AD3:AH34))</f>
        <v>0</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t="b">
        <f>IF(E22=G22,F22,IF(G3&lt;=10,ROUND(F22+(H22-F22)*(G3-E22)/(G22-E22),4),"——"))</f>
        <v>0</v>
      </c>
      <c r="E22" s="1025">
        <f>ROUNDDOWN(G3,1)</f>
        <v>0</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0</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9"/>
      <c r="L22" s="1421"/>
      <c r="M22" s="1421"/>
      <c r="N22" s="1418" t="s">
        <v>969</v>
      </c>
      <c r="O22" s="1481"/>
      <c r="P22" s="2495">
        <f>SUMPRODUCT((地价!A3:A34=YEAR(G19)&amp;"-"&amp;ROUNDUP(MONTH(G19)/3,0))*(地价!AD2:AH2=N22)*(地价!AD3:AH34))</f>
        <v>0</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40"/>
      <c r="L23" s="1349"/>
      <c r="M23" s="1349"/>
      <c r="N23" s="1418" t="s">
        <v>914</v>
      </c>
      <c r="O23" s="1481"/>
      <c r="P23" s="2495">
        <f>SUMPRODUCT((地价!A3:A34=YEAR(G19)&amp;"-"&amp;ROUNDUP(MONTH(G19)/3,0))*(地价!AD2:AH2=N23)*(地价!AD3:AH34))</f>
        <v>0</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40"/>
      <c r="L24" s="1421"/>
      <c r="M24" s="1421"/>
      <c r="N24" s="1418" t="s">
        <v>972</v>
      </c>
      <c r="O24" s="2835"/>
      <c r="P24" s="2495">
        <f>SUMPRODUCT((地价!A3:A34=YEAR(G19)&amp;"-"&amp;ROUNDUP(MONTH(G19)/3,0))*(地价!AD2:AH2=N24)*(地价!AD3:AH34))</f>
        <v>0</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4"/>
      <c r="L25" s="2076"/>
      <c r="M25" s="2076"/>
      <c r="N25" s="2837" t="s">
        <v>2628</v>
      </c>
      <c r="O25" s="2838"/>
      <c r="P25" s="2302">
        <f>SUMPRODUCT((地价!A3:A34=YEAR(G19)&amp;"-"&amp;ROUNDUP(MONTH(G19)/3,0))*(地价!AD2:AH2=N25)*(地价!AD3:AH34))</f>
        <v>0</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6" t="e">
        <f>IF(B21="容积率修正",E29+SUM(E33:E39),SUM(V2:V16)+SUM(E33:E39))</f>
        <v>#DIV/0!</v>
      </c>
      <c r="D26" s="1429"/>
      <c r="E26" s="1404"/>
      <c r="F26" s="1430"/>
      <c r="G26" s="1404"/>
      <c r="H26" s="1404"/>
      <c r="I26" s="1404"/>
      <c r="J26" s="1431"/>
      <c r="K26" s="3234"/>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4"/>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4"/>
      <c r="L28" s="1409" t="s">
        <v>964</v>
      </c>
      <c r="M28" s="1479">
        <f>ROUND($E$20*(1+M27),3)</f>
        <v>5.3999999999999999E-2</v>
      </c>
      <c r="N28" s="1479">
        <f>ROUND($E$20*(1+N27),3)</f>
        <v>5.1999999999999998E-2</v>
      </c>
      <c r="O28" s="1479">
        <f>ROUND($E$20*(1+O27),3)</f>
        <v>0.05</v>
      </c>
      <c r="P28" s="1480">
        <f>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41"/>
      <c r="L29" s="3241"/>
      <c r="M29" s="3241"/>
      <c r="N29" s="3241"/>
      <c r="O29" s="3241"/>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4"/>
      <c r="L30" s="3234"/>
      <c r="M30" s="3234"/>
      <c r="N30" s="3234"/>
      <c r="O30" s="3234"/>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4"/>
      <c r="L31" s="3234"/>
      <c r="M31" s="3234"/>
      <c r="N31" s="3234"/>
      <c r="O31" s="3234"/>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2"/>
      <c r="L32" s="3242"/>
      <c r="M32" s="3242"/>
      <c r="N32" s="3242"/>
      <c r="O32" s="3242"/>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29"/>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29" t="s">
        <v>2994</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30"/>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30"/>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30"/>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30"/>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31"/>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31"/>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2949</v>
      </c>
      <c r="C41" s="828" t="e">
        <f>ROUND(POWER(1+E41,H41-G41)*(POWER(1+E41,G41)-1)/(POWER(1+E41,H41)-1),4)</f>
        <v>#DIV/0!</v>
      </c>
      <c r="D41" s="372" t="s">
        <v>2947</v>
      </c>
      <c r="E41" s="2831">
        <f>G20</f>
        <v>0</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1011</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49" t="s">
        <v>1012</v>
      </c>
      <c r="B48" s="2263" t="str">
        <f>估价对象房地状况!C18</f>
        <v>估价对象周边道路状况、公共交通通达情况、停车便捷程度，综合评价交通便捷度较好</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4" t="s">
        <v>2905</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3" t="s">
        <v>2904</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1021</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49" t="s">
        <v>1012</v>
      </c>
      <c r="B59" s="2263" t="str">
        <f>估价对象房地状况!C18</f>
        <v>估价对象周边道路状况、公共交通通达情况、停车便捷程度，综合评价交通便捷度较好</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4" t="s">
        <v>2906</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3" t="s">
        <v>2904</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估价对象所在区域公共配套设施齐备情况</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估价对象所在区域基础设施水平</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49" t="s">
        <v>1023</v>
      </c>
      <c r="B69" s="2266" t="str">
        <f>估价对象房地状况!C15</f>
        <v>估价对象周边居住用地比例、居住小区规模和社区发展完善程度，综合评价居住社区成熟度一般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1024</v>
      </c>
      <c r="B70" s="2263" t="str">
        <f>估价对象房地状况!C18</f>
        <v>估价对象周边道路状况、公共交通通达情况、停车便捷程度，综合评价交通便捷度较好</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估价对象所在区域公共配套设施齐备情况</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估价对象所在区域基础设施水平</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3" t="s">
        <v>2904</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区域自然环境：；人文环境；综合评价环境状况一般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3" t="s">
        <v>2904</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27" t="s">
        <v>1624</v>
      </c>
      <c r="B90" s="3527"/>
      <c r="C90" s="3527"/>
      <c r="D90" s="3527"/>
      <c r="E90" s="3527"/>
      <c r="F90" s="3527"/>
      <c r="G90" s="3527"/>
      <c r="H90" s="3527"/>
      <c r="I90" s="3527"/>
      <c r="J90" s="3527"/>
      <c r="K90" s="2305"/>
      <c r="L90" s="2305"/>
      <c r="M90" s="2305"/>
      <c r="N90" s="2305"/>
    </row>
    <row r="91" spans="1:40">
      <c r="A91" s="3528" t="s">
        <v>1434</v>
      </c>
      <c r="B91" s="3528" t="s">
        <v>1625</v>
      </c>
      <c r="C91" s="1122" t="s">
        <v>1626</v>
      </c>
      <c r="D91" s="1123"/>
      <c r="E91" s="1123"/>
      <c r="F91" s="1123"/>
      <c r="G91" s="1123"/>
      <c r="H91" s="1123"/>
      <c r="I91" s="1123"/>
      <c r="J91" s="1124"/>
      <c r="K91" s="1116"/>
      <c r="L91" s="1116"/>
      <c r="M91" s="1116"/>
      <c r="N91" s="1116"/>
    </row>
    <row r="92" spans="1:40">
      <c r="A92" s="3528"/>
      <c r="B92" s="3528"/>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35"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3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3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3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3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3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36"/>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37"/>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35" t="s">
        <v>1628</v>
      </c>
      <c r="B101" s="1129" t="s">
        <v>897</v>
      </c>
      <c r="C101" s="1130">
        <f>$G$3</f>
        <v>0</v>
      </c>
      <c r="D101" s="1130">
        <f t="shared" ref="D101:N101" si="31">$G$3</f>
        <v>0</v>
      </c>
      <c r="E101" s="1130">
        <f t="shared" si="31"/>
        <v>0</v>
      </c>
      <c r="F101" s="1130">
        <f t="shared" si="31"/>
        <v>0</v>
      </c>
      <c r="G101" s="1130">
        <f t="shared" si="31"/>
        <v>0</v>
      </c>
      <c r="H101" s="1130">
        <f t="shared" si="31"/>
        <v>0</v>
      </c>
      <c r="I101" s="1130">
        <f t="shared" si="31"/>
        <v>0</v>
      </c>
      <c r="J101" s="1130">
        <f t="shared" si="31"/>
        <v>0</v>
      </c>
      <c r="K101" s="1130">
        <f t="shared" si="31"/>
        <v>0</v>
      </c>
      <c r="L101" s="1130">
        <f t="shared" si="31"/>
        <v>0</v>
      </c>
      <c r="M101" s="1130">
        <f t="shared" si="31"/>
        <v>0</v>
      </c>
      <c r="N101" s="1130">
        <f t="shared" si="31"/>
        <v>0</v>
      </c>
    </row>
    <row r="102" spans="1:14">
      <c r="A102" s="3536"/>
      <c r="B102" s="1125">
        <v>1</v>
      </c>
      <c r="C102" s="1126" t="e">
        <f>1.9362/C101</f>
        <v>#DIV/0!</v>
      </c>
      <c r="D102" s="1126" t="e">
        <f>1.9362/D101</f>
        <v>#DIV/0!</v>
      </c>
      <c r="E102" s="1126" t="e">
        <f>1.8629/E101</f>
        <v>#DIV/0!</v>
      </c>
      <c r="F102" s="1126" t="e">
        <f>1.8629/F101</f>
        <v>#DIV/0!</v>
      </c>
      <c r="G102" s="1126" t="e">
        <f>1.8629/G101</f>
        <v>#DIV/0!</v>
      </c>
      <c r="H102" s="1126" t="e">
        <f>1.8629/H101</f>
        <v>#DIV/0!</v>
      </c>
      <c r="I102" s="1126" t="e">
        <f>1.8629/I101</f>
        <v>#DIV/0!</v>
      </c>
      <c r="J102" s="1126" t="e">
        <f>1.942/J101</f>
        <v>#DIV/0!</v>
      </c>
      <c r="K102" s="1126" t="e">
        <f>1.942/K101</f>
        <v>#DIV/0!</v>
      </c>
      <c r="L102" s="1126" t="e">
        <f>1.942/L101</f>
        <v>#DIV/0!</v>
      </c>
      <c r="M102" s="1126" t="e">
        <f>1.942/M101</f>
        <v>#DIV/0!</v>
      </c>
      <c r="N102" s="1126" t="e">
        <f>1.942/N101</f>
        <v>#DIV/0!</v>
      </c>
    </row>
    <row r="103" spans="1:14">
      <c r="A103" s="3536"/>
      <c r="B103" s="1125">
        <v>2</v>
      </c>
      <c r="C103" s="1126" t="e">
        <f>1.4198/C101</f>
        <v>#DIV/0!</v>
      </c>
      <c r="D103" s="1126" t="e">
        <f>1.4198/D101</f>
        <v>#DIV/0!</v>
      </c>
      <c r="E103" s="1126" t="e">
        <f>1.3372/E101</f>
        <v>#DIV/0!</v>
      </c>
      <c r="F103" s="1126" t="e">
        <f>1.3372/F101</f>
        <v>#DIV/0!</v>
      </c>
      <c r="G103" s="1126" t="e">
        <f>1.3372/G101</f>
        <v>#DIV/0!</v>
      </c>
      <c r="H103" s="1126" t="e">
        <f>1.3372/H101</f>
        <v>#DIV/0!</v>
      </c>
      <c r="I103" s="1126" t="e">
        <f>1.3372/I101</f>
        <v>#DIV/0!</v>
      </c>
      <c r="J103" s="1126" t="e">
        <f>1.2799/J101</f>
        <v>#DIV/0!</v>
      </c>
      <c r="K103" s="1126" t="e">
        <f>1.2799/K101</f>
        <v>#DIV/0!</v>
      </c>
      <c r="L103" s="1126" t="e">
        <f>1.2799/L101</f>
        <v>#DIV/0!</v>
      </c>
      <c r="M103" s="1126" t="e">
        <f>1.2799/M101</f>
        <v>#DIV/0!</v>
      </c>
      <c r="N103" s="1126" t="e">
        <f>1.2799/N101</f>
        <v>#DIV/0!</v>
      </c>
    </row>
    <row r="104" spans="1:14">
      <c r="A104" s="3536"/>
      <c r="B104" s="1125">
        <v>3</v>
      </c>
      <c r="C104" s="1126" t="e">
        <f>1.1594/C101</f>
        <v>#DIV/0!</v>
      </c>
      <c r="D104" s="1126" t="e">
        <f>1.1594/D101</f>
        <v>#DIV/0!</v>
      </c>
      <c r="E104" s="1126" t="e">
        <f>1.0788/E101</f>
        <v>#DIV/0!</v>
      </c>
      <c r="F104" s="1126" t="e">
        <f>1.0788/F101</f>
        <v>#DIV/0!</v>
      </c>
      <c r="G104" s="1126" t="e">
        <f>1.0788/G101</f>
        <v>#DIV/0!</v>
      </c>
      <c r="H104" s="1126" t="e">
        <f>1.0788/H101</f>
        <v>#DIV/0!</v>
      </c>
      <c r="I104" s="1126" t="e">
        <f>1.0788/I101</f>
        <v>#DIV/0!</v>
      </c>
      <c r="J104" s="1126" t="e">
        <f>1.0072/J101</f>
        <v>#DIV/0!</v>
      </c>
      <c r="K104" s="1126" t="e">
        <f>1.0072/K101</f>
        <v>#DIV/0!</v>
      </c>
      <c r="L104" s="1126" t="e">
        <f>1.0072/L101</f>
        <v>#DIV/0!</v>
      </c>
      <c r="M104" s="1126" t="e">
        <f>1.0072/M101</f>
        <v>#DIV/0!</v>
      </c>
      <c r="N104" s="1126" t="e">
        <f>1.0072/N101</f>
        <v>#DIV/0!</v>
      </c>
    </row>
    <row r="105" spans="1:14">
      <c r="A105" s="3536"/>
      <c r="B105" s="1125">
        <v>4</v>
      </c>
      <c r="C105" s="1126" t="e">
        <f>0.9622/C101</f>
        <v>#DIV/0!</v>
      </c>
      <c r="D105" s="1126" t="e">
        <f>0.9622/D101</f>
        <v>#DIV/0!</v>
      </c>
      <c r="E105" s="1126" t="e">
        <f>0.8656/E101</f>
        <v>#DIV/0!</v>
      </c>
      <c r="F105" s="1126" t="e">
        <f>0.8656/F101</f>
        <v>#DIV/0!</v>
      </c>
      <c r="G105" s="1126" t="e">
        <f>0.8656/G101</f>
        <v>#DIV/0!</v>
      </c>
      <c r="H105" s="1126" t="e">
        <f>0.8656/H101</f>
        <v>#DIV/0!</v>
      </c>
      <c r="I105" s="1126" t="e">
        <f>0.8656/I101</f>
        <v>#DIV/0!</v>
      </c>
      <c r="J105" s="1126" t="e">
        <f>0.7525/J101</f>
        <v>#DIV/0!</v>
      </c>
      <c r="K105" s="1126" t="e">
        <f>0.7525/K101</f>
        <v>#DIV/0!</v>
      </c>
      <c r="L105" s="1126" t="e">
        <f>0.7525/L101</f>
        <v>#DIV/0!</v>
      </c>
      <c r="M105" s="1126" t="e">
        <f>0.7525/M101</f>
        <v>#DIV/0!</v>
      </c>
      <c r="N105" s="1126" t="e">
        <f>0.7525/N101</f>
        <v>#DIV/0!</v>
      </c>
    </row>
    <row r="106" spans="1:14">
      <c r="A106" s="3536"/>
      <c r="B106" s="1125">
        <v>5</v>
      </c>
      <c r="C106" s="1126" t="e">
        <f>0.8417/C101</f>
        <v>#DIV/0!</v>
      </c>
      <c r="D106" s="1126" t="e">
        <f>0.8417/D101</f>
        <v>#DIV/0!</v>
      </c>
      <c r="E106" s="1126" t="e">
        <f>0.7371/E101</f>
        <v>#DIV/0!</v>
      </c>
      <c r="F106" s="1126" t="e">
        <f>0.7371/F101</f>
        <v>#DIV/0!</v>
      </c>
      <c r="G106" s="1126" t="e">
        <f>0.7371/G101</f>
        <v>#DIV/0!</v>
      </c>
      <c r="H106" s="1126" t="e">
        <f>0.7371/H101</f>
        <v>#DIV/0!</v>
      </c>
      <c r="I106" s="1126" t="e">
        <f>0.7371/I101</f>
        <v>#DIV/0!</v>
      </c>
      <c r="J106" s="1126" t="e">
        <f>0.5659/J101</f>
        <v>#DIV/0!</v>
      </c>
      <c r="K106" s="1126" t="e">
        <f>0.5659/K101</f>
        <v>#DIV/0!</v>
      </c>
      <c r="L106" s="1126" t="e">
        <f>0.5659/L101</f>
        <v>#DIV/0!</v>
      </c>
      <c r="M106" s="1126" t="e">
        <f>0.5659/M101</f>
        <v>#DIV/0!</v>
      </c>
      <c r="N106" s="1126" t="e">
        <f>0.5659/N101</f>
        <v>#DIV/0!</v>
      </c>
    </row>
    <row r="107" spans="1:14">
      <c r="A107" s="3536"/>
      <c r="B107" s="1125">
        <v>6</v>
      </c>
      <c r="C107" s="1126" t="e">
        <f>0.7608/C101</f>
        <v>#DIV/0!</v>
      </c>
      <c r="D107" s="1126" t="e">
        <f>0.7608/D101</f>
        <v>#DIV/0!</v>
      </c>
      <c r="E107" s="1126" t="e">
        <f>0.6482/E101</f>
        <v>#DIV/0!</v>
      </c>
      <c r="F107" s="1126" t="e">
        <f>0.6482/F101</f>
        <v>#DIV/0!</v>
      </c>
      <c r="G107" s="1126" t="e">
        <f>0.6482/G101</f>
        <v>#DIV/0!</v>
      </c>
      <c r="H107" s="1126" t="e">
        <f>0.6482/H101</f>
        <v>#DIV/0!</v>
      </c>
      <c r="I107" s="1126" t="e">
        <f>0.6482/I101</f>
        <v>#DIV/0!</v>
      </c>
      <c r="J107" s="1126" t="e">
        <f>0.4525/J101</f>
        <v>#DIV/0!</v>
      </c>
      <c r="K107" s="1126" t="e">
        <f>0.4525/K101</f>
        <v>#DIV/0!</v>
      </c>
      <c r="L107" s="1126" t="e">
        <f>0.4525/L101</f>
        <v>#DIV/0!</v>
      </c>
      <c r="M107" s="1126" t="e">
        <f>0.4525/M101</f>
        <v>#DIV/0!</v>
      </c>
      <c r="N107" s="1126" t="e">
        <f>0.4525/N101</f>
        <v>#DIV/0!</v>
      </c>
    </row>
    <row r="108" spans="1:14">
      <c r="A108" s="3536"/>
      <c r="B108" s="3538"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37"/>
      <c r="B109" s="3539"/>
      <c r="C109" s="1128" t="e">
        <f>(-0.163*(C108^2)-0.59*C108+7617)*(10^(-4))/C101</f>
        <v>#DIV/0!</v>
      </c>
      <c r="D109" s="1128" t="e">
        <f>(-0.163*(D108^2)-0.59*D108+7617)*(10^(-4))/D101</f>
        <v>#DIV/0!</v>
      </c>
      <c r="E109" s="1128" t="e">
        <f>(-0.161*(E108^2)-7.509*E108+6533)*(10^(-4))/E101</f>
        <v>#DIV/0!</v>
      </c>
      <c r="F109" s="1128" t="e">
        <f>(-0.161*(F108^2)-7.509*F108+6533)*(10^(-4))/F101</f>
        <v>#DIV/0!</v>
      </c>
      <c r="G109" s="1128" t="e">
        <f>(-0.161*(G108^2)-7.509*G108+6533)*(10^(-4))/G101</f>
        <v>#DIV/0!</v>
      </c>
      <c r="H109" s="1128" t="e">
        <f>(-0.161*(H108^2)-7.509*H108+6533)*(10^(-4))/H101</f>
        <v>#DIV/0!</v>
      </c>
      <c r="I109" s="1128" t="e">
        <f>(-0.161*(I108^2)-7.509*I108+6533)*(10^(-4))/I101</f>
        <v>#DIV/0!</v>
      </c>
      <c r="J109" s="1128" t="e">
        <f>(-0.214*(J108^2)-21.991*J108+4665)*(10^(-4))/J101</f>
        <v>#DIV/0!</v>
      </c>
      <c r="K109" s="1128" t="e">
        <f>(-0.214*(K108^2)-21.991*K108+4665)*(10^(-4))/K101</f>
        <v>#DIV/0!</v>
      </c>
      <c r="L109" s="1128" t="e">
        <f>(-0.214*(L108^2)-21.991*L108+4665)*(10^(-4))/L101</f>
        <v>#DIV/0!</v>
      </c>
      <c r="M109" s="1128" t="e">
        <f>(-0.214*(M108^2)-21.991*M108+4665)*(10^(-4))/M101</f>
        <v>#DIV/0!</v>
      </c>
      <c r="N109" s="1128" t="e">
        <f>(-0.214*(N108^2)-21.991*N108+4665)*(10^(-4))/N101</f>
        <v>#DIV/0!</v>
      </c>
    </row>
    <row r="110" spans="1:14">
      <c r="A110" s="3521" t="s">
        <v>1630</v>
      </c>
      <c r="B110" s="3521"/>
      <c r="C110" s="3521"/>
      <c r="D110" s="3521"/>
      <c r="E110" s="3521"/>
      <c r="F110" s="3521"/>
      <c r="G110" s="3521"/>
      <c r="H110" s="3521"/>
      <c r="I110" s="3521"/>
      <c r="J110" s="3521"/>
      <c r="K110" s="2303"/>
      <c r="L110" s="2303"/>
      <c r="M110" s="2303"/>
      <c r="N110" s="2303"/>
    </row>
    <row r="112" spans="1:14" ht="12.75" thickBot="1"/>
    <row r="113" spans="1:13" ht="25.5" thickBot="1">
      <c r="A113" s="1002" t="s">
        <v>887</v>
      </c>
      <c r="B113" s="2306">
        <f>G3</f>
        <v>0</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0.9335</v>
      </c>
      <c r="C115" s="1016">
        <f>B115</f>
        <v>0.9335</v>
      </c>
      <c r="D115" s="1016">
        <f>ROUND(0.8331-0.0109*B113,4)</f>
        <v>0.83309999999999995</v>
      </c>
      <c r="E115" s="1016">
        <f>D115</f>
        <v>0.83309999999999995</v>
      </c>
      <c r="F115" s="1016">
        <f>E115</f>
        <v>0.83309999999999995</v>
      </c>
      <c r="G115" s="1016">
        <f>F115</f>
        <v>0.83309999999999995</v>
      </c>
      <c r="H115" s="1016">
        <f>G115</f>
        <v>0.83309999999999995</v>
      </c>
      <c r="I115" s="1016">
        <f>ROUND(0.689-0.0155*B113,4)</f>
        <v>0.68899999999999995</v>
      </c>
      <c r="J115" s="1016">
        <f t="shared" ref="J115:M118" si="33">I115</f>
        <v>0.68899999999999995</v>
      </c>
      <c r="K115" s="1016">
        <f t="shared" si="33"/>
        <v>0.68899999999999995</v>
      </c>
      <c r="L115" s="1016">
        <f t="shared" si="33"/>
        <v>0.68899999999999995</v>
      </c>
      <c r="M115" s="1017">
        <f t="shared" si="33"/>
        <v>0.68899999999999995</v>
      </c>
    </row>
    <row r="116" spans="1:13" ht="12.75">
      <c r="A116" s="1015" t="s">
        <v>892</v>
      </c>
      <c r="B116" s="1016">
        <f>ROUND(0.949-0.012*B113,4)</f>
        <v>0.94899999999999995</v>
      </c>
      <c r="C116" s="1016">
        <f>B116</f>
        <v>0.94899999999999995</v>
      </c>
      <c r="D116" s="1016">
        <f>ROUND(0.8567-0.013*B113,4)</f>
        <v>0.85670000000000002</v>
      </c>
      <c r="E116" s="1016">
        <f t="shared" ref="E116:H117" si="34">D116</f>
        <v>0.85670000000000002</v>
      </c>
      <c r="F116" s="1016">
        <f t="shared" si="34"/>
        <v>0.85670000000000002</v>
      </c>
      <c r="G116" s="1016">
        <f t="shared" si="34"/>
        <v>0.85670000000000002</v>
      </c>
      <c r="H116" s="1016">
        <f t="shared" si="34"/>
        <v>0.85670000000000002</v>
      </c>
      <c r="I116" s="1016">
        <f>ROUND(0.7694-0.014*B113,4)</f>
        <v>0.76939999999999997</v>
      </c>
      <c r="J116" s="1016">
        <f t="shared" si="33"/>
        <v>0.76939999999999997</v>
      </c>
      <c r="K116" s="1016">
        <f t="shared" si="33"/>
        <v>0.76939999999999997</v>
      </c>
      <c r="L116" s="1016">
        <f t="shared" si="33"/>
        <v>0.76939999999999997</v>
      </c>
      <c r="M116" s="1017">
        <f t="shared" si="33"/>
        <v>0.76939999999999997</v>
      </c>
    </row>
    <row r="117" spans="1:13" ht="12.75">
      <c r="A117" s="1018" t="s">
        <v>893</v>
      </c>
      <c r="B117" s="1016">
        <f>ROUND(0.8808-0.006*B113,4)</f>
        <v>0.88080000000000003</v>
      </c>
      <c r="C117" s="1016">
        <f>B117</f>
        <v>0.88080000000000003</v>
      </c>
      <c r="D117" s="1016">
        <f>ROUND(0.8748-0.008*B113,4)</f>
        <v>0.87480000000000002</v>
      </c>
      <c r="E117" s="1016">
        <f t="shared" si="34"/>
        <v>0.87480000000000002</v>
      </c>
      <c r="F117" s="1016">
        <f t="shared" si="34"/>
        <v>0.87480000000000002</v>
      </c>
      <c r="G117" s="1016">
        <f t="shared" si="34"/>
        <v>0.87480000000000002</v>
      </c>
      <c r="H117" s="1016">
        <f t="shared" si="34"/>
        <v>0.87480000000000002</v>
      </c>
      <c r="I117" s="1016">
        <f>ROUND(0.7412-0.0095*B113,4)</f>
        <v>0.74119999999999997</v>
      </c>
      <c r="J117" s="1016">
        <f t="shared" si="33"/>
        <v>0.74119999999999997</v>
      </c>
      <c r="K117" s="1016">
        <f t="shared" si="33"/>
        <v>0.74119999999999997</v>
      </c>
      <c r="L117" s="1016">
        <f t="shared" si="33"/>
        <v>0.74119999999999997</v>
      </c>
      <c r="M117" s="1017">
        <f t="shared" si="33"/>
        <v>0.74119999999999997</v>
      </c>
    </row>
    <row r="118" spans="1:13" ht="13.5" thickBot="1">
      <c r="A118" s="1019" t="s">
        <v>894</v>
      </c>
      <c r="B118" s="1020">
        <f>ROUND(0.7275-0.01*B113,4)</f>
        <v>0.72750000000000004</v>
      </c>
      <c r="C118" s="1020">
        <f>B118</f>
        <v>0.72750000000000004</v>
      </c>
      <c r="D118" s="1020">
        <f>ROUND(0.7043-0.012*B113,4)</f>
        <v>0.70430000000000004</v>
      </c>
      <c r="E118" s="1020">
        <f>D118</f>
        <v>0.70430000000000004</v>
      </c>
      <c r="F118" s="1020">
        <f>E118</f>
        <v>0.70430000000000004</v>
      </c>
      <c r="G118" s="1020">
        <f>ROUND(0.6299-0.0122*B113,4)</f>
        <v>0.62990000000000002</v>
      </c>
      <c r="H118" s="1020">
        <f>G118</f>
        <v>0.62990000000000002</v>
      </c>
      <c r="I118" s="1020">
        <f>ROUND(0.5667-0.0136*B113,4)</f>
        <v>0.56669999999999998</v>
      </c>
      <c r="J118" s="1020">
        <f t="shared" si="33"/>
        <v>0.56669999999999998</v>
      </c>
      <c r="K118" s="1020">
        <f t="shared" si="33"/>
        <v>0.56669999999999998</v>
      </c>
      <c r="L118" s="1020">
        <f t="shared" si="33"/>
        <v>0.56669999999999998</v>
      </c>
      <c r="M118" s="1021">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2952</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28" t="s">
        <v>998</v>
      </c>
      <c r="B18" s="1136" t="s">
        <v>1437</v>
      </c>
      <c r="C18" s="1113" t="s">
        <v>1438</v>
      </c>
      <c r="D18" s="1114"/>
      <c r="E18" s="1136">
        <v>1</v>
      </c>
      <c r="F18" s="1115" t="s">
        <v>1439</v>
      </c>
      <c r="G18" s="1116"/>
      <c r="H18" s="1087"/>
      <c r="I18" s="1087"/>
    </row>
    <row r="19" spans="1:9" s="1529" customFormat="1" ht="19.5" customHeight="1">
      <c r="A19" s="3528"/>
      <c r="B19" s="3528" t="s">
        <v>1440</v>
      </c>
      <c r="C19" s="1113" t="s">
        <v>1441</v>
      </c>
      <c r="D19" s="1114"/>
      <c r="E19" s="1136">
        <v>0.9</v>
      </c>
      <c r="F19" s="1115" t="s">
        <v>1442</v>
      </c>
      <c r="G19" s="1116"/>
      <c r="H19" s="1087"/>
      <c r="I19" s="1087"/>
    </row>
    <row r="20" spans="1:9" s="1529" customFormat="1" ht="19.5" customHeight="1">
      <c r="A20" s="3528"/>
      <c r="B20" s="3528"/>
      <c r="C20" s="1113" t="s">
        <v>1443</v>
      </c>
      <c r="D20" s="1114"/>
      <c r="E20" s="1136">
        <v>1.1000000000000001</v>
      </c>
      <c r="F20" s="1115" t="s">
        <v>1444</v>
      </c>
      <c r="G20" s="1116"/>
      <c r="H20" s="1087"/>
      <c r="I20" s="1087"/>
    </row>
    <row r="21" spans="1:9" s="1529" customFormat="1" ht="19.5" customHeight="1">
      <c r="A21" s="3528"/>
      <c r="B21" s="3528"/>
      <c r="C21" s="1113" t="s">
        <v>1445</v>
      </c>
      <c r="D21" s="1114"/>
      <c r="E21" s="1136">
        <v>0.8</v>
      </c>
      <c r="F21" s="1115" t="s">
        <v>1446</v>
      </c>
      <c r="G21" s="1116"/>
      <c r="H21" s="1087"/>
      <c r="I21" s="1087"/>
    </row>
    <row r="22" spans="1:9" s="1529" customFormat="1" ht="19.5" customHeight="1">
      <c r="A22" s="3528"/>
      <c r="B22" s="3528"/>
      <c r="C22" s="1113" t="s">
        <v>1447</v>
      </c>
      <c r="D22" s="1114"/>
      <c r="E22" s="1136">
        <v>0.5</v>
      </c>
      <c r="F22" s="1115"/>
      <c r="G22" s="1116"/>
      <c r="H22" s="1087"/>
      <c r="I22" s="1087"/>
    </row>
    <row r="23" spans="1:9" s="1529" customFormat="1" ht="19.5" customHeight="1">
      <c r="A23" s="3528" t="s">
        <v>1020</v>
      </c>
      <c r="B23" s="1136" t="s">
        <v>1437</v>
      </c>
      <c r="C23" s="1113" t="s">
        <v>1448</v>
      </c>
      <c r="D23" s="1114"/>
      <c r="E23" s="1136">
        <v>1</v>
      </c>
      <c r="F23" s="1115" t="s">
        <v>1449</v>
      </c>
      <c r="G23" s="1116"/>
      <c r="H23" s="1087"/>
      <c r="I23" s="1087"/>
    </row>
    <row r="24" spans="1:9" s="1529" customFormat="1" ht="19.5" customHeight="1">
      <c r="A24" s="3528"/>
      <c r="B24" s="3528" t="s">
        <v>1440</v>
      </c>
      <c r="C24" s="1113" t="s">
        <v>1450</v>
      </c>
      <c r="D24" s="1114"/>
      <c r="E24" s="1136">
        <v>0.5</v>
      </c>
      <c r="F24" s="1115"/>
      <c r="G24" s="1116"/>
      <c r="H24" s="1087"/>
      <c r="I24" s="1087"/>
    </row>
    <row r="25" spans="1:9" s="1529" customFormat="1" ht="19.5" customHeight="1">
      <c r="A25" s="3528"/>
      <c r="B25" s="3528"/>
      <c r="C25" s="1113" t="s">
        <v>1451</v>
      </c>
      <c r="D25" s="1114"/>
      <c r="E25" s="1136">
        <v>1.1000000000000001</v>
      </c>
      <c r="F25" s="1115"/>
      <c r="G25" s="1116"/>
      <c r="H25" s="1087"/>
      <c r="I25" s="1087"/>
    </row>
    <row r="26" spans="1:9" s="1529" customFormat="1" ht="19.5" customHeight="1">
      <c r="A26" s="3528"/>
      <c r="B26" s="3528"/>
      <c r="C26" s="1113" t="s">
        <v>1452</v>
      </c>
      <c r="D26" s="1114"/>
      <c r="E26" s="1136">
        <v>1.1000000000000001</v>
      </c>
      <c r="F26" s="1115"/>
      <c r="G26" s="1116"/>
      <c r="H26" s="1087"/>
      <c r="I26" s="1087"/>
    </row>
    <row r="27" spans="1:9" s="1529" customFormat="1" ht="19.5" customHeight="1">
      <c r="A27" s="3528"/>
      <c r="B27" s="3528"/>
      <c r="C27" s="1113" t="s">
        <v>1453</v>
      </c>
      <c r="D27" s="1114"/>
      <c r="E27" s="1136">
        <v>0.9</v>
      </c>
      <c r="F27" s="1115" t="s">
        <v>1454</v>
      </c>
      <c r="G27" s="1116"/>
      <c r="H27" s="1087"/>
      <c r="I27" s="1087"/>
    </row>
    <row r="28" spans="1:9" s="1529" customFormat="1" ht="19.5" customHeight="1">
      <c r="A28" s="3528"/>
      <c r="B28" s="3528"/>
      <c r="C28" s="1113" t="s">
        <v>1455</v>
      </c>
      <c r="D28" s="1114"/>
      <c r="E28" s="1136">
        <v>0.9</v>
      </c>
      <c r="F28" s="1115" t="s">
        <v>1456</v>
      </c>
      <c r="G28" s="1116"/>
      <c r="H28" s="1087"/>
      <c r="I28" s="1087"/>
    </row>
    <row r="29" spans="1:9" s="1529" customFormat="1" ht="19.5" customHeight="1">
      <c r="A29" s="3528"/>
      <c r="B29" s="3528"/>
      <c r="C29" s="1113" t="s">
        <v>1457</v>
      </c>
      <c r="D29" s="1114"/>
      <c r="E29" s="1136">
        <v>0.9</v>
      </c>
      <c r="F29" s="1115" t="s">
        <v>1458</v>
      </c>
      <c r="G29" s="1116"/>
      <c r="H29" s="1087"/>
      <c r="I29" s="1087"/>
    </row>
    <row r="30" spans="1:9" s="1529" customFormat="1" ht="19.5" customHeight="1">
      <c r="A30" s="3528"/>
      <c r="B30" s="3528"/>
      <c r="C30" s="1113" t="s">
        <v>1459</v>
      </c>
      <c r="D30" s="1114"/>
      <c r="E30" s="1136">
        <v>0.9</v>
      </c>
      <c r="F30" s="1115" t="s">
        <v>1460</v>
      </c>
      <c r="G30" s="1116"/>
      <c r="H30" s="1087"/>
      <c r="I30" s="1087"/>
    </row>
    <row r="31" spans="1:9" s="1529" customFormat="1" ht="19.5" customHeight="1">
      <c r="A31" s="3528"/>
      <c r="B31" s="3528"/>
      <c r="C31" s="1113" t="s">
        <v>1461</v>
      </c>
      <c r="D31" s="1114"/>
      <c r="E31" s="1136">
        <v>0.8</v>
      </c>
      <c r="F31" s="1115" t="s">
        <v>1462</v>
      </c>
      <c r="G31" s="1116"/>
      <c r="H31" s="1087"/>
      <c r="I31" s="1087"/>
    </row>
    <row r="32" spans="1:9" s="1529" customFormat="1" ht="19.5" customHeight="1">
      <c r="A32" s="3528"/>
      <c r="B32" s="3528"/>
      <c r="C32" s="1113" t="s">
        <v>1463</v>
      </c>
      <c r="D32" s="1114"/>
      <c r="E32" s="1136">
        <v>0.8</v>
      </c>
      <c r="F32" s="1115" t="s">
        <v>1464</v>
      </c>
      <c r="G32" s="1116"/>
      <c r="H32" s="1087"/>
      <c r="I32" s="1087"/>
    </row>
    <row r="33" spans="1:9" s="1529" customFormat="1" ht="19.5" customHeight="1">
      <c r="A33" s="3528" t="s">
        <v>1465</v>
      </c>
      <c r="B33" s="1136" t="s">
        <v>1437</v>
      </c>
      <c r="C33" s="1113" t="s">
        <v>1466</v>
      </c>
      <c r="D33" s="1114"/>
      <c r="E33" s="1136">
        <v>1</v>
      </c>
      <c r="F33" s="1115" t="s">
        <v>1467</v>
      </c>
      <c r="G33" s="1116"/>
      <c r="H33" s="1087"/>
      <c r="I33" s="1087"/>
    </row>
    <row r="34" spans="1:9" s="1529" customFormat="1" ht="19.5" customHeight="1">
      <c r="A34" s="3528"/>
      <c r="B34" s="1136" t="s">
        <v>1440</v>
      </c>
      <c r="C34" s="1113" t="s">
        <v>1468</v>
      </c>
      <c r="D34" s="1114"/>
      <c r="E34" s="1136">
        <v>1.5</v>
      </c>
      <c r="F34" s="1115" t="s">
        <v>1469</v>
      </c>
      <c r="G34" s="1116"/>
      <c r="H34" s="1087"/>
      <c r="I34" s="1087"/>
    </row>
    <row r="35" spans="1:9" s="1529" customFormat="1" ht="19.5" customHeight="1">
      <c r="A35" s="3528" t="s">
        <v>1423</v>
      </c>
      <c r="B35" s="1136" t="s">
        <v>1437</v>
      </c>
      <c r="C35" s="1113" t="s">
        <v>1470</v>
      </c>
      <c r="D35" s="1114"/>
      <c r="E35" s="1136">
        <v>1</v>
      </c>
      <c r="F35" s="1115" t="s">
        <v>1471</v>
      </c>
      <c r="G35" s="1116"/>
      <c r="H35" s="1087"/>
      <c r="I35" s="1087"/>
    </row>
    <row r="36" spans="1:9" s="1529" customFormat="1" ht="19.5" customHeight="1">
      <c r="A36" s="3528"/>
      <c r="B36" s="3528" t="s">
        <v>1440</v>
      </c>
      <c r="C36" s="1113" t="s">
        <v>1472</v>
      </c>
      <c r="D36" s="1114"/>
      <c r="E36" s="1136">
        <v>1</v>
      </c>
      <c r="F36" s="1115" t="s">
        <v>1473</v>
      </c>
      <c r="G36" s="1116"/>
      <c r="H36" s="1087"/>
      <c r="I36" s="1087"/>
    </row>
    <row r="37" spans="1:9" s="1529" customFormat="1" ht="19.5" customHeight="1">
      <c r="A37" s="3528"/>
      <c r="B37" s="3528"/>
      <c r="C37" s="1113" t="s">
        <v>1474</v>
      </c>
      <c r="D37" s="1114"/>
      <c r="E37" s="1136">
        <v>1.5</v>
      </c>
      <c r="F37" s="1115" t="s">
        <v>1475</v>
      </c>
      <c r="G37" s="1116"/>
      <c r="H37" s="1087"/>
      <c r="I37" s="1087"/>
    </row>
    <row r="38" spans="1:9" s="1529" customFormat="1" ht="19.5" customHeight="1">
      <c r="A38" s="3528"/>
      <c r="B38" s="3528"/>
      <c r="C38" s="1113" t="s">
        <v>1476</v>
      </c>
      <c r="D38" s="1114"/>
      <c r="E38" s="1136">
        <v>1</v>
      </c>
      <c r="F38" s="1115" t="s">
        <v>1477</v>
      </c>
      <c r="G38" s="1116"/>
      <c r="H38" s="1087"/>
      <c r="I38" s="1087"/>
    </row>
    <row r="39" spans="1:9" s="1529" customFormat="1" ht="19.5" customHeight="1">
      <c r="A39" s="3528"/>
      <c r="B39" s="3528"/>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28" t="s">
        <v>1492</v>
      </c>
      <c r="C61" s="1050" t="s">
        <v>1493</v>
      </c>
      <c r="D61" s="1050" t="s">
        <v>1494</v>
      </c>
      <c r="E61" s="1121">
        <v>0.5</v>
      </c>
      <c r="F61" s="1136">
        <v>80</v>
      </c>
      <c r="H61" s="1087">
        <f>SUMIF(C59:C119,基准地价!C8,E59:E119)</f>
        <v>0</v>
      </c>
    </row>
    <row r="62" spans="1:8" s="1087" customFormat="1" ht="24">
      <c r="A62" s="1136">
        <v>2</v>
      </c>
      <c r="B62" s="3528"/>
      <c r="C62" s="1050" t="s">
        <v>1495</v>
      </c>
      <c r="D62" s="1050" t="s">
        <v>1496</v>
      </c>
      <c r="E62" s="1121">
        <v>0.5</v>
      </c>
      <c r="F62" s="1136">
        <v>80</v>
      </c>
    </row>
    <row r="63" spans="1:8" s="1087" customFormat="1" ht="36">
      <c r="A63" s="1136">
        <v>3</v>
      </c>
      <c r="B63" s="3528"/>
      <c r="C63" s="1050" t="s">
        <v>1497</v>
      </c>
      <c r="D63" s="1050" t="s">
        <v>1498</v>
      </c>
      <c r="E63" s="1121">
        <v>0.5</v>
      </c>
      <c r="F63" s="1136">
        <v>80</v>
      </c>
    </row>
    <row r="64" spans="1:8" s="1087" customFormat="1" ht="36">
      <c r="A64" s="1136">
        <v>4</v>
      </c>
      <c r="B64" s="3528"/>
      <c r="C64" s="1050" t="s">
        <v>1499</v>
      </c>
      <c r="D64" s="1050" t="s">
        <v>1500</v>
      </c>
      <c r="E64" s="1121">
        <v>0.4</v>
      </c>
      <c r="F64" s="1136">
        <v>60</v>
      </c>
    </row>
    <row r="65" spans="1:6" s="1087" customFormat="1" ht="36">
      <c r="A65" s="1136">
        <v>5</v>
      </c>
      <c r="B65" s="3528"/>
      <c r="C65" s="1050" t="s">
        <v>1501</v>
      </c>
      <c r="D65" s="1050" t="s">
        <v>1502</v>
      </c>
      <c r="E65" s="1121">
        <v>0.2</v>
      </c>
      <c r="F65" s="1136">
        <v>30</v>
      </c>
    </row>
    <row r="66" spans="1:6" s="1087" customFormat="1" ht="36">
      <c r="A66" s="1136">
        <v>6</v>
      </c>
      <c r="B66" s="3528"/>
      <c r="C66" s="1050" t="s">
        <v>1503</v>
      </c>
      <c r="D66" s="1050" t="s">
        <v>1504</v>
      </c>
      <c r="E66" s="1121">
        <v>0.3</v>
      </c>
      <c r="F66" s="1136">
        <v>50</v>
      </c>
    </row>
    <row r="67" spans="1:6" s="1087" customFormat="1" ht="36">
      <c r="A67" s="1136">
        <v>7</v>
      </c>
      <c r="B67" s="3528"/>
      <c r="C67" s="1050" t="s">
        <v>1505</v>
      </c>
      <c r="D67" s="1050" t="s">
        <v>1506</v>
      </c>
      <c r="E67" s="1121">
        <v>0.2</v>
      </c>
      <c r="F67" s="1136">
        <v>30</v>
      </c>
    </row>
    <row r="68" spans="1:6" s="1087" customFormat="1" ht="36">
      <c r="A68" s="1136">
        <v>8</v>
      </c>
      <c r="B68" s="3528"/>
      <c r="C68" s="1050" t="s">
        <v>1507</v>
      </c>
      <c r="D68" s="1050" t="s">
        <v>1508</v>
      </c>
      <c r="E68" s="1121">
        <v>0.2</v>
      </c>
      <c r="F68" s="1136">
        <v>30</v>
      </c>
    </row>
    <row r="69" spans="1:6" s="1087" customFormat="1" ht="36">
      <c r="A69" s="1136">
        <v>9</v>
      </c>
      <c r="B69" s="3528"/>
      <c r="C69" s="1050" t="s">
        <v>1509</v>
      </c>
      <c r="D69" s="1050" t="s">
        <v>1510</v>
      </c>
      <c r="E69" s="1121">
        <v>0.2</v>
      </c>
      <c r="F69" s="1136">
        <v>30</v>
      </c>
    </row>
    <row r="70" spans="1:6" s="1087" customFormat="1" ht="48">
      <c r="A70" s="1136">
        <v>10</v>
      </c>
      <c r="B70" s="3528"/>
      <c r="C70" s="1050" t="s">
        <v>1511</v>
      </c>
      <c r="D70" s="1050" t="s">
        <v>1512</v>
      </c>
      <c r="E70" s="1121">
        <v>0.2</v>
      </c>
      <c r="F70" s="1136">
        <v>30</v>
      </c>
    </row>
    <row r="71" spans="1:6" s="1087" customFormat="1" ht="48">
      <c r="A71" s="1136">
        <v>11</v>
      </c>
      <c r="B71" s="3528"/>
      <c r="C71" s="1050" t="s">
        <v>1513</v>
      </c>
      <c r="D71" s="1050" t="s">
        <v>1514</v>
      </c>
      <c r="E71" s="1121">
        <v>0.2</v>
      </c>
      <c r="F71" s="1136">
        <v>30</v>
      </c>
    </row>
    <row r="72" spans="1:6" s="1087" customFormat="1" ht="36">
      <c r="A72" s="1136">
        <v>12</v>
      </c>
      <c r="B72" s="3528"/>
      <c r="C72" s="1050" t="s">
        <v>1515</v>
      </c>
      <c r="D72" s="1050" t="s">
        <v>1516</v>
      </c>
      <c r="E72" s="1121">
        <v>0.5</v>
      </c>
      <c r="F72" s="1136">
        <v>80</v>
      </c>
    </row>
    <row r="73" spans="1:6" s="1087" customFormat="1" ht="24">
      <c r="A73" s="1136">
        <v>13</v>
      </c>
      <c r="B73" s="3528"/>
      <c r="C73" s="1050" t="s">
        <v>1517</v>
      </c>
      <c r="D73" s="1050" t="s">
        <v>1518</v>
      </c>
      <c r="E73" s="1121">
        <v>0.4</v>
      </c>
      <c r="F73" s="1136">
        <v>60</v>
      </c>
    </row>
    <row r="74" spans="1:6" s="1087" customFormat="1" ht="24">
      <c r="A74" s="1136">
        <v>14</v>
      </c>
      <c r="B74" s="3528"/>
      <c r="C74" s="1050" t="s">
        <v>1519</v>
      </c>
      <c r="D74" s="1050" t="s">
        <v>1520</v>
      </c>
      <c r="E74" s="1121">
        <v>0.2</v>
      </c>
      <c r="F74" s="1136">
        <v>30</v>
      </c>
    </row>
    <row r="75" spans="1:6" s="1087" customFormat="1" ht="24">
      <c r="A75" s="1136">
        <v>15</v>
      </c>
      <c r="B75" s="3528"/>
      <c r="C75" s="1050" t="s">
        <v>1521</v>
      </c>
      <c r="D75" s="1050" t="s">
        <v>1522</v>
      </c>
      <c r="E75" s="1121">
        <v>0.2</v>
      </c>
      <c r="F75" s="1136">
        <v>30</v>
      </c>
    </row>
    <row r="76" spans="1:6" s="1087" customFormat="1" ht="24">
      <c r="A76" s="1136">
        <v>16</v>
      </c>
      <c r="B76" s="3528" t="s">
        <v>1523</v>
      </c>
      <c r="C76" s="1050" t="s">
        <v>1524</v>
      </c>
      <c r="D76" s="1050" t="s">
        <v>1525</v>
      </c>
      <c r="E76" s="1121">
        <v>0.5</v>
      </c>
      <c r="F76" s="1136">
        <v>80</v>
      </c>
    </row>
    <row r="77" spans="1:6" s="1087" customFormat="1" ht="24">
      <c r="A77" s="1136">
        <v>17</v>
      </c>
      <c r="B77" s="3528"/>
      <c r="C77" s="1050" t="s">
        <v>1526</v>
      </c>
      <c r="D77" s="1050" t="s">
        <v>1527</v>
      </c>
      <c r="E77" s="1121">
        <v>0.5</v>
      </c>
      <c r="F77" s="1136">
        <v>80</v>
      </c>
    </row>
    <row r="78" spans="1:6" s="1087" customFormat="1" ht="24">
      <c r="A78" s="1136">
        <v>18</v>
      </c>
      <c r="B78" s="3528"/>
      <c r="C78" s="1050" t="s">
        <v>1528</v>
      </c>
      <c r="D78" s="1050" t="s">
        <v>1529</v>
      </c>
      <c r="E78" s="1121">
        <v>0.2</v>
      </c>
      <c r="F78" s="1136">
        <v>30</v>
      </c>
    </row>
    <row r="79" spans="1:6" s="1087" customFormat="1" ht="24">
      <c r="A79" s="1136">
        <v>19</v>
      </c>
      <c r="B79" s="3528"/>
      <c r="C79" s="1050" t="s">
        <v>1530</v>
      </c>
      <c r="D79" s="1050" t="s">
        <v>1531</v>
      </c>
      <c r="E79" s="1121">
        <v>0.5</v>
      </c>
      <c r="F79" s="1136">
        <v>80</v>
      </c>
    </row>
    <row r="80" spans="1:6" s="1087" customFormat="1" ht="36">
      <c r="A80" s="1136">
        <v>20</v>
      </c>
      <c r="B80" s="3528"/>
      <c r="C80" s="1050" t="s">
        <v>1532</v>
      </c>
      <c r="D80" s="1050" t="s">
        <v>1533</v>
      </c>
      <c r="E80" s="1121">
        <v>0.2</v>
      </c>
      <c r="F80" s="1136">
        <v>30</v>
      </c>
    </row>
    <row r="81" spans="1:6" s="1087" customFormat="1" ht="36">
      <c r="A81" s="1136">
        <v>21</v>
      </c>
      <c r="B81" s="3528"/>
      <c r="C81" s="1050" t="s">
        <v>1534</v>
      </c>
      <c r="D81" s="1050" t="s">
        <v>1535</v>
      </c>
      <c r="E81" s="1121">
        <v>0.2</v>
      </c>
      <c r="F81" s="1136">
        <v>30</v>
      </c>
    </row>
    <row r="82" spans="1:6" s="1087" customFormat="1" ht="48">
      <c r="A82" s="1136">
        <v>22</v>
      </c>
      <c r="B82" s="3528"/>
      <c r="C82" s="1050" t="s">
        <v>1536</v>
      </c>
      <c r="D82" s="1050" t="s">
        <v>1537</v>
      </c>
      <c r="E82" s="1121">
        <v>0.2</v>
      </c>
      <c r="F82" s="1136">
        <v>30</v>
      </c>
    </row>
    <row r="83" spans="1:6" s="1087" customFormat="1" ht="48">
      <c r="A83" s="1136">
        <v>23</v>
      </c>
      <c r="B83" s="3528"/>
      <c r="C83" s="1050" t="s">
        <v>1538</v>
      </c>
      <c r="D83" s="1050" t="s">
        <v>1539</v>
      </c>
      <c r="E83" s="1121">
        <v>0.2</v>
      </c>
      <c r="F83" s="1136">
        <v>30</v>
      </c>
    </row>
    <row r="84" spans="1:6" s="1087" customFormat="1" ht="36">
      <c r="A84" s="1136">
        <v>24</v>
      </c>
      <c r="B84" s="3528"/>
      <c r="C84" s="1050" t="s">
        <v>1540</v>
      </c>
      <c r="D84" s="1050" t="s">
        <v>1541</v>
      </c>
      <c r="E84" s="1121">
        <v>0.2</v>
      </c>
      <c r="F84" s="1136">
        <v>30</v>
      </c>
    </row>
    <row r="85" spans="1:6" s="1087" customFormat="1" ht="36">
      <c r="A85" s="1136">
        <v>25</v>
      </c>
      <c r="B85" s="3528"/>
      <c r="C85" s="1050" t="s">
        <v>1542</v>
      </c>
      <c r="D85" s="1050" t="s">
        <v>1543</v>
      </c>
      <c r="E85" s="1121">
        <v>0.5</v>
      </c>
      <c r="F85" s="1136">
        <v>80</v>
      </c>
    </row>
    <row r="86" spans="1:6" s="1087" customFormat="1" ht="36">
      <c r="A86" s="1136">
        <v>26</v>
      </c>
      <c r="B86" s="3528"/>
      <c r="C86" s="1050" t="s">
        <v>1544</v>
      </c>
      <c r="D86" s="1050" t="s">
        <v>1545</v>
      </c>
      <c r="E86" s="1121">
        <v>0.2</v>
      </c>
      <c r="F86" s="1136">
        <v>30</v>
      </c>
    </row>
    <row r="87" spans="1:6" s="1087" customFormat="1" ht="36">
      <c r="A87" s="1136">
        <v>27</v>
      </c>
      <c r="B87" s="3528"/>
      <c r="C87" s="1050" t="s">
        <v>1546</v>
      </c>
      <c r="D87" s="1050" t="s">
        <v>1547</v>
      </c>
      <c r="E87" s="1121">
        <v>0.2</v>
      </c>
      <c r="F87" s="1136">
        <v>30</v>
      </c>
    </row>
    <row r="88" spans="1:6" s="1087" customFormat="1" ht="36">
      <c r="A88" s="1136">
        <v>28</v>
      </c>
      <c r="B88" s="3528"/>
      <c r="C88" s="1050" t="s">
        <v>1548</v>
      </c>
      <c r="D88" s="1050" t="s">
        <v>1549</v>
      </c>
      <c r="E88" s="1121">
        <v>0.2</v>
      </c>
      <c r="F88" s="1136">
        <v>30</v>
      </c>
    </row>
    <row r="89" spans="1:6" s="1087" customFormat="1" ht="24">
      <c r="A89" s="1136">
        <v>29</v>
      </c>
      <c r="B89" s="3528"/>
      <c r="C89" s="1050" t="s">
        <v>1550</v>
      </c>
      <c r="D89" s="1050" t="s">
        <v>1551</v>
      </c>
      <c r="E89" s="1121">
        <v>0.2</v>
      </c>
      <c r="F89" s="1136">
        <v>30</v>
      </c>
    </row>
    <row r="90" spans="1:6" s="1087" customFormat="1" ht="24">
      <c r="A90" s="1136">
        <v>30</v>
      </c>
      <c r="B90" s="3528"/>
      <c r="C90" s="1050" t="s">
        <v>1552</v>
      </c>
      <c r="D90" s="1050" t="s">
        <v>1553</v>
      </c>
      <c r="E90" s="1121">
        <v>0.2</v>
      </c>
      <c r="F90" s="1136">
        <v>30</v>
      </c>
    </row>
    <row r="91" spans="1:6" s="1087" customFormat="1" ht="36">
      <c r="A91" s="1136">
        <v>31</v>
      </c>
      <c r="B91" s="3528"/>
      <c r="C91" s="1050" t="s">
        <v>1554</v>
      </c>
      <c r="D91" s="1050" t="s">
        <v>1555</v>
      </c>
      <c r="E91" s="1121">
        <v>0.2</v>
      </c>
      <c r="F91" s="1136">
        <v>30</v>
      </c>
    </row>
    <row r="92" spans="1:6" s="1087" customFormat="1" ht="24">
      <c r="A92" s="1136">
        <v>32</v>
      </c>
      <c r="B92" s="3528" t="s">
        <v>1556</v>
      </c>
      <c r="C92" s="1136" t="s">
        <v>1557</v>
      </c>
      <c r="D92" s="1050" t="s">
        <v>1558</v>
      </c>
      <c r="E92" s="1121">
        <v>0.2</v>
      </c>
      <c r="F92" s="1136">
        <v>30</v>
      </c>
    </row>
    <row r="93" spans="1:6" s="1087" customFormat="1" ht="36">
      <c r="A93" s="1136">
        <v>33</v>
      </c>
      <c r="B93" s="3528"/>
      <c r="C93" s="1136" t="s">
        <v>1559</v>
      </c>
      <c r="D93" s="1050" t="s">
        <v>1560</v>
      </c>
      <c r="E93" s="1121">
        <v>0.2</v>
      </c>
      <c r="F93" s="1136">
        <v>30</v>
      </c>
    </row>
    <row r="94" spans="1:6" s="1087" customFormat="1" ht="48">
      <c r="A94" s="1136">
        <v>34</v>
      </c>
      <c r="B94" s="3528"/>
      <c r="C94" s="1136" t="s">
        <v>1561</v>
      </c>
      <c r="D94" s="1050" t="s">
        <v>1562</v>
      </c>
      <c r="E94" s="1121">
        <v>0.2</v>
      </c>
      <c r="F94" s="1136">
        <v>30</v>
      </c>
    </row>
    <row r="95" spans="1:6" s="1087" customFormat="1" ht="36">
      <c r="A95" s="1136">
        <v>35</v>
      </c>
      <c r="B95" s="3528"/>
      <c r="C95" s="1136" t="s">
        <v>1563</v>
      </c>
      <c r="D95" s="1050" t="s">
        <v>1564</v>
      </c>
      <c r="E95" s="1121">
        <v>0.2</v>
      </c>
      <c r="F95" s="1136">
        <v>30</v>
      </c>
    </row>
    <row r="96" spans="1:6" s="1087" customFormat="1" ht="48">
      <c r="A96" s="1136">
        <v>36</v>
      </c>
      <c r="B96" s="3528"/>
      <c r="C96" s="1050" t="s">
        <v>1565</v>
      </c>
      <c r="D96" s="1050" t="s">
        <v>1566</v>
      </c>
      <c r="E96" s="1121">
        <v>0.2</v>
      </c>
      <c r="F96" s="1136">
        <v>30</v>
      </c>
    </row>
    <row r="97" spans="1:6" s="1087" customFormat="1" ht="36">
      <c r="A97" s="1136">
        <v>37</v>
      </c>
      <c r="B97" s="3528"/>
      <c r="C97" s="1136" t="s">
        <v>1567</v>
      </c>
      <c r="D97" s="1050" t="s">
        <v>1568</v>
      </c>
      <c r="E97" s="1121">
        <v>0.2</v>
      </c>
      <c r="F97" s="1136">
        <v>30</v>
      </c>
    </row>
    <row r="98" spans="1:6" s="1087" customFormat="1" ht="36">
      <c r="A98" s="1136">
        <v>38</v>
      </c>
      <c r="B98" s="3528"/>
      <c r="C98" s="1136" t="s">
        <v>1569</v>
      </c>
      <c r="D98" s="1050" t="s">
        <v>1570</v>
      </c>
      <c r="E98" s="1121">
        <v>0.2</v>
      </c>
      <c r="F98" s="1136">
        <v>30</v>
      </c>
    </row>
    <row r="99" spans="1:6" s="1087" customFormat="1" ht="36">
      <c r="A99" s="1136">
        <v>39</v>
      </c>
      <c r="B99" s="3528" t="s">
        <v>1571</v>
      </c>
      <c r="C99" s="1136" t="s">
        <v>1572</v>
      </c>
      <c r="D99" s="1050" t="s">
        <v>1573</v>
      </c>
      <c r="E99" s="1121">
        <v>0.3</v>
      </c>
      <c r="F99" s="1136">
        <v>50</v>
      </c>
    </row>
    <row r="100" spans="1:6" s="1087" customFormat="1" ht="24">
      <c r="A100" s="1136">
        <v>40</v>
      </c>
      <c r="B100" s="3528"/>
      <c r="C100" s="1136" t="s">
        <v>1574</v>
      </c>
      <c r="D100" s="1050" t="s">
        <v>1575</v>
      </c>
      <c r="E100" s="1121">
        <v>0.2</v>
      </c>
      <c r="F100" s="1136">
        <v>30</v>
      </c>
    </row>
    <row r="101" spans="1:6" s="1087" customFormat="1" ht="36">
      <c r="A101" s="1136">
        <v>41</v>
      </c>
      <c r="B101" s="3528"/>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28" t="s">
        <v>1586</v>
      </c>
      <c r="C105" s="1136" t="s">
        <v>1587</v>
      </c>
      <c r="D105" s="1050" t="s">
        <v>1588</v>
      </c>
      <c r="E105" s="1121">
        <v>0.2</v>
      </c>
      <c r="F105" s="1136">
        <v>30</v>
      </c>
    </row>
    <row r="106" spans="1:6" s="1087" customFormat="1" ht="36">
      <c r="A106" s="1136">
        <v>46</v>
      </c>
      <c r="B106" s="3528"/>
      <c r="C106" s="1136" t="s">
        <v>1589</v>
      </c>
      <c r="D106" s="1050" t="s">
        <v>1590</v>
      </c>
      <c r="E106" s="1121">
        <v>0.2</v>
      </c>
      <c r="F106" s="1136">
        <v>30</v>
      </c>
    </row>
    <row r="107" spans="1:6" s="1087" customFormat="1" ht="36">
      <c r="A107" s="1136">
        <v>47</v>
      </c>
      <c r="B107" s="3528" t="s">
        <v>1591</v>
      </c>
      <c r="C107" s="1136" t="s">
        <v>1592</v>
      </c>
      <c r="D107" s="1050" t="s">
        <v>1593</v>
      </c>
      <c r="E107" s="1121">
        <v>0.3</v>
      </c>
      <c r="F107" s="1136">
        <v>50</v>
      </c>
    </row>
    <row r="108" spans="1:6" s="1087" customFormat="1" ht="36">
      <c r="A108" s="1136">
        <v>48</v>
      </c>
      <c r="B108" s="3528"/>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28" t="s">
        <v>1602</v>
      </c>
      <c r="C111" s="1136" t="s">
        <v>1603</v>
      </c>
      <c r="D111" s="1050" t="s">
        <v>1604</v>
      </c>
      <c r="E111" s="1121">
        <v>0.2</v>
      </c>
      <c r="F111" s="1136">
        <v>30</v>
      </c>
    </row>
    <row r="112" spans="1:6" s="1087" customFormat="1" ht="24">
      <c r="A112" s="1136">
        <v>52</v>
      </c>
      <c r="B112" s="3528"/>
      <c r="C112" s="1136" t="s">
        <v>1605</v>
      </c>
      <c r="D112" s="1050" t="s">
        <v>1606</v>
      </c>
      <c r="E112" s="1121">
        <v>0.2</v>
      </c>
      <c r="F112" s="1136">
        <v>30</v>
      </c>
    </row>
    <row r="113" spans="1:14" s="1087" customFormat="1" ht="24">
      <c r="A113" s="1136">
        <v>53</v>
      </c>
      <c r="B113" s="3528"/>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28" t="s">
        <v>1615</v>
      </c>
      <c r="C116" s="1136" t="s">
        <v>1616</v>
      </c>
      <c r="D116" s="1050" t="s">
        <v>1617</v>
      </c>
      <c r="E116" s="1121">
        <v>0.2</v>
      </c>
      <c r="F116" s="1136">
        <v>30</v>
      </c>
    </row>
    <row r="117" spans="1:14" ht="36">
      <c r="A117" s="1136">
        <v>57</v>
      </c>
      <c r="B117" s="3528"/>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27" t="s">
        <v>1624</v>
      </c>
      <c r="B121" s="3527"/>
      <c r="C121" s="3527"/>
      <c r="D121" s="3527"/>
      <c r="E121" s="3527"/>
      <c r="F121" s="3527"/>
      <c r="G121" s="3527"/>
      <c r="H121" s="3527"/>
      <c r="I121" s="3527"/>
      <c r="J121" s="3527"/>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42" t="s">
        <v>1030</v>
      </c>
      <c r="B1" s="3542"/>
      <c r="C1" s="3542"/>
      <c r="D1" s="3542"/>
      <c r="E1" s="3542"/>
      <c r="F1" s="3542"/>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43" t="s">
        <v>1043</v>
      </c>
      <c r="B2" s="3543"/>
      <c r="C2" s="3543"/>
      <c r="D2" s="3543"/>
      <c r="E2" s="3543"/>
      <c r="F2" s="3543"/>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44"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45"/>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46" t="s">
        <v>2068</v>
      </c>
      <c r="B1" s="3546"/>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Q29" sqref="Q29"/>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49" t="s">
        <v>2556</v>
      </c>
      <c r="C1" s="3549"/>
      <c r="D1" s="3549"/>
      <c r="E1" s="3549"/>
      <c r="F1" s="3549"/>
      <c r="G1" s="3548" t="s">
        <v>2557</v>
      </c>
      <c r="H1" s="3548"/>
      <c r="I1" s="3548"/>
      <c r="J1" s="3548"/>
      <c r="K1" s="3548"/>
      <c r="L1" s="3548"/>
      <c r="N1" s="3548" t="s">
        <v>2558</v>
      </c>
      <c r="O1" s="3548"/>
      <c r="P1" s="3548"/>
      <c r="Q1" s="3548"/>
      <c r="S1" s="3548" t="s">
        <v>2559</v>
      </c>
      <c r="T1" s="3548"/>
      <c r="U1" s="3548"/>
      <c r="V1" s="3548"/>
      <c r="X1" s="3547" t="s">
        <v>2619</v>
      </c>
      <c r="Y1" s="3548"/>
      <c r="Z1" s="3548"/>
      <c r="AA1" s="3548"/>
      <c r="AB1" s="3548"/>
      <c r="AD1" s="3547" t="s">
        <v>2623</v>
      </c>
      <c r="AE1" s="3548"/>
      <c r="AF1" s="3548"/>
      <c r="AG1" s="3548"/>
      <c r="AH1" s="3548"/>
    </row>
    <row r="2" spans="1:34" s="2864" customFormat="1" ht="14.25" thickBot="1">
      <c r="B2" s="2865" t="s">
        <v>2560</v>
      </c>
      <c r="C2" s="2865" t="s">
        <v>2621</v>
      </c>
      <c r="D2" s="2866" t="s">
        <v>1635</v>
      </c>
      <c r="E2" s="2866" t="s">
        <v>1938</v>
      </c>
      <c r="F2" s="2865" t="s">
        <v>2622</v>
      </c>
      <c r="G2" s="2867"/>
      <c r="I2" s="2865" t="s">
        <v>2922</v>
      </c>
      <c r="J2" s="2866" t="s">
        <v>2924</v>
      </c>
      <c r="K2" s="2866" t="s">
        <v>2925</v>
      </c>
      <c r="L2" s="2865" t="s">
        <v>2926</v>
      </c>
      <c r="N2" s="2865" t="s">
        <v>2560</v>
      </c>
      <c r="O2" s="2866" t="s">
        <v>2923</v>
      </c>
      <c r="P2" s="2866" t="s">
        <v>1938</v>
      </c>
      <c r="Q2" s="2865" t="s">
        <v>2622</v>
      </c>
      <c r="S2" s="2865" t="s">
        <v>2560</v>
      </c>
      <c r="T2" s="2866" t="s">
        <v>2923</v>
      </c>
      <c r="U2" s="2866" t="s">
        <v>1938</v>
      </c>
      <c r="V2" s="2865" t="s">
        <v>2622</v>
      </c>
      <c r="X2" s="2865" t="s">
        <v>2560</v>
      </c>
      <c r="Y2" s="2865" t="s">
        <v>2621</v>
      </c>
      <c r="Z2" s="2866" t="s">
        <v>1635</v>
      </c>
      <c r="AA2" s="2866" t="s">
        <v>1938</v>
      </c>
      <c r="AB2" s="2865" t="s">
        <v>2622</v>
      </c>
      <c r="AD2" s="2865" t="s">
        <v>2560</v>
      </c>
      <c r="AE2" s="2865" t="s">
        <v>2621</v>
      </c>
      <c r="AF2" s="2866" t="s">
        <v>1635</v>
      </c>
      <c r="AG2" s="2866" t="s">
        <v>1938</v>
      </c>
      <c r="AH2" s="2865" t="s">
        <v>2622</v>
      </c>
    </row>
    <row r="3" spans="1:34" s="2874" customFormat="1" ht="14.25">
      <c r="A3" s="2868" t="s">
        <v>2933</v>
      </c>
      <c r="B3" s="2869"/>
      <c r="C3" s="2869"/>
      <c r="D3" s="2870"/>
      <c r="E3" s="2870"/>
      <c r="F3" s="2869"/>
      <c r="G3" s="2871"/>
      <c r="H3" s="2872"/>
      <c r="I3" s="2873">
        <f>ROUND(AVERAGE($I4:$I34),2)</f>
        <v>1.73</v>
      </c>
      <c r="J3" s="2873">
        <f>ROUND(AVERAGE($J4:$J34),2)</f>
        <v>1.0900000000000001</v>
      </c>
      <c r="K3" s="2873">
        <f>ROUND(AVERAGE($K4:$K34),2)</f>
        <v>1.9</v>
      </c>
      <c r="L3" s="2873">
        <f>ROUND(AVERAGE($L4:$L34),2)</f>
        <v>1.25</v>
      </c>
      <c r="N3" s="2871"/>
      <c r="S3" s="2871"/>
      <c r="W3" s="2875"/>
      <c r="X3" s="2876">
        <f>ROUND(SUMPRODUCT(PRODUCT(1+N3:N$33)),4)</f>
        <v>1.619</v>
      </c>
      <c r="Y3" s="2876">
        <f>ROUND(SUMPRODUCT(PRODUCT(1+O3:O$33)),4)</f>
        <v>1.3491</v>
      </c>
      <c r="Z3" s="2876">
        <f t="shared" ref="Z3:Z31" si="0">Y3</f>
        <v>1.3491</v>
      </c>
      <c r="AA3" s="2876">
        <f>ROUND(SUMPRODUCT(PRODUCT(1+P3:P$33)),4)</f>
        <v>1.6988000000000001</v>
      </c>
      <c r="AB3" s="2876">
        <f>ROUND(SUMPRODUCT(PRODUCT(1+Q3:Q$33)),4)</f>
        <v>1.4315</v>
      </c>
      <c r="AD3" s="2877">
        <f>ROUND(AVERAGE(I3:I$34)/100,4)</f>
        <v>1.7299999999999999E-2</v>
      </c>
      <c r="AE3" s="2877">
        <f>ROUND(AVERAGE(J3:J$34)/100,4)</f>
        <v>1.09E-2</v>
      </c>
      <c r="AF3" s="2877">
        <f t="shared" ref="AF3:AF32" si="1">AE3</f>
        <v>1.09E-2</v>
      </c>
      <c r="AG3" s="2877">
        <f>ROUND(AVERAGE(K3:K$34)/100,4)</f>
        <v>1.9E-2</v>
      </c>
      <c r="AH3" s="2877">
        <f>ROUND(AVERAGE(L3:L$34)/100,4)</f>
        <v>1.2500000000000001E-2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3005</v>
      </c>
      <c r="B5" s="2888">
        <f t="shared" ref="B5" si="2">B6*(1+N5)</f>
        <v>497.92799851020823</v>
      </c>
      <c r="C5" s="2888">
        <f t="shared" ref="C5" si="3">C6*(1+O5)</f>
        <v>347.77173663537445</v>
      </c>
      <c r="D5" s="2888">
        <f t="shared" ref="D5" si="4">C5</f>
        <v>347.77173663537445</v>
      </c>
      <c r="E5" s="2888">
        <f t="shared" ref="E5" si="5">E6*(1+P5)</f>
        <v>718.44695593258189</v>
      </c>
      <c r="F5" s="2888">
        <f t="shared" ref="F5" si="6">F6*(1+Q5)</f>
        <v>329.12600580153247</v>
      </c>
      <c r="G5" s="2881">
        <v>2021</v>
      </c>
      <c r="H5" s="2889">
        <v>2</v>
      </c>
      <c r="I5" s="2890">
        <v>0</v>
      </c>
      <c r="J5" s="2890">
        <v>0</v>
      </c>
      <c r="K5" s="2890">
        <v>0</v>
      </c>
      <c r="L5" s="2890">
        <v>0</v>
      </c>
      <c r="N5" s="2892">
        <f t="shared" ref="N5" si="7">I5/100</f>
        <v>0</v>
      </c>
      <c r="O5" s="2892">
        <f t="shared" ref="O5" si="8">J5/100</f>
        <v>0</v>
      </c>
      <c r="P5" s="2892">
        <f t="shared" ref="P5" si="9">K5/100</f>
        <v>0</v>
      </c>
      <c r="Q5" s="2892">
        <f t="shared" ref="Q5" si="10">L5/100</f>
        <v>0</v>
      </c>
      <c r="S5" s="2893">
        <f>B5/B6-1</f>
        <v>0</v>
      </c>
      <c r="T5" s="2891">
        <f>C5/C6-1</f>
        <v>0</v>
      </c>
      <c r="U5" s="2891">
        <f>E5/E6-1</f>
        <v>0</v>
      </c>
      <c r="V5" s="2891">
        <f>F5/F6-1</f>
        <v>0</v>
      </c>
      <c r="W5" s="2894" t="s">
        <v>2934</v>
      </c>
      <c r="X5" s="2895">
        <f>ROUND(IF(项目基本情况!B4="出让",SUMPRODUCT(PRODUCT(1+N5:N$34)),SUMPRODUCT(PRODUCT(1+N5:N$33))),4)</f>
        <v>1.619</v>
      </c>
      <c r="Y5" s="2895">
        <f>ROUND(IF(项目基本情况!B4="出让",SUMPRODUCT(PRODUCT(1+O5:O$34)),SUMPRODUCT(PRODUCT(1+O5:O$33))),4)</f>
        <v>1.3491</v>
      </c>
      <c r="Z5" s="2895">
        <f t="shared" ref="Z5" si="11">Y5</f>
        <v>1.3491</v>
      </c>
      <c r="AA5" s="2895">
        <f>ROUND(IF(项目基本情况!B4="出让",SUMPRODUCT(PRODUCT(1+P5:P$34)),SUMPRODUCT(PRODUCT(1+P5:P$33))),4)</f>
        <v>1.6988000000000001</v>
      </c>
      <c r="AB5" s="2895">
        <f>ROUND(IF(项目基本情况!B4="出让",SUMPRODUCT(PRODUCT(1+Q5:Q$34)),SUMPRODUCT(PRODUCT(1+Q5:Q$33))),4)</f>
        <v>1.4315</v>
      </c>
      <c r="AD5" s="2896">
        <f>ROUND(AVERAGE(I5:I$34)/100,4)</f>
        <v>1.7299999999999999E-2</v>
      </c>
      <c r="AE5" s="2896">
        <f>ROUND(AVERAGE(J5:J$34)/100,4)</f>
        <v>1.09E-2</v>
      </c>
      <c r="AF5" s="2896">
        <f t="shared" ref="AF5" si="12">AE5</f>
        <v>1.09E-2</v>
      </c>
      <c r="AG5" s="2896">
        <f>ROUND(AVERAGE(K5:K$34)/100,4)</f>
        <v>1.9E-2</v>
      </c>
      <c r="AH5" s="2896">
        <f>ROUND(AVERAGE(L5:L$34)/100,4)</f>
        <v>1.2500000000000001E-2</v>
      </c>
    </row>
    <row r="6" spans="1:34" s="2904" customFormat="1">
      <c r="A6" s="2897" t="s">
        <v>3004</v>
      </c>
      <c r="B6" s="2898">
        <f t="shared" ref="B6" si="13">B7*(1+N6)</f>
        <v>497.92799851020823</v>
      </c>
      <c r="C6" s="2898">
        <f t="shared" ref="C6" si="14">C7*(1+O6)</f>
        <v>347.77173663537445</v>
      </c>
      <c r="D6" s="2898">
        <f t="shared" ref="D6" si="15">C6</f>
        <v>347.77173663537445</v>
      </c>
      <c r="E6" s="2898">
        <f t="shared" ref="E6" si="16">E7*(1+P6)</f>
        <v>718.44695593258189</v>
      </c>
      <c r="F6" s="2898">
        <f t="shared" ref="F6" si="17">F7*(1+Q6)</f>
        <v>329.12600580153247</v>
      </c>
      <c r="G6" s="2881">
        <v>2021</v>
      </c>
      <c r="H6" s="2899">
        <v>1</v>
      </c>
      <c r="I6" s="2861">
        <v>0.97</v>
      </c>
      <c r="J6" s="2861">
        <v>0.16</v>
      </c>
      <c r="K6" s="2861">
        <v>1.1100000000000001</v>
      </c>
      <c r="L6" s="2862">
        <v>0.36</v>
      </c>
      <c r="M6" s="2885"/>
      <c r="N6" s="2900">
        <f t="shared" ref="N6" si="18">I6/100</f>
        <v>9.7000000000000003E-3</v>
      </c>
      <c r="O6" s="2886">
        <f t="shared" ref="O6" si="19">J6/100</f>
        <v>1.6000000000000001E-3</v>
      </c>
      <c r="P6" s="2886">
        <f t="shared" ref="P6" si="20">K6/100</f>
        <v>1.11E-2</v>
      </c>
      <c r="Q6" s="2886">
        <f t="shared" ref="Q6" si="21">L6/100</f>
        <v>3.5999999999999999E-3</v>
      </c>
      <c r="R6" s="2901"/>
      <c r="S6" s="2902">
        <f>B6/B7-1</f>
        <v>9.7000000000000419E-3</v>
      </c>
      <c r="T6" s="2903">
        <f>C6/C7-1</f>
        <v>1.6000000000000458E-3</v>
      </c>
      <c r="U6" s="2903">
        <f>E6/E7-1</f>
        <v>1.110000000000011E-2</v>
      </c>
      <c r="V6" s="2903">
        <f>F6/F7-1</f>
        <v>3.6000000000000476E-3</v>
      </c>
      <c r="W6" s="2885"/>
      <c r="X6" s="2885">
        <f>ROUND(IF(项目基本情况!B5="出让",SUMPRODUCT(PRODUCT(1+N6:N$34)),SUMPRODUCT(PRODUCT(1+N6:N$33))),4)</f>
        <v>1.619</v>
      </c>
      <c r="Y6" s="2885">
        <f>ROUND(IF(项目基本情况!B5="出让",SUMPRODUCT(PRODUCT(1+O6:O$34)),SUMPRODUCT(PRODUCT(1+O6:O$33))),4)</f>
        <v>1.3491</v>
      </c>
      <c r="Z6" s="2885">
        <f t="shared" ref="Z6" si="22">Y6</f>
        <v>1.3491</v>
      </c>
      <c r="AA6" s="2885">
        <f>ROUND(IF(项目基本情况!B5="出让",SUMPRODUCT(PRODUCT(1+P6:P$34)),SUMPRODUCT(PRODUCT(1+P6:P$33))),4)</f>
        <v>1.6988000000000001</v>
      </c>
      <c r="AB6" s="2885">
        <f>ROUND(IF(项目基本情况!B5="出让",SUMPRODUCT(PRODUCT(1+Q6:Q$34)),SUMPRODUCT(PRODUCT(1+Q6:Q$33))),4)</f>
        <v>1.4315</v>
      </c>
      <c r="AC6" s="2885"/>
      <c r="AD6" s="2886">
        <f>ROUND(AVERAGE(I6:I$34)/100,4)</f>
        <v>1.7899999999999999E-2</v>
      </c>
      <c r="AE6" s="2886">
        <f>ROUND(AVERAGE(J6:J$34)/100,4)</f>
        <v>1.12E-2</v>
      </c>
      <c r="AF6" s="2886">
        <f t="shared" ref="AF6" si="23">AE6</f>
        <v>1.12E-2</v>
      </c>
      <c r="AG6" s="2886">
        <f>ROUND(AVERAGE(K6:K$34)/100,4)</f>
        <v>1.9699999999999999E-2</v>
      </c>
      <c r="AH6" s="2886">
        <f>ROUND(AVERAGE(L6:L$34)/100,4)</f>
        <v>1.29E-2</v>
      </c>
    </row>
    <row r="7" spans="1:34" s="2904" customFormat="1">
      <c r="A7" s="2897" t="s">
        <v>3001</v>
      </c>
      <c r="B7" s="2898">
        <f t="shared" ref="B7" si="24">B8*(1+N7)</f>
        <v>493.14449689037161</v>
      </c>
      <c r="C7" s="2898">
        <f t="shared" ref="C7" si="25">C8*(1+O7)</f>
        <v>347.21619073020611</v>
      </c>
      <c r="D7" s="2898">
        <f t="shared" ref="D7" si="26">C7</f>
        <v>347.21619073020611</v>
      </c>
      <c r="E7" s="2898">
        <f t="shared" ref="E7" si="27">E8*(1+P7)</f>
        <v>710.55974278763904</v>
      </c>
      <c r="F7" s="2898">
        <f t="shared" ref="F7" si="28">F8*(1+Q7)</f>
        <v>327.94540235306141</v>
      </c>
      <c r="G7" s="2881">
        <v>2020</v>
      </c>
      <c r="H7" s="2899">
        <v>4</v>
      </c>
      <c r="I7" s="2861">
        <v>2.0699999999999998</v>
      </c>
      <c r="J7" s="2861">
        <v>0.37</v>
      </c>
      <c r="K7" s="2861">
        <v>2.35</v>
      </c>
      <c r="L7" s="2862">
        <v>2.69</v>
      </c>
      <c r="M7" s="2885"/>
      <c r="N7" s="2900">
        <f t="shared" ref="N7" si="29">I7/100</f>
        <v>2.07E-2</v>
      </c>
      <c r="O7" s="2886">
        <f t="shared" ref="O7" si="30">J7/100</f>
        <v>3.7000000000000002E-3</v>
      </c>
      <c r="P7" s="2886">
        <f t="shared" ref="P7" si="31">K7/100</f>
        <v>2.35E-2</v>
      </c>
      <c r="Q7" s="2886">
        <f t="shared" ref="Q7" si="32">L7/100</f>
        <v>2.69E-2</v>
      </c>
      <c r="R7" s="2901"/>
      <c r="S7" s="2902"/>
      <c r="T7" s="2903"/>
      <c r="U7" s="2903"/>
      <c r="V7" s="2903"/>
      <c r="W7" s="2885"/>
      <c r="X7" s="2885">
        <f>ROUND(IF(项目基本情况!B6="出让",SUMPRODUCT(PRODUCT(1+N7:N$34)),SUMPRODUCT(PRODUCT(1+N7:N$33))),4)</f>
        <v>1.6034999999999999</v>
      </c>
      <c r="Y7" s="2885">
        <f>ROUND(IF(项目基本情况!B6="出让",SUMPRODUCT(PRODUCT(1+O7:O$34)),SUMPRODUCT(PRODUCT(1+O7:O$33))),4)</f>
        <v>1.3469</v>
      </c>
      <c r="Z7" s="2885">
        <f t="shared" ref="Z7" si="33">Y7</f>
        <v>1.3469</v>
      </c>
      <c r="AA7" s="2885">
        <f>ROUND(IF(项目基本情况!B6="出让",SUMPRODUCT(PRODUCT(1+P7:P$34)),SUMPRODUCT(PRODUCT(1+P7:P$33))),4)</f>
        <v>1.6801999999999999</v>
      </c>
      <c r="AB7" s="2885">
        <f>ROUND(IF(项目基本情况!B6="出让",SUMPRODUCT(PRODUCT(1+Q7:Q$34)),SUMPRODUCT(PRODUCT(1+Q7:Q$33))),4)</f>
        <v>1.4263999999999999</v>
      </c>
      <c r="AC7" s="2885"/>
      <c r="AD7" s="2886">
        <f>ROUND(AVERAGE(I7:I$34)/100,4)</f>
        <v>1.8200000000000001E-2</v>
      </c>
      <c r="AE7" s="2886">
        <f>ROUND(AVERAGE(J7:J$34)/100,4)</f>
        <v>1.1599999999999999E-2</v>
      </c>
      <c r="AF7" s="2886">
        <f t="shared" ref="AF7" si="34">AE7</f>
        <v>1.1599999999999999E-2</v>
      </c>
      <c r="AG7" s="2886">
        <f>ROUND(AVERAGE(K7:K$34)/100,4)</f>
        <v>0.02</v>
      </c>
      <c r="AH7" s="2886">
        <f>ROUND(AVERAGE(L7:L$34)/100,4)</f>
        <v>1.3299999999999999E-2</v>
      </c>
    </row>
    <row r="8" spans="1:34" s="2904" customFormat="1">
      <c r="A8" s="2897" t="s">
        <v>3000</v>
      </c>
      <c r="B8" s="2898">
        <f t="shared" ref="B8" si="35">B9*(1+N8)</f>
        <v>483.1434279321756</v>
      </c>
      <c r="C8" s="2898">
        <f t="shared" ref="C8" si="36">C9*(1+O8)</f>
        <v>345.93622669144776</v>
      </c>
      <c r="D8" s="2898">
        <f t="shared" ref="D8" si="37">C8</f>
        <v>345.93622669144776</v>
      </c>
      <c r="E8" s="2898">
        <f t="shared" ref="E8" si="38">E9*(1+P8)</f>
        <v>694.24498562544113</v>
      </c>
      <c r="F8" s="2898">
        <f t="shared" ref="F8" si="39">F9*(1+Q8)</f>
        <v>319.35475932716082</v>
      </c>
      <c r="G8" s="2881">
        <v>2020</v>
      </c>
      <c r="H8" s="2899">
        <v>3</v>
      </c>
      <c r="I8" s="2861">
        <v>0.36</v>
      </c>
      <c r="J8" s="2861">
        <v>-0.39</v>
      </c>
      <c r="K8" s="2861">
        <v>0.49</v>
      </c>
      <c r="L8" s="2862">
        <v>7.0000000000000007E-2</v>
      </c>
      <c r="M8" s="2885"/>
      <c r="N8" s="2900">
        <f t="shared" ref="N8" si="40">I8/100</f>
        <v>3.5999999999999999E-3</v>
      </c>
      <c r="O8" s="2886">
        <f t="shared" ref="O8" si="41">J8/100</f>
        <v>-3.9000000000000003E-3</v>
      </c>
      <c r="P8" s="2886">
        <f t="shared" ref="P8" si="42">K8/100</f>
        <v>4.8999999999999998E-3</v>
      </c>
      <c r="Q8" s="2886">
        <f t="shared" ref="Q8" si="43">L8/100</f>
        <v>7.000000000000001E-4</v>
      </c>
      <c r="R8" s="2901"/>
      <c r="S8" s="2902"/>
      <c r="T8" s="2903"/>
      <c r="U8" s="2903"/>
      <c r="V8" s="2903"/>
      <c r="W8" s="2885"/>
      <c r="X8" s="2885">
        <f>ROUND(IF(项目基本情况!B7="出让",SUMPRODUCT(PRODUCT(1+N8:N$34)),SUMPRODUCT(PRODUCT(1+N8:N$33))),4)</f>
        <v>1.571</v>
      </c>
      <c r="Y8" s="2885">
        <f>ROUND(IF(项目基本情况!B7="出让",SUMPRODUCT(PRODUCT(1+O8:O$34)),SUMPRODUCT(PRODUCT(1+O8:O$33))),4)</f>
        <v>1.3420000000000001</v>
      </c>
      <c r="Z8" s="2885">
        <f t="shared" ref="Z8" si="44">Y8</f>
        <v>1.3420000000000001</v>
      </c>
      <c r="AA8" s="2885">
        <f>ROUND(IF(项目基本情况!B7="出让",SUMPRODUCT(PRODUCT(1+P8:P$34)),SUMPRODUCT(PRODUCT(1+P8:P$33))),4)</f>
        <v>1.6415999999999999</v>
      </c>
      <c r="AB8" s="2885">
        <f>ROUND(IF(项目基本情况!B7="出让",SUMPRODUCT(PRODUCT(1+Q8:Q$34)),SUMPRODUCT(PRODUCT(1+Q8:Q$33))),4)</f>
        <v>1.389</v>
      </c>
      <c r="AC8" s="2885"/>
      <c r="AD8" s="2886">
        <f>ROUND(AVERAGE(I8:I$34)/100,4)</f>
        <v>1.8100000000000002E-2</v>
      </c>
      <c r="AE8" s="2886">
        <f>ROUND(AVERAGE(J8:J$34)/100,4)</f>
        <v>1.1900000000000001E-2</v>
      </c>
      <c r="AF8" s="2886">
        <f t="shared" ref="AF8" si="45">AE8</f>
        <v>1.1900000000000001E-2</v>
      </c>
      <c r="AG8" s="2886">
        <f>ROUND(AVERAGE(K8:K$34)/100,4)</f>
        <v>1.9900000000000001E-2</v>
      </c>
      <c r="AH8" s="2886">
        <f>ROUND(AVERAGE(L8:L$34)/100,4)</f>
        <v>1.2800000000000001E-2</v>
      </c>
    </row>
    <row r="9" spans="1:34" s="2904" customFormat="1">
      <c r="A9" s="2897" t="s">
        <v>2963</v>
      </c>
      <c r="B9" s="2898">
        <f t="shared" ref="B9" si="46">B10*(1+N9)</f>
        <v>481.4103506697644</v>
      </c>
      <c r="C9" s="2898">
        <f t="shared" ref="C9" si="47">C10*(1+O9)</f>
        <v>347.29066026648707</v>
      </c>
      <c r="D9" s="2898">
        <f t="shared" ref="D9" si="48">C9</f>
        <v>347.29066026648707</v>
      </c>
      <c r="E9" s="2898">
        <f t="shared" ref="E9" si="49">E10*(1+P9)</f>
        <v>690.85977273901995</v>
      </c>
      <c r="F9" s="2898">
        <f t="shared" ref="F9" si="50">F10*(1+Q9)</f>
        <v>319.13136737000184</v>
      </c>
      <c r="G9" s="2881">
        <v>2020</v>
      </c>
      <c r="H9" s="2899">
        <v>2</v>
      </c>
      <c r="I9" s="2861">
        <v>0.31</v>
      </c>
      <c r="J9" s="2861">
        <v>-0.78</v>
      </c>
      <c r="K9" s="2861">
        <v>0.5</v>
      </c>
      <c r="L9" s="2862">
        <v>0.47</v>
      </c>
      <c r="M9" s="2885"/>
      <c r="N9" s="2900">
        <f t="shared" ref="N9" si="51">I9/100</f>
        <v>3.0999999999999999E-3</v>
      </c>
      <c r="O9" s="2886">
        <f t="shared" ref="O9" si="52">J9/100</f>
        <v>-7.8000000000000005E-3</v>
      </c>
      <c r="P9" s="2886">
        <f t="shared" ref="P9" si="53">K9/100</f>
        <v>5.0000000000000001E-3</v>
      </c>
      <c r="Q9" s="2886">
        <f t="shared" ref="Q9" si="54">L9/100</f>
        <v>4.6999999999999993E-3</v>
      </c>
      <c r="R9" s="2901"/>
      <c r="S9" s="2902"/>
      <c r="T9" s="2903"/>
      <c r="U9" s="2903"/>
      <c r="V9" s="2903"/>
      <c r="W9" s="2885"/>
      <c r="X9" s="2885">
        <f>ROUND(IF(项目基本情况!B8="出让",SUMPRODUCT(PRODUCT(1+N9:N$34)),SUMPRODUCT(PRODUCT(1+N9:N$33))),4)</f>
        <v>1.5652999999999999</v>
      </c>
      <c r="Y9" s="2885">
        <f>ROUND(IF(项目基本情况!B8="出让",SUMPRODUCT(PRODUCT(1+O9:O$34)),SUMPRODUCT(PRODUCT(1+O9:O$33))),4)</f>
        <v>1.3472</v>
      </c>
      <c r="Z9" s="2885">
        <f t="shared" ref="Z9" si="55">Y9</f>
        <v>1.3472</v>
      </c>
      <c r="AA9" s="2885">
        <f>ROUND(IF(项目基本情况!B8="出让",SUMPRODUCT(PRODUCT(1+P9:P$34)),SUMPRODUCT(PRODUCT(1+P9:P$33))),4)</f>
        <v>1.6335999999999999</v>
      </c>
      <c r="AB9" s="2885">
        <f>ROUND(IF(项目基本情况!B8="出让",SUMPRODUCT(PRODUCT(1+Q9:Q$34)),SUMPRODUCT(PRODUCT(1+Q9:Q$33))),4)</f>
        <v>1.3880999999999999</v>
      </c>
      <c r="AC9" s="2885"/>
      <c r="AD9" s="2886">
        <f>ROUND(AVERAGE(I9:I$34)/100,4)</f>
        <v>1.8599999999999998E-2</v>
      </c>
      <c r="AE9" s="2886">
        <f>ROUND(AVERAGE(J9:J$34)/100,4)</f>
        <v>1.2500000000000001E-2</v>
      </c>
      <c r="AF9" s="2886">
        <f t="shared" ref="AF9" si="56">AE9</f>
        <v>1.2500000000000001E-2</v>
      </c>
      <c r="AG9" s="2886">
        <f>ROUND(AVERAGE(K9:K$34)/100,4)</f>
        <v>2.0400000000000001E-2</v>
      </c>
      <c r="AH9" s="2886">
        <f>ROUND(AVERAGE(L9:L$34)/100,4)</f>
        <v>1.32E-2</v>
      </c>
    </row>
    <row r="10" spans="1:34" s="2904" customFormat="1">
      <c r="A10" s="2897" t="s">
        <v>2961</v>
      </c>
      <c r="B10" s="2898">
        <f t="shared" ref="B10" si="57">B11*(1+N10)</f>
        <v>479.92259063878413</v>
      </c>
      <c r="C10" s="2898">
        <f t="shared" ref="C10" si="58">C11*(1+O10)</f>
        <v>350.02082268341775</v>
      </c>
      <c r="D10" s="2898">
        <f t="shared" ref="D10" si="59">C10</f>
        <v>350.02082268341775</v>
      </c>
      <c r="E10" s="2898">
        <f t="shared" ref="E10" si="60">E11*(1+P10)</f>
        <v>687.42265944181099</v>
      </c>
      <c r="F10" s="2898">
        <f t="shared" ref="F10" si="61">F11*(1+Q10)</f>
        <v>317.63846657708956</v>
      </c>
      <c r="G10" s="2881">
        <v>2020</v>
      </c>
      <c r="H10" s="2899">
        <v>1</v>
      </c>
      <c r="I10" s="2861">
        <v>0.12</v>
      </c>
      <c r="J10" s="2861">
        <v>-0.4</v>
      </c>
      <c r="K10" s="2861">
        <v>0.21</v>
      </c>
      <c r="L10" s="2862">
        <v>0.27</v>
      </c>
      <c r="M10" s="2885"/>
      <c r="N10" s="2900">
        <f t="shared" ref="N10" si="62">I10/100</f>
        <v>1.1999999999999999E-3</v>
      </c>
      <c r="O10" s="2886">
        <f t="shared" ref="O10" si="63">J10/100</f>
        <v>-4.0000000000000001E-3</v>
      </c>
      <c r="P10" s="2886">
        <f t="shared" ref="P10" si="64">K10/100</f>
        <v>2.0999999999999999E-3</v>
      </c>
      <c r="Q10" s="2886">
        <f t="shared" ref="Q10" si="65">L10/100</f>
        <v>2.7000000000000001E-3</v>
      </c>
      <c r="R10" s="2901"/>
      <c r="S10" s="2902">
        <f>B10/B11-1</f>
        <v>1.2000000000000899E-3</v>
      </c>
      <c r="T10" s="2903">
        <f>C10/C11-1</f>
        <v>-4.0000000000000036E-3</v>
      </c>
      <c r="U10" s="2903">
        <f>E10/E11-1</f>
        <v>2.0999999999999908E-3</v>
      </c>
      <c r="V10" s="2903">
        <f>F10/F11-1</f>
        <v>2.6999999999999247E-3</v>
      </c>
      <c r="W10" s="2885"/>
      <c r="X10" s="2885">
        <f>ROUND(IF(项目基本情况!B8="出让",SUMPRODUCT(PRODUCT(1+N10:N$34)),SUMPRODUCT(PRODUCT(1+N10:N$33))),4)</f>
        <v>1.5605</v>
      </c>
      <c r="Y10" s="2885">
        <f>ROUND(IF(项目基本情况!B8="出让",SUMPRODUCT(PRODUCT(1+O10:O$34)),SUMPRODUCT(PRODUCT(1+O10:O$33))),4)</f>
        <v>1.3577999999999999</v>
      </c>
      <c r="Z10" s="2885">
        <f t="shared" ref="Z10" si="66">Y10</f>
        <v>1.3577999999999999</v>
      </c>
      <c r="AA10" s="2885">
        <f>ROUND(IF(项目基本情况!B8="出让",SUMPRODUCT(PRODUCT(1+P10:P$34)),SUMPRODUCT(PRODUCT(1+P10:P$33))),4)</f>
        <v>1.6254999999999999</v>
      </c>
      <c r="AB10" s="2885">
        <f>ROUND(IF(项目基本情况!B8="出让",SUMPRODUCT(PRODUCT(1+Q10:Q$34)),SUMPRODUCT(PRODUCT(1+Q10:Q$33))),4)</f>
        <v>1.3815999999999999</v>
      </c>
      <c r="AC10" s="2885"/>
      <c r="AD10" s="2886">
        <f>ROUND(AVERAGE(I10:I$34)/100,4)</f>
        <v>1.9199999999999998E-2</v>
      </c>
      <c r="AE10" s="2886">
        <f>ROUND(AVERAGE(J10:J$34)/100,4)</f>
        <v>1.3299999999999999E-2</v>
      </c>
      <c r="AF10" s="2886">
        <f t="shared" ref="AF10" si="67">AE10</f>
        <v>1.3299999999999999E-2</v>
      </c>
      <c r="AG10" s="2886">
        <f>ROUND(AVERAGE(K10:K$34)/100,4)</f>
        <v>2.1100000000000001E-2</v>
      </c>
      <c r="AH10" s="2886">
        <f>ROUND(AVERAGE(L10:L$34)/100,4)</f>
        <v>1.3599999999999999E-2</v>
      </c>
    </row>
    <row r="11" spans="1:34" s="2904" customFormat="1">
      <c r="A11" s="2897" t="s">
        <v>2958</v>
      </c>
      <c r="B11" s="2898">
        <f t="shared" ref="B11" si="68">B12*(1+N11)</f>
        <v>479.34737379023579</v>
      </c>
      <c r="C11" s="2898">
        <f t="shared" ref="C11" si="69">C12*(1+O11)</f>
        <v>351.4265287986122</v>
      </c>
      <c r="D11" s="2898">
        <f t="shared" ref="D11" si="70">C11</f>
        <v>351.4265287986122</v>
      </c>
      <c r="E11" s="2898">
        <f t="shared" ref="E11" si="71">E12*(1+P11)</f>
        <v>685.98209703803116</v>
      </c>
      <c r="F11" s="2898">
        <f t="shared" ref="F11" si="72">F12*(1+Q11)</f>
        <v>316.78315206651001</v>
      </c>
      <c r="G11" s="2881">
        <v>2019</v>
      </c>
      <c r="H11" s="2899">
        <v>4</v>
      </c>
      <c r="I11" s="2899">
        <v>0.45</v>
      </c>
      <c r="J11" s="2899">
        <v>-0.12</v>
      </c>
      <c r="K11" s="2899">
        <v>0.54</v>
      </c>
      <c r="L11" s="2905">
        <v>0.48</v>
      </c>
      <c r="M11" s="2885"/>
      <c r="N11" s="2900">
        <f t="shared" ref="N11" si="73">I11/100</f>
        <v>4.5000000000000005E-3</v>
      </c>
      <c r="O11" s="2886">
        <f t="shared" ref="O11" si="74">J11/100</f>
        <v>-1.1999999999999999E-3</v>
      </c>
      <c r="P11" s="2886">
        <f t="shared" ref="P11" si="75">K11/100</f>
        <v>5.4000000000000003E-3</v>
      </c>
      <c r="Q11" s="2886">
        <f t="shared" ref="Q11" si="76">L11/100</f>
        <v>4.7999999999999996E-3</v>
      </c>
      <c r="R11" s="2901"/>
      <c r="S11" s="2902"/>
      <c r="T11" s="2903"/>
      <c r="U11" s="2903"/>
      <c r="V11" s="2903"/>
      <c r="W11" s="2885"/>
      <c r="X11" s="2885">
        <f>ROUND(IF(项目基本情况!B8="出让",SUMPRODUCT(PRODUCT(1+N11:N$34)),SUMPRODUCT(PRODUCT(1+N11:N$33))),4)</f>
        <v>1.5586</v>
      </c>
      <c r="Y11" s="2885">
        <f>ROUND(IF(项目基本情况!B8="出让",SUMPRODUCT(PRODUCT(1+O11:O$34)),SUMPRODUCT(PRODUCT(1+O11:O$33))),4)</f>
        <v>1.3633</v>
      </c>
      <c r="Z11" s="2885">
        <f t="shared" ref="Z11" si="77">Y11</f>
        <v>1.3633</v>
      </c>
      <c r="AA11" s="2885">
        <f>ROUND(IF(项目基本情况!B8="出让",SUMPRODUCT(PRODUCT(1+P11:P$34)),SUMPRODUCT(PRODUCT(1+P11:P$33))),4)</f>
        <v>1.6221000000000001</v>
      </c>
      <c r="AB11" s="2885">
        <f>ROUND(IF(项目基本情况!B8="出让",SUMPRODUCT(PRODUCT(1+Q11:Q$34)),SUMPRODUCT(PRODUCT(1+Q11:Q$33))),4)</f>
        <v>1.3777999999999999</v>
      </c>
      <c r="AC11" s="2885"/>
      <c r="AD11" s="2886">
        <f>ROUND(AVERAGE(I11:I$34)/100,4)</f>
        <v>0.02</v>
      </c>
      <c r="AE11" s="2886">
        <f>ROUND(AVERAGE(J11:J$34)/100,4)</f>
        <v>1.4E-2</v>
      </c>
      <c r="AF11" s="2886">
        <f t="shared" ref="AF11" si="78">AE11</f>
        <v>1.4E-2</v>
      </c>
      <c r="AG11" s="2886">
        <f>ROUND(AVERAGE(K11:K$34)/100,4)</f>
        <v>2.1899999999999999E-2</v>
      </c>
      <c r="AH11" s="2886">
        <f>ROUND(AVERAGE(L11:L$34)/100,4)</f>
        <v>1.4E-2</v>
      </c>
    </row>
    <row r="12" spans="1:34" s="2904" customFormat="1" ht="13.5" thickBot="1">
      <c r="A12" s="2897" t="s">
        <v>2957</v>
      </c>
      <c r="B12" s="2898">
        <f t="shared" ref="B12" si="79">B13*(1+N12)</f>
        <v>477.19997390765138</v>
      </c>
      <c r="C12" s="2898">
        <f t="shared" ref="C12" si="80">C13*(1+O12)</f>
        <v>351.84874729536665</v>
      </c>
      <c r="D12" s="2898">
        <f t="shared" ref="D12" si="81">C12</f>
        <v>351.84874729536665</v>
      </c>
      <c r="E12" s="2898">
        <f t="shared" ref="E12" si="82">E13*(1+P12)</f>
        <v>682.29768951465201</v>
      </c>
      <c r="F12" s="2898">
        <f t="shared" ref="F12" si="83">F13*(1+Q12)</f>
        <v>315.26985675409043</v>
      </c>
      <c r="G12" s="2881">
        <v>2019</v>
      </c>
      <c r="H12" s="2899">
        <v>3</v>
      </c>
      <c r="I12" s="2899">
        <v>0.61</v>
      </c>
      <c r="J12" s="2899">
        <v>0.67</v>
      </c>
      <c r="K12" s="2899">
        <v>0.6</v>
      </c>
      <c r="L12" s="2905">
        <v>1.03</v>
      </c>
      <c r="M12" s="2885"/>
      <c r="N12" s="2900">
        <f t="shared" ref="N12" si="84">I12/100</f>
        <v>6.0999999999999995E-3</v>
      </c>
      <c r="O12" s="2886">
        <f t="shared" ref="O12" si="85">J12/100</f>
        <v>6.7000000000000002E-3</v>
      </c>
      <c r="P12" s="2886">
        <f t="shared" ref="P12" si="86">K12/100</f>
        <v>6.0000000000000001E-3</v>
      </c>
      <c r="Q12" s="2886">
        <f t="shared" ref="Q12" si="87">L12/100</f>
        <v>1.03E-2</v>
      </c>
      <c r="R12" s="2901"/>
      <c r="S12" s="2902"/>
      <c r="T12" s="2903"/>
      <c r="U12" s="2903"/>
      <c r="V12" s="2903"/>
      <c r="W12" s="2885"/>
      <c r="X12" s="2885">
        <f>ROUND(IF(项目基本情况!B8="出让",SUMPRODUCT(PRODUCT(1+N12:N$34)),SUMPRODUCT(PRODUCT(1+N12:N$33))),4)</f>
        <v>1.5516000000000001</v>
      </c>
      <c r="Y12" s="2885">
        <f>ROUND(IF(项目基本情况!B8="出让",SUMPRODUCT(PRODUCT(1+O12:O$34)),SUMPRODUCT(PRODUCT(1+O12:O$33))),4)</f>
        <v>1.3649</v>
      </c>
      <c r="Z12" s="2885">
        <f t="shared" ref="Z12" si="88">Y12</f>
        <v>1.3649</v>
      </c>
      <c r="AA12" s="2885">
        <f>ROUND(IF(项目基本情况!B8="出让",SUMPRODUCT(PRODUCT(1+P12:P$34)),SUMPRODUCT(PRODUCT(1+P12:P$33))),4)</f>
        <v>1.6133999999999999</v>
      </c>
      <c r="AB12" s="2885">
        <f>ROUND(IF(项目基本情况!B8="出让",SUMPRODUCT(PRODUCT(1+Q12:Q$34)),SUMPRODUCT(PRODUCT(1+Q12:Q$33))),4)</f>
        <v>1.3713</v>
      </c>
      <c r="AC12" s="2885"/>
      <c r="AD12" s="2886">
        <f>ROUND(AVERAGE(I12:I$34)/100,4)</f>
        <v>2.07E-2</v>
      </c>
      <c r="AE12" s="2886">
        <f>ROUND(AVERAGE(J12:J$34)/100,4)</f>
        <v>1.47E-2</v>
      </c>
      <c r="AF12" s="2886">
        <f t="shared" ref="AF12" si="89">AE12</f>
        <v>1.47E-2</v>
      </c>
      <c r="AG12" s="2886">
        <f>ROUND(AVERAGE(K12:K$34)/100,4)</f>
        <v>2.2599999999999999E-2</v>
      </c>
      <c r="AH12" s="2886">
        <f>ROUND(AVERAGE(L12:L$34)/100,4)</f>
        <v>1.44E-2</v>
      </c>
    </row>
    <row r="13" spans="1:34" s="2904" customFormat="1">
      <c r="A13" s="2897" t="s">
        <v>2954</v>
      </c>
      <c r="B13" s="2898">
        <f t="shared" ref="B13:B18" si="90">B14*(1+N13)</f>
        <v>474.30670301923408</v>
      </c>
      <c r="C13" s="2898">
        <f t="shared" ref="C13" si="91">C14*(1+O13)</f>
        <v>349.50705005996491</v>
      </c>
      <c r="D13" s="2898">
        <f t="shared" ref="D13" si="92">C13</f>
        <v>349.50705005996491</v>
      </c>
      <c r="E13" s="2898">
        <f t="shared" ref="E13" si="93">E14*(1+P13)</f>
        <v>678.22831959706957</v>
      </c>
      <c r="F13" s="2898">
        <f t="shared" ref="F13" si="94">F14*(1+Q13)</f>
        <v>312.0556832169558</v>
      </c>
      <c r="G13" s="2881">
        <v>2019</v>
      </c>
      <c r="H13" s="2906">
        <v>2</v>
      </c>
      <c r="I13" s="2906">
        <v>1.53</v>
      </c>
      <c r="J13" s="2906">
        <v>1.01</v>
      </c>
      <c r="K13" s="2906">
        <v>1.62</v>
      </c>
      <c r="L13" s="2907">
        <v>1.25</v>
      </c>
      <c r="M13" s="2885"/>
      <c r="N13" s="2900">
        <f t="shared" ref="N13" si="95">I13/100</f>
        <v>1.5300000000000001E-2</v>
      </c>
      <c r="O13" s="2886">
        <f t="shared" ref="O13" si="96">J13/100</f>
        <v>1.01E-2</v>
      </c>
      <c r="P13" s="2886">
        <f t="shared" ref="P13" si="97">K13/100</f>
        <v>1.6200000000000003E-2</v>
      </c>
      <c r="Q13" s="2886">
        <f t="shared" ref="Q13" si="98">L13/100</f>
        <v>1.2500000000000001E-2</v>
      </c>
      <c r="R13" s="2901"/>
      <c r="S13" s="2902"/>
      <c r="T13" s="2903"/>
      <c r="U13" s="2903"/>
      <c r="V13" s="2903"/>
      <c r="W13" s="2885"/>
      <c r="X13" s="2885">
        <f>ROUND(IF(项目基本情况!B8="出让",SUMPRODUCT(PRODUCT(1+N13:N$34)),SUMPRODUCT(PRODUCT(1+N13:N$33))),4)</f>
        <v>1.5422</v>
      </c>
      <c r="Y13" s="2885">
        <f>ROUND(IF(项目基本情况!B8="出让",SUMPRODUCT(PRODUCT(1+O13:O$34)),SUMPRODUCT(PRODUCT(1+O13:O$33))),4)</f>
        <v>1.3557999999999999</v>
      </c>
      <c r="Z13" s="2885">
        <f t="shared" ref="Z13" si="99">Y13</f>
        <v>1.3557999999999999</v>
      </c>
      <c r="AA13" s="2885">
        <f>ROUND(IF(项目基本情况!B8="出让",SUMPRODUCT(PRODUCT(1+P13:P$34)),SUMPRODUCT(PRODUCT(1+P13:P$33))),4)</f>
        <v>1.6036999999999999</v>
      </c>
      <c r="AB13" s="2885">
        <f>ROUND(IF(项目基本情况!B8="出让",SUMPRODUCT(PRODUCT(1+Q13:Q$34)),SUMPRODUCT(PRODUCT(1+Q13:Q$33))),4)</f>
        <v>1.3573</v>
      </c>
      <c r="AC13" s="2885"/>
      <c r="AD13" s="2886">
        <f>ROUND(AVERAGE(I13:I$34)/100,4)</f>
        <v>2.1299999999999999E-2</v>
      </c>
      <c r="AE13" s="2886">
        <f>ROUND(AVERAGE(J13:J$34)/100,4)</f>
        <v>1.4999999999999999E-2</v>
      </c>
      <c r="AF13" s="2886">
        <f t="shared" ref="AF13" si="100">AE13</f>
        <v>1.4999999999999999E-2</v>
      </c>
      <c r="AG13" s="2886">
        <f>ROUND(AVERAGE(K13:K$34)/100,4)</f>
        <v>2.3300000000000001E-2</v>
      </c>
      <c r="AH13" s="2886">
        <f>ROUND(AVERAGE(L13:L$34)/100,4)</f>
        <v>1.46E-2</v>
      </c>
    </row>
    <row r="14" spans="1:34" s="2904" customFormat="1" ht="13.5" thickBot="1">
      <c r="A14" s="2897" t="s">
        <v>2953</v>
      </c>
      <c r="B14" s="2898">
        <f t="shared" si="90"/>
        <v>467.15916775261894</v>
      </c>
      <c r="C14" s="2898">
        <f t="shared" ref="C14" si="101">C15*(1+O14)</f>
        <v>346.01232557169084</v>
      </c>
      <c r="D14" s="2898">
        <f t="shared" ref="D14" si="102">C14</f>
        <v>346.01232557169084</v>
      </c>
      <c r="E14" s="2898">
        <f t="shared" ref="E14" si="103">E15*(1+P14)</f>
        <v>667.41617752122568</v>
      </c>
      <c r="F14" s="2898">
        <f t="shared" ref="F14" si="104">F15*(1+Q14)</f>
        <v>308.20314391798104</v>
      </c>
      <c r="G14" s="2881">
        <v>2019</v>
      </c>
      <c r="H14" s="2899">
        <v>1</v>
      </c>
      <c r="I14" s="2899">
        <v>0.6</v>
      </c>
      <c r="J14" s="2899">
        <v>0.37</v>
      </c>
      <c r="K14" s="2899">
        <v>0.63</v>
      </c>
      <c r="L14" s="2905">
        <v>1.1299999999999999</v>
      </c>
      <c r="M14" s="2885"/>
      <c r="N14" s="2900">
        <f t="shared" ref="N14" si="105">I14/100</f>
        <v>6.0000000000000001E-3</v>
      </c>
      <c r="O14" s="2886">
        <f t="shared" ref="O14" si="106">J14/100</f>
        <v>3.7000000000000002E-3</v>
      </c>
      <c r="P14" s="2886">
        <f t="shared" ref="P14" si="107">K14/100</f>
        <v>6.3E-3</v>
      </c>
      <c r="Q14" s="2886">
        <f t="shared" ref="Q14" si="108">L14/100</f>
        <v>1.1299999999999999E-2</v>
      </c>
      <c r="R14" s="2901"/>
      <c r="S14" s="2902">
        <f>B14/B15-1</f>
        <v>6.0000000000000053E-3</v>
      </c>
      <c r="T14" s="2903">
        <f>C14/C15-1</f>
        <v>3.7000000000000366E-3</v>
      </c>
      <c r="U14" s="2903">
        <f>E14/E15-1</f>
        <v>6.2999999999999723E-3</v>
      </c>
      <c r="V14" s="2903">
        <f>F14/F15-1</f>
        <v>1.1300000000000088E-2</v>
      </c>
      <c r="W14" s="2885"/>
      <c r="X14" s="2885">
        <f>ROUND(IF(项目基本情况!B8="出让",SUMPRODUCT(PRODUCT(1+N14:N$34)),SUMPRODUCT(PRODUCT(1+N14:N$33))),4)</f>
        <v>1.5189999999999999</v>
      </c>
      <c r="Y14" s="2885">
        <f>ROUND(IF(项目基本情况!B8="出让",SUMPRODUCT(PRODUCT(1+O14:O$34)),SUMPRODUCT(PRODUCT(1+O14:O$33))),4)</f>
        <v>1.3423</v>
      </c>
      <c r="Z14" s="2885">
        <f t="shared" ref="Z14" si="109">Y14</f>
        <v>1.3423</v>
      </c>
      <c r="AA14" s="2885">
        <f>ROUND(IF(项目基本情况!B8="出让",SUMPRODUCT(PRODUCT(1+P14:P$34)),SUMPRODUCT(PRODUCT(1+P14:P$33))),4)</f>
        <v>1.5782</v>
      </c>
      <c r="AB14" s="2885">
        <f>ROUND(IF(项目基本情况!B8="出让",SUMPRODUCT(PRODUCT(1+Q14:Q$34)),SUMPRODUCT(PRODUCT(1+Q14:Q$33))),4)</f>
        <v>1.3405</v>
      </c>
      <c r="AC14" s="2885"/>
      <c r="AD14" s="2886">
        <f>ROUND(AVERAGE(I14:I$34)/100,4)</f>
        <v>2.1600000000000001E-2</v>
      </c>
      <c r="AE14" s="2886">
        <f>ROUND(AVERAGE(J14:J$34)/100,4)</f>
        <v>1.5299999999999999E-2</v>
      </c>
      <c r="AF14" s="2886">
        <f t="shared" ref="AF14" si="110">AE14</f>
        <v>1.5299999999999999E-2</v>
      </c>
      <c r="AG14" s="2886">
        <f>ROUND(AVERAGE(K14:K$34)/100,4)</f>
        <v>2.3699999999999999E-2</v>
      </c>
      <c r="AH14" s="2886">
        <f>ROUND(AVERAGE(L14:L$34)/100,4)</f>
        <v>1.47E-2</v>
      </c>
    </row>
    <row r="15" spans="1:34" s="2904" customFormat="1">
      <c r="A15" s="2897" t="s">
        <v>2950</v>
      </c>
      <c r="B15" s="2908">
        <f t="shared" si="90"/>
        <v>464.37293017158942</v>
      </c>
      <c r="C15" s="2908">
        <f t="shared" ref="C15" si="111">C16*(1+O15)</f>
        <v>344.73679941385956</v>
      </c>
      <c r="D15" s="2908">
        <f t="shared" ref="D15" si="112">C15</f>
        <v>344.73679941385956</v>
      </c>
      <c r="E15" s="2908">
        <f t="shared" ref="E15" si="113">E16*(1+P15)</f>
        <v>663.2377795103107</v>
      </c>
      <c r="F15" s="2909">
        <f t="shared" ref="F15" si="114">F16*(1+Q15)</f>
        <v>304.75936311478398</v>
      </c>
      <c r="G15" s="3551">
        <v>2018</v>
      </c>
      <c r="H15" s="2906">
        <v>4</v>
      </c>
      <c r="I15" s="2906">
        <v>0.96</v>
      </c>
      <c r="J15" s="2906">
        <v>1.03</v>
      </c>
      <c r="K15" s="2906">
        <v>0.92</v>
      </c>
      <c r="L15" s="2907">
        <v>1.29</v>
      </c>
      <c r="M15" s="2885"/>
      <c r="N15" s="2900">
        <f t="shared" ref="N15" si="115">I15/100</f>
        <v>9.5999999999999992E-3</v>
      </c>
      <c r="O15" s="2886">
        <f t="shared" ref="O15" si="116">J15/100</f>
        <v>1.03E-2</v>
      </c>
      <c r="P15" s="2886">
        <f t="shared" ref="P15" si="117">K15/100</f>
        <v>9.1999999999999998E-3</v>
      </c>
      <c r="Q15" s="2886">
        <f t="shared" ref="Q15" si="118">L15/100</f>
        <v>1.29E-2</v>
      </c>
      <c r="R15" s="2901"/>
      <c r="S15" s="2910"/>
      <c r="T15" s="2911"/>
      <c r="U15" s="2911"/>
      <c r="V15" s="2911"/>
      <c r="W15" s="2885"/>
      <c r="X15" s="2885">
        <f>ROUND(SUMPRODUCT(PRODUCT(1+N15:N$33)),4)</f>
        <v>1.5099</v>
      </c>
      <c r="Y15" s="2885">
        <f>ROUND(SUMPRODUCT(PRODUCT(1+O15:O$33)),4)</f>
        <v>1.3372999999999999</v>
      </c>
      <c r="Z15" s="2885">
        <f t="shared" ref="Z15" si="119">Y15</f>
        <v>1.3372999999999999</v>
      </c>
      <c r="AA15" s="2885">
        <f>ROUND(SUMPRODUCT(PRODUCT(1+P15:P$33)),4)</f>
        <v>1.5683</v>
      </c>
      <c r="AB15" s="2885">
        <f>ROUND(SUMPRODUCT(PRODUCT(1+Q15:Q$33)),4)</f>
        <v>1.3255999999999999</v>
      </c>
      <c r="AC15" s="2885"/>
      <c r="AD15" s="2886">
        <f>ROUND(AVERAGE(I15:I$34)/100,4)</f>
        <v>2.24E-2</v>
      </c>
      <c r="AE15" s="2886">
        <f>ROUND(AVERAGE(J15:J$34)/100,4)</f>
        <v>1.5800000000000002E-2</v>
      </c>
      <c r="AF15" s="2886">
        <f t="shared" ref="AF15" si="120">AE15</f>
        <v>1.5800000000000002E-2</v>
      </c>
      <c r="AG15" s="2886">
        <f>ROUND(AVERAGE(K15:K$34)/100,4)</f>
        <v>2.4500000000000001E-2</v>
      </c>
      <c r="AH15" s="2886">
        <f>ROUND(AVERAGE(L15:L$34)/100,4)</f>
        <v>1.49E-2</v>
      </c>
    </row>
    <row r="16" spans="1:34" s="2904" customFormat="1" ht="14.45" customHeight="1">
      <c r="A16" s="2897" t="s">
        <v>2943</v>
      </c>
      <c r="B16" s="2898">
        <f t="shared" si="90"/>
        <v>459.95733971036987</v>
      </c>
      <c r="C16" s="2898">
        <f t="shared" ref="C16" si="121">C17*(1+O16)</f>
        <v>341.22221064422405</v>
      </c>
      <c r="D16" s="2898">
        <f t="shared" ref="D16" si="122">C16</f>
        <v>341.22221064422405</v>
      </c>
      <c r="E16" s="2898">
        <f t="shared" ref="E16" si="123">E17*(1+P16)</f>
        <v>657.19161663724799</v>
      </c>
      <c r="F16" s="2898">
        <f t="shared" ref="F16" si="124">F17*(1+Q16)</f>
        <v>300.87803644464805</v>
      </c>
      <c r="G16" s="3551"/>
      <c r="H16" s="2899">
        <v>3</v>
      </c>
      <c r="I16" s="2899">
        <v>1.51</v>
      </c>
      <c r="J16" s="2899">
        <v>1.41</v>
      </c>
      <c r="K16" s="2899">
        <v>1.52</v>
      </c>
      <c r="L16" s="2905">
        <v>1.74</v>
      </c>
      <c r="M16" s="2885"/>
      <c r="N16" s="2900">
        <f t="shared" ref="N16" si="125">I16/100</f>
        <v>1.5100000000000001E-2</v>
      </c>
      <c r="O16" s="2886">
        <f t="shared" ref="O16" si="126">J16/100</f>
        <v>1.41E-2</v>
      </c>
      <c r="P16" s="2886">
        <f t="shared" ref="P16" si="127">K16/100</f>
        <v>1.52E-2</v>
      </c>
      <c r="Q16" s="2886">
        <f t="shared" ref="Q16" si="128">L16/100</f>
        <v>1.7399999999999999E-2</v>
      </c>
      <c r="R16" s="2901"/>
      <c r="S16" s="2900"/>
      <c r="T16" s="2886"/>
      <c r="U16" s="2886"/>
      <c r="V16" s="2886"/>
      <c r="W16" s="2885"/>
      <c r="X16" s="2885">
        <f>ROUND(SUMPRODUCT(PRODUCT(1+N16:N$33)),4)</f>
        <v>1.4956</v>
      </c>
      <c r="Y16" s="2885">
        <f>ROUND(SUMPRODUCT(PRODUCT(1+O16:O$33)),4)</f>
        <v>1.3237000000000001</v>
      </c>
      <c r="Z16" s="2885">
        <f t="shared" ref="Z16" si="129">Y16</f>
        <v>1.3237000000000001</v>
      </c>
      <c r="AA16" s="2885">
        <f>ROUND(SUMPRODUCT(PRODUCT(1+P16:P$33)),4)</f>
        <v>1.554</v>
      </c>
      <c r="AB16" s="2885">
        <f>ROUND(SUMPRODUCT(PRODUCT(1+Q16:Q$33)),4)</f>
        <v>1.3087</v>
      </c>
      <c r="AC16" s="2885"/>
      <c r="AD16" s="2886">
        <f>ROUND(AVERAGE(I16:I$34)/100,4)</f>
        <v>2.3099999999999999E-2</v>
      </c>
      <c r="AE16" s="2886">
        <f>ROUND(AVERAGE(J16:J$34)/100,4)</f>
        <v>1.61E-2</v>
      </c>
      <c r="AF16" s="2886">
        <f t="shared" ref="AF16" si="130">AE16</f>
        <v>1.61E-2</v>
      </c>
      <c r="AG16" s="2886">
        <f>ROUND(AVERAGE(K16:K$34)/100,4)</f>
        <v>2.53E-2</v>
      </c>
      <c r="AH16" s="2886">
        <f>ROUND(AVERAGE(L16:L$34)/100,4)</f>
        <v>1.4999999999999999E-2</v>
      </c>
    </row>
    <row r="17" spans="1:34" s="2904" customFormat="1" ht="14.45" customHeight="1">
      <c r="A17" s="2897" t="s">
        <v>2944</v>
      </c>
      <c r="B17" s="2898">
        <f t="shared" si="90"/>
        <v>453.11529869999993</v>
      </c>
      <c r="C17" s="2898">
        <f t="shared" ref="C17" si="131">C18*(1+O17)</f>
        <v>336.47787264000004</v>
      </c>
      <c r="D17" s="2898">
        <f t="shared" ref="D17" si="132">C17</f>
        <v>336.47787264000004</v>
      </c>
      <c r="E17" s="2898">
        <f t="shared" ref="E17" si="133">E18*(1+P17)</f>
        <v>647.35186823999993</v>
      </c>
      <c r="F17" s="2898">
        <f t="shared" ref="F17" si="134">F18*(1+Q17)</f>
        <v>295.73229452000004</v>
      </c>
      <c r="G17" s="3551"/>
      <c r="H17" s="2912">
        <v>2</v>
      </c>
      <c r="I17" s="2912">
        <v>1.49</v>
      </c>
      <c r="J17" s="2912">
        <v>0.96</v>
      </c>
      <c r="K17" s="2912">
        <v>1.58</v>
      </c>
      <c r="L17" s="2913">
        <v>2.44</v>
      </c>
      <c r="M17" s="2885"/>
      <c r="N17" s="2900">
        <f t="shared" ref="N17" si="135">I17/100</f>
        <v>1.49E-2</v>
      </c>
      <c r="O17" s="2886">
        <f t="shared" ref="O17" si="136">J17/100</f>
        <v>9.5999999999999992E-3</v>
      </c>
      <c r="P17" s="2886">
        <f t="shared" ref="P17" si="137">K17/100</f>
        <v>1.5800000000000002E-2</v>
      </c>
      <c r="Q17" s="2886">
        <f t="shared" ref="Q17" si="138">L17/100</f>
        <v>2.4399999999999998E-2</v>
      </c>
      <c r="R17" s="2901"/>
      <c r="S17" s="2900"/>
      <c r="T17" s="2886"/>
      <c r="U17" s="2886"/>
      <c r="V17" s="2886"/>
      <c r="W17" s="2885"/>
      <c r="X17" s="2885">
        <f>ROUND(SUMPRODUCT(PRODUCT(1+N17:N$33)),4)</f>
        <v>1.4733000000000001</v>
      </c>
      <c r="Y17" s="2885">
        <f>ROUND(SUMPRODUCT(PRODUCT(1+O17:O$33)),4)</f>
        <v>1.3052999999999999</v>
      </c>
      <c r="Z17" s="2885">
        <f t="shared" ref="Z17" si="139">Y17</f>
        <v>1.3052999999999999</v>
      </c>
      <c r="AA17" s="2885">
        <f>ROUND(SUMPRODUCT(PRODUCT(1+P17:P$33)),4)</f>
        <v>1.5306999999999999</v>
      </c>
      <c r="AB17" s="2885">
        <f>ROUND(SUMPRODUCT(PRODUCT(1+Q17:Q$33)),4)</f>
        <v>1.2863</v>
      </c>
      <c r="AC17" s="2885"/>
      <c r="AD17" s="2886">
        <f>ROUND(AVERAGE(I17:I$34)/100,4)</f>
        <v>2.35E-2</v>
      </c>
      <c r="AE17" s="2886">
        <f>ROUND(AVERAGE(J17:J$34)/100,4)</f>
        <v>1.6199999999999999E-2</v>
      </c>
      <c r="AF17" s="2886">
        <f t="shared" ref="AF17" si="140">AE17</f>
        <v>1.6199999999999999E-2</v>
      </c>
      <c r="AG17" s="2886">
        <f>ROUND(AVERAGE(K17:K$34)/100,4)</f>
        <v>2.5899999999999999E-2</v>
      </c>
      <c r="AH17" s="2886">
        <f>ROUND(AVERAGE(L17:L$34)/100,4)</f>
        <v>1.49E-2</v>
      </c>
    </row>
    <row r="18" spans="1:34" s="2904" customFormat="1" ht="15" customHeight="1" thickBot="1">
      <c r="A18" s="2897" t="s">
        <v>2940</v>
      </c>
      <c r="B18" s="2898">
        <f t="shared" si="90"/>
        <v>446.46299999999997</v>
      </c>
      <c r="C18" s="2898">
        <f t="shared" ref="C18" si="141">C19*(1+O18)</f>
        <v>333.27840000000003</v>
      </c>
      <c r="D18" s="2898">
        <f t="shared" ref="D18:D23" si="142">C18</f>
        <v>333.27840000000003</v>
      </c>
      <c r="E18" s="2898">
        <f t="shared" ref="E18" si="143">E19*(1+P18)</f>
        <v>637.28279999999995</v>
      </c>
      <c r="F18" s="2898">
        <f t="shared" ref="F18" si="144">F19*(1+Q18)</f>
        <v>288.68830000000003</v>
      </c>
      <c r="G18" s="3557"/>
      <c r="H18" s="2899">
        <v>1</v>
      </c>
      <c r="I18" s="2899">
        <v>1.7</v>
      </c>
      <c r="J18" s="2899">
        <v>1.92</v>
      </c>
      <c r="K18" s="2899">
        <v>1.64</v>
      </c>
      <c r="L18" s="2905">
        <v>2.0099999999999998</v>
      </c>
      <c r="M18" s="2885"/>
      <c r="N18" s="2900">
        <f t="shared" ref="N18:N23" si="145">I18/100</f>
        <v>1.7000000000000001E-2</v>
      </c>
      <c r="O18" s="2886">
        <f t="shared" ref="O18" si="146">J18/100</f>
        <v>1.9199999999999998E-2</v>
      </c>
      <c r="P18" s="2886">
        <f t="shared" ref="P18" si="147">K18/100</f>
        <v>1.6399999999999998E-2</v>
      </c>
      <c r="Q18" s="2886">
        <f t="shared" ref="Q18" si="148">L18/100</f>
        <v>2.0099999999999996E-2</v>
      </c>
      <c r="R18" s="2901"/>
      <c r="S18" s="2902">
        <f>B18/B19-1</f>
        <v>1.6999999999999904E-2</v>
      </c>
      <c r="T18" s="2903">
        <f>C18/C19-1</f>
        <v>1.9200000000000106E-2</v>
      </c>
      <c r="U18" s="2903">
        <f>E18/E19-1</f>
        <v>1.639999999999997E-2</v>
      </c>
      <c r="V18" s="2903">
        <f>F18/F19-1</f>
        <v>2.0100000000000007E-2</v>
      </c>
      <c r="W18" s="2885"/>
      <c r="X18" s="2885">
        <f>ROUND(SUMPRODUCT(PRODUCT(1+N18:N$33)),4)</f>
        <v>1.4517</v>
      </c>
      <c r="Y18" s="2885">
        <f>ROUND(SUMPRODUCT(PRODUCT(1+O18:O$33)),4)</f>
        <v>1.2928999999999999</v>
      </c>
      <c r="Z18" s="2885">
        <f t="shared" ref="Z18" si="149">Y18</f>
        <v>1.2928999999999999</v>
      </c>
      <c r="AA18" s="2885">
        <f>ROUND(SUMPRODUCT(PRODUCT(1+P18:P$33)),4)</f>
        <v>1.5068999999999999</v>
      </c>
      <c r="AB18" s="2885">
        <f>ROUND(SUMPRODUCT(PRODUCT(1+Q18:Q$33)),4)</f>
        <v>1.2557</v>
      </c>
      <c r="AC18" s="2885"/>
      <c r="AD18" s="2886">
        <f>ROUND(AVERAGE(I18:I$34)/100,4)</f>
        <v>2.4E-2</v>
      </c>
      <c r="AE18" s="2886">
        <f>ROUND(AVERAGE(J18:J$34)/100,4)</f>
        <v>1.66E-2</v>
      </c>
      <c r="AF18" s="2886">
        <f t="shared" ref="AF18" si="150">AE18</f>
        <v>1.66E-2</v>
      </c>
      <c r="AG18" s="2886">
        <f>ROUND(AVERAGE(K18:K$34)/100,4)</f>
        <v>2.6499999999999999E-2</v>
      </c>
      <c r="AH18" s="2886">
        <f>ROUND(AVERAGE(L18:L$34)/100,4)</f>
        <v>1.43E-2</v>
      </c>
    </row>
    <row r="19" spans="1:34">
      <c r="A19" s="2897" t="s">
        <v>2932</v>
      </c>
      <c r="B19" s="2914">
        <v>439</v>
      </c>
      <c r="C19" s="2914">
        <v>327</v>
      </c>
      <c r="D19" s="2914">
        <f t="shared" si="142"/>
        <v>327</v>
      </c>
      <c r="E19" s="2914">
        <v>627</v>
      </c>
      <c r="F19" s="2915">
        <v>283</v>
      </c>
      <c r="G19" s="3556">
        <v>2017</v>
      </c>
      <c r="H19" s="2906">
        <v>4</v>
      </c>
      <c r="I19" s="2906">
        <v>1.71</v>
      </c>
      <c r="J19" s="2906">
        <v>1.78</v>
      </c>
      <c r="K19" s="2906">
        <v>1.71</v>
      </c>
      <c r="L19" s="2907">
        <v>1.43</v>
      </c>
      <c r="N19" s="2916">
        <f t="shared" si="145"/>
        <v>1.7100000000000001E-2</v>
      </c>
      <c r="O19" s="2917">
        <f t="shared" ref="O19" si="151">J19/100</f>
        <v>1.78E-2</v>
      </c>
      <c r="P19" s="2917">
        <f t="shared" ref="P19" si="152">K19/100</f>
        <v>1.7100000000000001E-2</v>
      </c>
      <c r="Q19" s="2917">
        <f t="shared" ref="Q19" si="153">L19/100</f>
        <v>1.43E-2</v>
      </c>
      <c r="R19" s="2901"/>
      <c r="S19" s="2910"/>
      <c r="T19" s="2911"/>
      <c r="U19" s="2911"/>
      <c r="V19" s="2911"/>
      <c r="X19" s="2885">
        <f>ROUND(SUMPRODUCT(PRODUCT(1+N19:N$33)),4)</f>
        <v>1.4274</v>
      </c>
      <c r="Y19" s="2885">
        <f>ROUND(SUMPRODUCT(PRODUCT(1+O19:O$33)),4)</f>
        <v>1.2685</v>
      </c>
      <c r="Z19" s="2885">
        <f t="shared" si="0"/>
        <v>1.2685</v>
      </c>
      <c r="AA19" s="2885">
        <f>ROUND(SUMPRODUCT(PRODUCT(1+P19:P$33)),4)</f>
        <v>1.4825999999999999</v>
      </c>
      <c r="AB19" s="2885">
        <f>ROUND(SUMPRODUCT(PRODUCT(1+Q19:Q$33)),4)</f>
        <v>1.2309000000000001</v>
      </c>
      <c r="AD19" s="2886">
        <f>ROUND(AVERAGE(I19:I$34)/100,4)</f>
        <v>2.4500000000000001E-2</v>
      </c>
      <c r="AE19" s="2886">
        <f>ROUND(AVERAGE(J19:J$34)/100,4)</f>
        <v>1.6500000000000001E-2</v>
      </c>
      <c r="AF19" s="2886">
        <f t="shared" si="1"/>
        <v>1.6500000000000001E-2</v>
      </c>
      <c r="AG19" s="2886">
        <f>ROUND(AVERAGE(K19:K$34)/100,4)</f>
        <v>2.7099999999999999E-2</v>
      </c>
      <c r="AH19" s="2886">
        <f>ROUND(AVERAGE(L19:L$34)/100,4)</f>
        <v>1.3899999999999999E-2</v>
      </c>
    </row>
    <row r="20" spans="1:34" s="2904" customFormat="1" ht="14.45" customHeight="1">
      <c r="A20" s="2897" t="s">
        <v>2935</v>
      </c>
      <c r="B20" s="2898">
        <f t="shared" ref="B20:C22" si="154">B21*(1+N20)</f>
        <v>431.80730811680002</v>
      </c>
      <c r="C20" s="2898">
        <f t="shared" si="154"/>
        <v>320.57880516480003</v>
      </c>
      <c r="D20" s="2898">
        <f t="shared" si="142"/>
        <v>320.57880516480003</v>
      </c>
      <c r="E20" s="2898">
        <f t="shared" ref="E20:F22" si="155">E21*(1+P20)</f>
        <v>615.96110553196797</v>
      </c>
      <c r="F20" s="2898">
        <f t="shared" si="155"/>
        <v>279.46777300108801</v>
      </c>
      <c r="G20" s="3551"/>
      <c r="H20" s="2899">
        <v>3</v>
      </c>
      <c r="I20" s="2899">
        <v>2.98</v>
      </c>
      <c r="J20" s="2899">
        <v>2.11</v>
      </c>
      <c r="K20" s="2899">
        <v>3.24</v>
      </c>
      <c r="L20" s="2905">
        <v>1.72</v>
      </c>
      <c r="M20" s="2885"/>
      <c r="N20" s="2900">
        <f t="shared" si="145"/>
        <v>2.98E-2</v>
      </c>
      <c r="O20" s="2918">
        <f t="shared" ref="O20:O21" si="156">J20/100</f>
        <v>2.1099999999999997E-2</v>
      </c>
      <c r="P20" s="2918">
        <f t="shared" ref="P20:P21" si="157">K20/100</f>
        <v>3.2400000000000005E-2</v>
      </c>
      <c r="Q20" s="2918">
        <f t="shared" ref="Q20:Q21" si="158">L20/100</f>
        <v>1.72E-2</v>
      </c>
      <c r="R20" s="2901"/>
      <c r="S20" s="2900"/>
      <c r="T20" s="2886"/>
      <c r="U20" s="2886"/>
      <c r="V20" s="2886"/>
      <c r="W20" s="2885"/>
      <c r="X20" s="2885">
        <f>ROUND(SUMPRODUCT(PRODUCT(1+N20:N$33)),4)</f>
        <v>1.4034</v>
      </c>
      <c r="Y20" s="2885">
        <f>ROUND(SUMPRODUCT(PRODUCT(1+O20:O$33)),4)</f>
        <v>1.2463</v>
      </c>
      <c r="Z20" s="2885">
        <f t="shared" si="0"/>
        <v>1.2463</v>
      </c>
      <c r="AA20" s="2885">
        <f>ROUND(SUMPRODUCT(PRODUCT(1+P20:P$33)),4)</f>
        <v>1.4577</v>
      </c>
      <c r="AB20" s="2885">
        <f>ROUND(SUMPRODUCT(PRODUCT(1+Q20:Q$33)),4)</f>
        <v>1.2136</v>
      </c>
      <c r="AC20" s="2885"/>
      <c r="AD20" s="2886">
        <f>ROUND(AVERAGE(I20:I$34)/100,4)</f>
        <v>2.4899999999999999E-2</v>
      </c>
      <c r="AE20" s="2886">
        <f>ROUND(AVERAGE(J20:J$34)/100,4)</f>
        <v>1.6400000000000001E-2</v>
      </c>
      <c r="AF20" s="2886">
        <f t="shared" si="1"/>
        <v>1.6400000000000001E-2</v>
      </c>
      <c r="AG20" s="2886">
        <f>ROUND(AVERAGE(K20:K$34)/100,4)</f>
        <v>2.7799999999999998E-2</v>
      </c>
      <c r="AH20" s="2886">
        <f>ROUND(AVERAGE(L20:L$34)/100,4)</f>
        <v>1.3899999999999999E-2</v>
      </c>
    </row>
    <row r="21" spans="1:34" s="2863" customFormat="1" ht="14.45" customHeight="1">
      <c r="A21" s="2897" t="s">
        <v>2561</v>
      </c>
      <c r="B21" s="2898">
        <f t="shared" si="154"/>
        <v>419.31181600000002</v>
      </c>
      <c r="C21" s="2898">
        <f t="shared" si="154"/>
        <v>313.95436800000004</v>
      </c>
      <c r="D21" s="2898">
        <f t="shared" si="142"/>
        <v>313.95436800000004</v>
      </c>
      <c r="E21" s="2898">
        <f t="shared" si="155"/>
        <v>596.63028431999999</v>
      </c>
      <c r="F21" s="2898">
        <f t="shared" si="155"/>
        <v>274.74220703999998</v>
      </c>
      <c r="G21" s="3551"/>
      <c r="H21" s="2912">
        <v>2</v>
      </c>
      <c r="I21" s="2912">
        <v>3.4</v>
      </c>
      <c r="J21" s="2912">
        <v>2</v>
      </c>
      <c r="K21" s="2912">
        <v>3.82</v>
      </c>
      <c r="L21" s="2913">
        <v>1.68</v>
      </c>
      <c r="N21" s="2900">
        <f t="shared" si="145"/>
        <v>3.4000000000000002E-2</v>
      </c>
      <c r="O21" s="2918">
        <f t="shared" si="156"/>
        <v>0.02</v>
      </c>
      <c r="P21" s="2918">
        <f t="shared" si="157"/>
        <v>3.8199999999999998E-2</v>
      </c>
      <c r="Q21" s="2918">
        <f t="shared" si="158"/>
        <v>1.6799999999999999E-2</v>
      </c>
      <c r="S21" s="2900"/>
      <c r="T21" s="2886"/>
      <c r="U21" s="2886"/>
      <c r="V21" s="2886"/>
      <c r="X21" s="2885">
        <f>ROUND(SUMPRODUCT(PRODUCT(1+N21:N$33)),4)</f>
        <v>1.3628</v>
      </c>
      <c r="Y21" s="2885">
        <f>ROUND(SUMPRODUCT(PRODUCT(1+O21:O$33)),4)</f>
        <v>1.2205999999999999</v>
      </c>
      <c r="Z21" s="2885">
        <f t="shared" si="0"/>
        <v>1.2205999999999999</v>
      </c>
      <c r="AA21" s="2885">
        <f>ROUND(SUMPRODUCT(PRODUCT(1+P21:P$33)),4)</f>
        <v>1.4118999999999999</v>
      </c>
      <c r="AB21" s="2885">
        <f>ROUND(SUMPRODUCT(PRODUCT(1+Q21:Q$33)),4)</f>
        <v>1.1930000000000001</v>
      </c>
      <c r="AD21" s="2886">
        <f>ROUND(AVERAGE(I21:I$34)/100,4)</f>
        <v>2.46E-2</v>
      </c>
      <c r="AE21" s="2886">
        <f>ROUND(AVERAGE(J21:J$34)/100,4)</f>
        <v>1.6E-2</v>
      </c>
      <c r="AF21" s="2886">
        <f t="shared" si="1"/>
        <v>1.6E-2</v>
      </c>
      <c r="AG21" s="2886">
        <f>ROUND(AVERAGE(K21:K$34)/100,4)</f>
        <v>2.75E-2</v>
      </c>
      <c r="AH21" s="2886">
        <f>ROUND(AVERAGE(L21:L$34)/100,4)</f>
        <v>1.37E-2</v>
      </c>
    </row>
    <row r="22" spans="1:34" s="2904" customFormat="1" ht="15" customHeight="1" thickBot="1">
      <c r="A22" s="2897" t="s">
        <v>2562</v>
      </c>
      <c r="B22" s="2898">
        <f t="shared" si="154"/>
        <v>405.524</v>
      </c>
      <c r="C22" s="2898">
        <f t="shared" si="154"/>
        <v>307.79840000000002</v>
      </c>
      <c r="D22" s="2898">
        <f t="shared" si="142"/>
        <v>307.79840000000002</v>
      </c>
      <c r="E22" s="2898">
        <f t="shared" si="155"/>
        <v>574.67759999999998</v>
      </c>
      <c r="F22" s="2898">
        <f t="shared" si="155"/>
        <v>270.20280000000002</v>
      </c>
      <c r="G22" s="3557"/>
      <c r="H22" s="2899">
        <v>1</v>
      </c>
      <c r="I22" s="2899">
        <v>3.45</v>
      </c>
      <c r="J22" s="2899">
        <v>1.92</v>
      </c>
      <c r="K22" s="2899">
        <v>3.92</v>
      </c>
      <c r="L22" s="2905">
        <v>1.58</v>
      </c>
      <c r="M22" s="2885"/>
      <c r="N22" s="2902">
        <f t="shared" si="145"/>
        <v>3.4500000000000003E-2</v>
      </c>
      <c r="O22" s="2903">
        <f t="shared" ref="O22" si="159">J22/100</f>
        <v>1.9199999999999998E-2</v>
      </c>
      <c r="P22" s="2903">
        <f t="shared" ref="P22" si="160">K22/100</f>
        <v>3.9199999999999999E-2</v>
      </c>
      <c r="Q22" s="2903">
        <f t="shared" ref="Q22" si="161">L22/100</f>
        <v>1.5800000000000002E-2</v>
      </c>
      <c r="R22" s="2901"/>
      <c r="S22" s="2902">
        <f>B22/B23-1</f>
        <v>3.4499999999999975E-2</v>
      </c>
      <c r="T22" s="2903">
        <f>C22/C23-1</f>
        <v>1.9200000000000106E-2</v>
      </c>
      <c r="U22" s="2903">
        <f>E22/E23-1</f>
        <v>3.9199999999999902E-2</v>
      </c>
      <c r="V22" s="2903">
        <f>F22/F23-1</f>
        <v>1.5800000000000036E-2</v>
      </c>
      <c r="W22" s="2885"/>
      <c r="X22" s="2885">
        <f>ROUND(SUMPRODUCT(PRODUCT(1+N22:N$33)),4)</f>
        <v>1.3180000000000001</v>
      </c>
      <c r="Y22" s="2885">
        <f>ROUND(SUMPRODUCT(PRODUCT(1+O22:O$33)),4)</f>
        <v>1.1966000000000001</v>
      </c>
      <c r="Z22" s="2885">
        <f t="shared" si="0"/>
        <v>1.1966000000000001</v>
      </c>
      <c r="AA22" s="2885">
        <f>ROUND(SUMPRODUCT(PRODUCT(1+P22:P$33)),4)</f>
        <v>1.36</v>
      </c>
      <c r="AB22" s="2885">
        <f>ROUND(SUMPRODUCT(PRODUCT(1+Q22:Q$33)),4)</f>
        <v>1.1733</v>
      </c>
      <c r="AC22" s="2885"/>
      <c r="AD22" s="2886">
        <f>ROUND(AVERAGE(I22:I$34)/100,4)</f>
        <v>2.3900000000000001E-2</v>
      </c>
      <c r="AE22" s="2886">
        <f>ROUND(AVERAGE(J22:J$34)/100,4)</f>
        <v>1.5699999999999999E-2</v>
      </c>
      <c r="AF22" s="2886">
        <f t="shared" si="1"/>
        <v>1.5699999999999999E-2</v>
      </c>
      <c r="AG22" s="2886">
        <f>ROUND(AVERAGE(K22:K$34)/100,4)</f>
        <v>2.6599999999999999E-2</v>
      </c>
      <c r="AH22" s="2886">
        <f>ROUND(AVERAGE(L22:L$34)/100,4)</f>
        <v>1.34E-2</v>
      </c>
    </row>
    <row r="23" spans="1:34">
      <c r="A23" s="2897" t="s">
        <v>961</v>
      </c>
      <c r="B23" s="2919">
        <v>392</v>
      </c>
      <c r="C23" s="2919">
        <v>302</v>
      </c>
      <c r="D23" s="2919">
        <f t="shared" si="142"/>
        <v>302</v>
      </c>
      <c r="E23" s="2919">
        <v>553</v>
      </c>
      <c r="F23" s="2920">
        <v>266</v>
      </c>
      <c r="G23" s="3556">
        <v>2016</v>
      </c>
      <c r="H23" s="2906">
        <v>4</v>
      </c>
      <c r="I23" s="2906">
        <v>4.5599999999999996</v>
      </c>
      <c r="J23" s="2906">
        <v>2.15</v>
      </c>
      <c r="K23" s="2906">
        <v>5.32</v>
      </c>
      <c r="L23" s="2907">
        <v>1.57</v>
      </c>
      <c r="N23" s="2900">
        <f t="shared" si="145"/>
        <v>4.5599999999999995E-2</v>
      </c>
      <c r="O23" s="2886">
        <f t="shared" ref="O23:Q38" si="162">J23/100</f>
        <v>2.1499999999999998E-2</v>
      </c>
      <c r="P23" s="2886">
        <f t="shared" si="162"/>
        <v>5.3200000000000004E-2</v>
      </c>
      <c r="Q23" s="2886">
        <f t="shared" si="162"/>
        <v>1.5700000000000002E-2</v>
      </c>
      <c r="R23" s="2901"/>
      <c r="S23" s="2910"/>
      <c r="T23" s="2911"/>
      <c r="U23" s="2911"/>
      <c r="V23" s="2911"/>
      <c r="X23" s="2885">
        <f>ROUND(SUMPRODUCT(PRODUCT(1+N23:N$33)),4)</f>
        <v>1.274</v>
      </c>
      <c r="Y23" s="2885">
        <f>ROUND(SUMPRODUCT(PRODUCT(1+O23:O$33)),4)</f>
        <v>1.1740999999999999</v>
      </c>
      <c r="Z23" s="2885">
        <f t="shared" si="0"/>
        <v>1.1740999999999999</v>
      </c>
      <c r="AA23" s="2885">
        <f>ROUND(SUMPRODUCT(PRODUCT(1+P23:P$33)),4)</f>
        <v>1.3087</v>
      </c>
      <c r="AB23" s="2885">
        <f>ROUND(SUMPRODUCT(PRODUCT(1+Q23:Q$33)),4)</f>
        <v>1.1551</v>
      </c>
      <c r="AD23" s="2886">
        <f>ROUND(AVERAGE(I23:I$34)/100,4)</f>
        <v>2.3E-2</v>
      </c>
      <c r="AE23" s="2886">
        <f>ROUND(AVERAGE(J23:J$34)/100,4)</f>
        <v>1.55E-2</v>
      </c>
      <c r="AF23" s="2886">
        <f t="shared" si="1"/>
        <v>1.55E-2</v>
      </c>
      <c r="AG23" s="2886">
        <f>ROUND(AVERAGE(K23:K$34)/100,4)</f>
        <v>2.5600000000000001E-2</v>
      </c>
      <c r="AH23" s="2886">
        <f>ROUND(AVERAGE(L23:L$34)/100,4)</f>
        <v>1.32E-2</v>
      </c>
    </row>
    <row r="24" spans="1:34">
      <c r="A24" s="2897" t="s">
        <v>960</v>
      </c>
      <c r="B24" s="2898">
        <f t="shared" ref="B24:C26" si="163">B23/(1+N23)</f>
        <v>374.90436113236416</v>
      </c>
      <c r="C24" s="2898">
        <f t="shared" si="163"/>
        <v>295.64366128242779</v>
      </c>
      <c r="D24" s="2898">
        <f t="shared" ref="D24:D83" si="164">C24</f>
        <v>295.64366128242779</v>
      </c>
      <c r="E24" s="2898">
        <f t="shared" ref="E24:F26" si="165">E23/(1+P23)</f>
        <v>525.06646410938095</v>
      </c>
      <c r="F24" s="2898">
        <f t="shared" si="165"/>
        <v>261.88835286009646</v>
      </c>
      <c r="G24" s="3551"/>
      <c r="H24" s="2899">
        <v>3</v>
      </c>
      <c r="I24" s="2899">
        <v>4.12</v>
      </c>
      <c r="J24" s="2899">
        <v>2</v>
      </c>
      <c r="K24" s="2899">
        <v>4.79</v>
      </c>
      <c r="L24" s="2905">
        <v>1.97</v>
      </c>
      <c r="N24" s="2900">
        <f t="shared" ref="N24:Q58" si="166">I24/100</f>
        <v>4.1200000000000001E-2</v>
      </c>
      <c r="O24" s="2886">
        <f t="shared" si="162"/>
        <v>0.02</v>
      </c>
      <c r="P24" s="2886">
        <f t="shared" si="162"/>
        <v>4.7899999999999998E-2</v>
      </c>
      <c r="Q24" s="2886">
        <f t="shared" si="162"/>
        <v>1.9699999999999999E-2</v>
      </c>
      <c r="R24" s="2901"/>
      <c r="S24" s="2900"/>
      <c r="T24" s="2886"/>
      <c r="U24" s="2886"/>
      <c r="V24" s="2886"/>
      <c r="X24" s="2885">
        <f>ROUND(SUMPRODUCT(PRODUCT(1+N24:N$33)),4)</f>
        <v>1.2184999999999999</v>
      </c>
      <c r="Y24" s="2885">
        <f>ROUND(SUMPRODUCT(PRODUCT(1+O24:O$33)),4)</f>
        <v>1.1494</v>
      </c>
      <c r="Z24" s="2885">
        <f t="shared" si="0"/>
        <v>1.1494</v>
      </c>
      <c r="AA24" s="2885">
        <f>ROUND(SUMPRODUCT(PRODUCT(1+P24:P$33)),4)</f>
        <v>1.2425999999999999</v>
      </c>
      <c r="AB24" s="2885">
        <f>ROUND(SUMPRODUCT(PRODUCT(1+Q24:Q$33)),4)</f>
        <v>1.1372</v>
      </c>
      <c r="AD24" s="2886">
        <f>ROUND(AVERAGE(I24:I$34)/100,4)</f>
        <v>2.0899999999999998E-2</v>
      </c>
      <c r="AE24" s="2886">
        <f>ROUND(AVERAGE(J24:J$34)/100,4)</f>
        <v>1.49E-2</v>
      </c>
      <c r="AF24" s="2886">
        <f t="shared" si="1"/>
        <v>1.49E-2</v>
      </c>
      <c r="AG24" s="2886">
        <f>ROUND(AVERAGE(K24:K$34)/100,4)</f>
        <v>2.3099999999999999E-2</v>
      </c>
      <c r="AH24" s="2886">
        <f>ROUND(AVERAGE(L24:L$34)/100,4)</f>
        <v>1.2999999999999999E-2</v>
      </c>
    </row>
    <row r="25" spans="1:34">
      <c r="A25" s="2897" t="s">
        <v>950</v>
      </c>
      <c r="B25" s="2898">
        <f t="shared" si="163"/>
        <v>360.06949782209392</v>
      </c>
      <c r="C25" s="2898">
        <f t="shared" si="163"/>
        <v>289.84672674747821</v>
      </c>
      <c r="D25" s="2898">
        <f t="shared" si="164"/>
        <v>289.84672674747821</v>
      </c>
      <c r="E25" s="2898">
        <f t="shared" si="165"/>
        <v>501.06543001181495</v>
      </c>
      <c r="F25" s="2898">
        <f t="shared" si="165"/>
        <v>256.82882500744967</v>
      </c>
      <c r="G25" s="3551"/>
      <c r="H25" s="2912">
        <v>2</v>
      </c>
      <c r="I25" s="2912">
        <v>3.85</v>
      </c>
      <c r="J25" s="2912">
        <v>1.95</v>
      </c>
      <c r="K25" s="2912">
        <v>4.4800000000000004</v>
      </c>
      <c r="L25" s="2913">
        <v>1.41</v>
      </c>
      <c r="N25" s="2900">
        <f t="shared" si="166"/>
        <v>3.85E-2</v>
      </c>
      <c r="O25" s="2886">
        <f t="shared" si="162"/>
        <v>1.95E-2</v>
      </c>
      <c r="P25" s="2886">
        <f t="shared" si="162"/>
        <v>4.4800000000000006E-2</v>
      </c>
      <c r="Q25" s="2886">
        <f t="shared" si="162"/>
        <v>1.41E-2</v>
      </c>
      <c r="R25" s="2901"/>
      <c r="S25" s="2900"/>
      <c r="T25" s="2886"/>
      <c r="U25" s="2886"/>
      <c r="V25" s="2886"/>
      <c r="X25" s="2885">
        <f>ROUND(SUMPRODUCT(PRODUCT(1+N25:N$33)),4)</f>
        <v>1.1702999999999999</v>
      </c>
      <c r="Y25" s="2885">
        <f>ROUND(SUMPRODUCT(PRODUCT(1+O25:O$33)),4)</f>
        <v>1.1269</v>
      </c>
      <c r="Z25" s="2885">
        <f t="shared" si="0"/>
        <v>1.1269</v>
      </c>
      <c r="AA25" s="2885">
        <f>ROUND(SUMPRODUCT(PRODUCT(1+P25:P$33)),4)</f>
        <v>1.1858</v>
      </c>
      <c r="AB25" s="2885">
        <f>ROUND(SUMPRODUCT(PRODUCT(1+Q25:Q$33)),4)</f>
        <v>1.1152</v>
      </c>
      <c r="AD25" s="2886">
        <f>ROUND(AVERAGE(I25:I$34)/100,4)</f>
        <v>1.89E-2</v>
      </c>
      <c r="AE25" s="2886">
        <f>ROUND(AVERAGE(J25:J$34)/100,4)</f>
        <v>1.44E-2</v>
      </c>
      <c r="AF25" s="2886">
        <f t="shared" si="1"/>
        <v>1.44E-2</v>
      </c>
      <c r="AG25" s="2886">
        <f>ROUND(AVERAGE(K25:K$34)/100,4)</f>
        <v>2.06E-2</v>
      </c>
      <c r="AH25" s="2886">
        <f>ROUND(AVERAGE(L25:L$34)/100,4)</f>
        <v>1.23E-2</v>
      </c>
    </row>
    <row r="26" spans="1:34" ht="13.5" thickBot="1">
      <c r="A26" s="2897" t="s">
        <v>959</v>
      </c>
      <c r="B26" s="2898">
        <f t="shared" si="163"/>
        <v>346.720748986128</v>
      </c>
      <c r="C26" s="2898">
        <f t="shared" si="163"/>
        <v>284.30282172386285</v>
      </c>
      <c r="D26" s="2898">
        <f t="shared" si="164"/>
        <v>284.30282172386285</v>
      </c>
      <c r="E26" s="2898">
        <f t="shared" si="165"/>
        <v>479.58023546306947</v>
      </c>
      <c r="F26" s="2898">
        <f t="shared" si="165"/>
        <v>253.25788877571213</v>
      </c>
      <c r="G26" s="3552"/>
      <c r="H26" s="2899">
        <v>1</v>
      </c>
      <c r="I26" s="2899">
        <v>4.09</v>
      </c>
      <c r="J26" s="2899">
        <v>2.93</v>
      </c>
      <c r="K26" s="2899">
        <v>4.54</v>
      </c>
      <c r="L26" s="2905">
        <v>1.48</v>
      </c>
      <c r="N26" s="2900">
        <f t="shared" si="166"/>
        <v>4.0899999999999999E-2</v>
      </c>
      <c r="O26" s="2886">
        <f t="shared" si="162"/>
        <v>2.9300000000000003E-2</v>
      </c>
      <c r="P26" s="2886">
        <f t="shared" si="162"/>
        <v>4.5400000000000003E-2</v>
      </c>
      <c r="Q26" s="2886">
        <f t="shared" si="162"/>
        <v>1.4800000000000001E-2</v>
      </c>
      <c r="R26" s="2901"/>
      <c r="S26" s="2902">
        <f>B26/B27-1</f>
        <v>4.1203450408792808E-2</v>
      </c>
      <c r="T26" s="2903">
        <f>C26/C27-1</f>
        <v>2.6363977342465095E-2</v>
      </c>
      <c r="U26" s="2903">
        <f>E26/E27-1</f>
        <v>4.4837114298626357E-2</v>
      </c>
      <c r="V26" s="2903">
        <f>F26/F27-1</f>
        <v>1.7099954922538574E-2</v>
      </c>
      <c r="X26" s="2885">
        <f>ROUND(SUMPRODUCT(PRODUCT(1+N26:N$33)),4)</f>
        <v>1.1269</v>
      </c>
      <c r="Y26" s="2885">
        <f>ROUND(SUMPRODUCT(PRODUCT(1+O26:O$33)),4)</f>
        <v>1.1052999999999999</v>
      </c>
      <c r="Z26" s="2885">
        <f t="shared" si="0"/>
        <v>1.1052999999999999</v>
      </c>
      <c r="AA26" s="2885">
        <f>ROUND(SUMPRODUCT(PRODUCT(1+P26:P$33)),4)</f>
        <v>1.1349</v>
      </c>
      <c r="AB26" s="2885">
        <f>ROUND(SUMPRODUCT(PRODUCT(1+Q26:Q$33)),4)</f>
        <v>1.0996999999999999</v>
      </c>
      <c r="AD26" s="2886">
        <f>ROUND(AVERAGE(I26:I$34)/100,4)</f>
        <v>1.67E-2</v>
      </c>
      <c r="AE26" s="2886">
        <f>ROUND(AVERAGE(J26:J$34)/100,4)</f>
        <v>1.38E-2</v>
      </c>
      <c r="AF26" s="2886">
        <f t="shared" si="1"/>
        <v>1.38E-2</v>
      </c>
      <c r="AG26" s="2886">
        <f>ROUND(AVERAGE(K26:K$34)/100,4)</f>
        <v>1.7899999999999999E-2</v>
      </c>
      <c r="AH26" s="2886">
        <f>ROUND(AVERAGE(L26:L$34)/100,4)</f>
        <v>1.21E-2</v>
      </c>
    </row>
    <row r="27" spans="1:34" ht="13.5" thickBot="1">
      <c r="A27" s="2897" t="s">
        <v>958</v>
      </c>
      <c r="B27" s="2919">
        <v>333</v>
      </c>
      <c r="C27" s="2919">
        <v>277</v>
      </c>
      <c r="D27" s="2919">
        <f t="shared" si="164"/>
        <v>277</v>
      </c>
      <c r="E27" s="2919">
        <v>459</v>
      </c>
      <c r="F27" s="2920">
        <v>249</v>
      </c>
      <c r="G27" s="3550">
        <v>2015</v>
      </c>
      <c r="H27" s="2921">
        <v>4</v>
      </c>
      <c r="I27" s="2921">
        <v>1.63</v>
      </c>
      <c r="J27" s="2921">
        <v>1.1100000000000001</v>
      </c>
      <c r="K27" s="2921">
        <v>1.77</v>
      </c>
      <c r="L27" s="2922">
        <v>1.89</v>
      </c>
      <c r="N27" s="2916">
        <f t="shared" si="166"/>
        <v>1.6299999999999999E-2</v>
      </c>
      <c r="O27" s="2917">
        <f t="shared" si="162"/>
        <v>1.11E-2</v>
      </c>
      <c r="P27" s="2917">
        <f t="shared" si="162"/>
        <v>1.77E-2</v>
      </c>
      <c r="Q27" s="2917">
        <f t="shared" si="162"/>
        <v>1.89E-2</v>
      </c>
      <c r="R27" s="2901"/>
      <c r="X27" s="2885">
        <f>ROUND(SUMPRODUCT(PRODUCT(1+N27:N$33)),4)</f>
        <v>1.0826</v>
      </c>
      <c r="Y27" s="2885">
        <f>ROUND(SUMPRODUCT(PRODUCT(1+O27:O$33)),4)</f>
        <v>1.0738000000000001</v>
      </c>
      <c r="Z27" s="2885">
        <f t="shared" si="0"/>
        <v>1.0738000000000001</v>
      </c>
      <c r="AA27" s="2885">
        <f>ROUND(SUMPRODUCT(PRODUCT(1+P27:P$33)),4)</f>
        <v>1.0855999999999999</v>
      </c>
      <c r="AB27" s="2885">
        <f>ROUND(SUMPRODUCT(PRODUCT(1+Q27:Q$33)),4)</f>
        <v>1.0837000000000001</v>
      </c>
      <c r="AD27" s="2886">
        <f>ROUND(AVERAGE(I27:I$34)/100,4)</f>
        <v>1.37E-2</v>
      </c>
      <c r="AE27" s="2886">
        <f>ROUND(AVERAGE(J27:J$34)/100,4)</f>
        <v>1.1900000000000001E-2</v>
      </c>
      <c r="AF27" s="2886">
        <f t="shared" si="1"/>
        <v>1.1900000000000001E-2</v>
      </c>
      <c r="AG27" s="2886">
        <f>ROUND(AVERAGE(K27:K$34)/100,4)</f>
        <v>1.4500000000000001E-2</v>
      </c>
      <c r="AH27" s="2886">
        <f>ROUND(AVERAGE(L27:L$34)/100,4)</f>
        <v>1.18E-2</v>
      </c>
    </row>
    <row r="28" spans="1:34">
      <c r="A28" s="2897" t="s">
        <v>957</v>
      </c>
      <c r="B28" s="2898">
        <f t="shared" ref="B28:C30" si="167">B27/(1+N27)</f>
        <v>327.65915576109415</v>
      </c>
      <c r="C28" s="2898">
        <f t="shared" si="167"/>
        <v>273.95905449510434</v>
      </c>
      <c r="D28" s="2898">
        <f t="shared" si="164"/>
        <v>273.95905449510434</v>
      </c>
      <c r="E28" s="2898">
        <f t="shared" ref="E28:F30" si="168">E27/(1+P27)</f>
        <v>451.01699911565294</v>
      </c>
      <c r="F28" s="2898">
        <f t="shared" si="168"/>
        <v>244.38119540681129</v>
      </c>
      <c r="G28" s="3551"/>
      <c r="H28" s="2924">
        <v>3</v>
      </c>
      <c r="I28" s="2924">
        <v>1.65</v>
      </c>
      <c r="J28" s="2924">
        <v>0.92</v>
      </c>
      <c r="K28" s="2924">
        <v>1.88</v>
      </c>
      <c r="L28" s="2925">
        <v>1.26</v>
      </c>
      <c r="N28" s="2900">
        <f t="shared" si="166"/>
        <v>1.6500000000000001E-2</v>
      </c>
      <c r="O28" s="2918">
        <f t="shared" si="162"/>
        <v>9.1999999999999998E-3</v>
      </c>
      <c r="P28" s="2918">
        <f t="shared" si="162"/>
        <v>1.8799999999999997E-2</v>
      </c>
      <c r="Q28" s="2918">
        <f t="shared" si="162"/>
        <v>1.26E-2</v>
      </c>
      <c r="R28" s="2901"/>
      <c r="S28" s="2900"/>
      <c r="T28" s="2886"/>
      <c r="U28" s="2886"/>
      <c r="V28" s="2886"/>
      <c r="X28" s="2885">
        <f>ROUND(SUMPRODUCT(PRODUCT(1+N28:N$33)),4)</f>
        <v>1.0651999999999999</v>
      </c>
      <c r="Y28" s="2885">
        <f>ROUND(SUMPRODUCT(PRODUCT(1+O28:O$33)),4)</f>
        <v>1.0621</v>
      </c>
      <c r="Z28" s="2885">
        <f t="shared" si="0"/>
        <v>1.0621</v>
      </c>
      <c r="AA28" s="2885">
        <f>ROUND(SUMPRODUCT(PRODUCT(1+P28:P$33)),4)</f>
        <v>1.0668</v>
      </c>
      <c r="AB28" s="2885">
        <f>ROUND(SUMPRODUCT(PRODUCT(1+Q28:Q$33)),4)</f>
        <v>1.0636000000000001</v>
      </c>
      <c r="AD28" s="2886">
        <f>ROUND(AVERAGE(I28:I$34)/100,4)</f>
        <v>1.3299999999999999E-2</v>
      </c>
      <c r="AE28" s="2886">
        <f>ROUND(AVERAGE(J28:J$34)/100,4)</f>
        <v>1.2E-2</v>
      </c>
      <c r="AF28" s="2886">
        <f t="shared" si="1"/>
        <v>1.2E-2</v>
      </c>
      <c r="AG28" s="2886">
        <f>ROUND(AVERAGE(K28:K$34)/100,4)</f>
        <v>1.4E-2</v>
      </c>
      <c r="AH28" s="2886">
        <f>ROUND(AVERAGE(L28:L$34)/100,4)</f>
        <v>1.0800000000000001E-2</v>
      </c>
    </row>
    <row r="29" spans="1:34">
      <c r="A29" s="2897" t="s">
        <v>956</v>
      </c>
      <c r="B29" s="2898">
        <f t="shared" si="167"/>
        <v>322.34053690220776</v>
      </c>
      <c r="C29" s="2898">
        <f t="shared" si="167"/>
        <v>271.46160770422546</v>
      </c>
      <c r="D29" s="2898">
        <f t="shared" si="164"/>
        <v>271.46160770422546</v>
      </c>
      <c r="E29" s="2898">
        <f t="shared" si="168"/>
        <v>442.69434542172456</v>
      </c>
      <c r="F29" s="2898">
        <f t="shared" si="168"/>
        <v>241.34030753190925</v>
      </c>
      <c r="G29" s="3551"/>
      <c r="H29" s="2912">
        <v>2</v>
      </c>
      <c r="I29" s="2912">
        <v>0.77</v>
      </c>
      <c r="J29" s="2912">
        <v>0.69</v>
      </c>
      <c r="K29" s="2912">
        <v>0.8</v>
      </c>
      <c r="L29" s="2913">
        <v>0.88</v>
      </c>
      <c r="N29" s="2900">
        <f t="shared" si="166"/>
        <v>7.7000000000000002E-3</v>
      </c>
      <c r="O29" s="2918">
        <f t="shared" si="162"/>
        <v>6.8999999999999999E-3</v>
      </c>
      <c r="P29" s="2918">
        <f t="shared" si="162"/>
        <v>8.0000000000000002E-3</v>
      </c>
      <c r="Q29" s="2918">
        <f t="shared" si="162"/>
        <v>8.8000000000000005E-3</v>
      </c>
      <c r="R29" s="2901"/>
      <c r="S29" s="2900"/>
      <c r="T29" s="2886"/>
      <c r="U29" s="2886"/>
      <c r="V29" s="2886"/>
      <c r="X29" s="2885">
        <f>ROUND(SUMPRODUCT(PRODUCT(1+N29:N$33)),4)</f>
        <v>1.048</v>
      </c>
      <c r="Y29" s="2885">
        <f>ROUND(SUMPRODUCT(PRODUCT(1+O29:O$33)),4)</f>
        <v>1.0524</v>
      </c>
      <c r="Z29" s="2885">
        <f t="shared" si="0"/>
        <v>1.0524</v>
      </c>
      <c r="AA29" s="2885">
        <f>ROUND(SUMPRODUCT(PRODUCT(1+P29:P$33)),4)</f>
        <v>1.0470999999999999</v>
      </c>
      <c r="AB29" s="2885">
        <f>ROUND(SUMPRODUCT(PRODUCT(1+Q29:Q$33)),4)</f>
        <v>1.0504</v>
      </c>
      <c r="AD29" s="2886">
        <f>ROUND(AVERAGE(I29:I$34)/100,4)</f>
        <v>1.2800000000000001E-2</v>
      </c>
      <c r="AE29" s="2886">
        <f>ROUND(AVERAGE(J29:J$34)/100,4)</f>
        <v>1.2500000000000001E-2</v>
      </c>
      <c r="AF29" s="2886">
        <f t="shared" si="1"/>
        <v>1.2500000000000001E-2</v>
      </c>
      <c r="AG29" s="2886">
        <f>ROUND(AVERAGE(K29:K$34)/100,4)</f>
        <v>1.32E-2</v>
      </c>
      <c r="AH29" s="2886">
        <f>ROUND(AVERAGE(L29:L$34)/100,4)</f>
        <v>1.0500000000000001E-2</v>
      </c>
    </row>
    <row r="30" spans="1:34">
      <c r="A30" s="2897" t="s">
        <v>955</v>
      </c>
      <c r="B30" s="2898">
        <f t="shared" si="167"/>
        <v>319.87748030386797</v>
      </c>
      <c r="C30" s="2898">
        <f t="shared" si="167"/>
        <v>269.60135833173649</v>
      </c>
      <c r="D30" s="2898">
        <f t="shared" si="164"/>
        <v>269.60135833173649</v>
      </c>
      <c r="E30" s="2898">
        <f t="shared" si="168"/>
        <v>439.18089823583784</v>
      </c>
      <c r="F30" s="2898">
        <f t="shared" si="168"/>
        <v>239.23503918706311</v>
      </c>
      <c r="G30" s="3552"/>
      <c r="H30" s="2899">
        <v>1</v>
      </c>
      <c r="I30" s="2899">
        <v>0.51</v>
      </c>
      <c r="J30" s="2899">
        <v>0.54</v>
      </c>
      <c r="K30" s="2899">
        <v>0.48</v>
      </c>
      <c r="L30" s="2905">
        <v>0.93</v>
      </c>
      <c r="N30" s="2902">
        <f t="shared" si="166"/>
        <v>5.1000000000000004E-3</v>
      </c>
      <c r="O30" s="2903">
        <f t="shared" si="162"/>
        <v>5.4000000000000003E-3</v>
      </c>
      <c r="P30" s="2903">
        <f t="shared" si="162"/>
        <v>4.7999999999999996E-3</v>
      </c>
      <c r="Q30" s="2903">
        <f t="shared" si="162"/>
        <v>9.300000000000001E-3</v>
      </c>
      <c r="R30" s="2901"/>
      <c r="S30" s="2902">
        <f>B30/B31-1</f>
        <v>5.9040261127922822E-3</v>
      </c>
      <c r="T30" s="2903">
        <f>C30/C31-1</f>
        <v>5.9752176557332781E-3</v>
      </c>
      <c r="U30" s="2903">
        <f>E30/E31-1</f>
        <v>4.9906138119859556E-3</v>
      </c>
      <c r="V30" s="2903">
        <f>F30/F31-1</f>
        <v>9.4305450930933787E-3</v>
      </c>
      <c r="X30" s="2885">
        <f>ROUND(SUMPRODUCT(PRODUCT(1+N30:N$33)),4)</f>
        <v>1.0399</v>
      </c>
      <c r="Y30" s="2885">
        <f>ROUND(SUMPRODUCT(PRODUCT(1+O30:O$33)),4)</f>
        <v>1.0451999999999999</v>
      </c>
      <c r="Z30" s="2885">
        <f t="shared" si="0"/>
        <v>1.0451999999999999</v>
      </c>
      <c r="AA30" s="2885">
        <f>ROUND(SUMPRODUCT(PRODUCT(1+P30:P$33)),4)</f>
        <v>1.0387999999999999</v>
      </c>
      <c r="AB30" s="2885">
        <f>ROUND(SUMPRODUCT(PRODUCT(1+Q30:Q$33)),4)</f>
        <v>1.0411999999999999</v>
      </c>
      <c r="AD30" s="2886">
        <f>ROUND(AVERAGE(I30:I$34)/100,4)</f>
        <v>1.38E-2</v>
      </c>
      <c r="AE30" s="2886">
        <f>ROUND(AVERAGE(J30:J$34)/100,4)</f>
        <v>1.3599999999999999E-2</v>
      </c>
      <c r="AF30" s="2886">
        <f t="shared" si="1"/>
        <v>1.3599999999999999E-2</v>
      </c>
      <c r="AG30" s="2886">
        <f>ROUND(AVERAGE(K30:K$34)/100,4)</f>
        <v>1.4200000000000001E-2</v>
      </c>
      <c r="AH30" s="2886">
        <f>ROUND(AVERAGE(L30:L$34)/100,4)</f>
        <v>1.0800000000000001E-2</v>
      </c>
    </row>
    <row r="31" spans="1:34" ht="13.5" thickBot="1">
      <c r="A31" s="2897" t="s">
        <v>954</v>
      </c>
      <c r="B31" s="2926">
        <v>318</v>
      </c>
      <c r="C31" s="2926">
        <v>268</v>
      </c>
      <c r="D31" s="2926">
        <f t="shared" si="164"/>
        <v>268</v>
      </c>
      <c r="E31" s="2926">
        <v>437</v>
      </c>
      <c r="F31" s="2927">
        <v>237</v>
      </c>
      <c r="G31" s="3550">
        <v>2014</v>
      </c>
      <c r="H31" s="2921">
        <v>4</v>
      </c>
      <c r="I31" s="2921">
        <v>0.21</v>
      </c>
      <c r="J31" s="2921">
        <v>0.41</v>
      </c>
      <c r="K31" s="2921">
        <v>0.12</v>
      </c>
      <c r="L31" s="2922">
        <v>0.89</v>
      </c>
      <c r="N31" s="2900">
        <f t="shared" si="166"/>
        <v>2.0999999999999999E-3</v>
      </c>
      <c r="O31" s="2886">
        <f t="shared" si="162"/>
        <v>4.0999999999999995E-3</v>
      </c>
      <c r="P31" s="2886">
        <f t="shared" si="162"/>
        <v>1.1999999999999999E-3</v>
      </c>
      <c r="Q31" s="2886">
        <f t="shared" si="162"/>
        <v>8.8999999999999999E-3</v>
      </c>
      <c r="R31" s="2901"/>
      <c r="S31" s="2910"/>
      <c r="T31" s="2911"/>
      <c r="U31" s="2911"/>
      <c r="V31" s="2911"/>
      <c r="X31" s="2885">
        <f>ROUND(SUMPRODUCT(PRODUCT(1+N31:N$33)),4)</f>
        <v>1.0347</v>
      </c>
      <c r="Y31" s="2885">
        <f>ROUND(SUMPRODUCT(PRODUCT(1+O31:O$33)),4)</f>
        <v>1.0395000000000001</v>
      </c>
      <c r="Z31" s="2885">
        <f t="shared" si="0"/>
        <v>1.0395000000000001</v>
      </c>
      <c r="AA31" s="2885">
        <f>ROUND(SUMPRODUCT(PRODUCT(1+P31:P$33)),4)</f>
        <v>1.0338000000000001</v>
      </c>
      <c r="AB31" s="2885">
        <f>ROUND(SUMPRODUCT(PRODUCT(1+Q31:Q$33)),4)</f>
        <v>1.0316000000000001</v>
      </c>
      <c r="AD31" s="2886">
        <f>ROUND(AVERAGE(I31:I$34)/100,4)</f>
        <v>1.6E-2</v>
      </c>
      <c r="AE31" s="2886">
        <f>ROUND(AVERAGE(J31:J$34)/100,4)</f>
        <v>1.5599999999999999E-2</v>
      </c>
      <c r="AF31" s="2886">
        <f t="shared" si="1"/>
        <v>1.5599999999999999E-2</v>
      </c>
      <c r="AG31" s="2886">
        <f>ROUND(AVERAGE(K31:K$34)/100,4)</f>
        <v>1.66E-2</v>
      </c>
      <c r="AH31" s="2886">
        <f>ROUND(AVERAGE(L31:L$34)/100,4)</f>
        <v>1.12E-2</v>
      </c>
    </row>
    <row r="32" spans="1:34">
      <c r="A32" s="2897" t="s">
        <v>953</v>
      </c>
      <c r="B32" s="2898">
        <f t="shared" ref="B32:C34" si="169">B31/(1+N31)</f>
        <v>317.33359944117353</v>
      </c>
      <c r="C32" s="2898">
        <f t="shared" si="169"/>
        <v>266.90568668459315</v>
      </c>
      <c r="D32" s="2898">
        <f t="shared" si="164"/>
        <v>266.90568668459315</v>
      </c>
      <c r="E32" s="2898">
        <f t="shared" ref="E32:F34" si="170">E31/(1+P31)</f>
        <v>436.47622852576905</v>
      </c>
      <c r="F32" s="2898">
        <f t="shared" si="170"/>
        <v>234.90930716622066</v>
      </c>
      <c r="G32" s="3551"/>
      <c r="H32" s="2928">
        <v>3</v>
      </c>
      <c r="I32" s="2928">
        <v>0.83</v>
      </c>
      <c r="J32" s="2928">
        <v>1.47</v>
      </c>
      <c r="K32" s="2928">
        <v>0.65</v>
      </c>
      <c r="L32" s="2929">
        <v>0.72</v>
      </c>
      <c r="N32" s="2900">
        <f t="shared" si="166"/>
        <v>8.3000000000000001E-3</v>
      </c>
      <c r="O32" s="2886">
        <f t="shared" si="162"/>
        <v>1.47E-2</v>
      </c>
      <c r="P32" s="2886">
        <f t="shared" si="162"/>
        <v>6.5000000000000006E-3</v>
      </c>
      <c r="Q32" s="2886">
        <f t="shared" si="162"/>
        <v>7.1999999999999998E-3</v>
      </c>
      <c r="R32" s="2901"/>
      <c r="S32" s="2900"/>
      <c r="T32" s="2886"/>
      <c r="U32" s="2886"/>
      <c r="V32" s="2886"/>
      <c r="X32" s="2885">
        <f>ROUND(SUMPRODUCT(PRODUCT(1+N32:N$33)),4)</f>
        <v>1.0325</v>
      </c>
      <c r="Y32" s="2885">
        <f>ROUND(SUMPRODUCT(PRODUCT(1+O32:O$33)),4)</f>
        <v>1.0353000000000001</v>
      </c>
      <c r="Z32" s="2885">
        <f t="shared" ref="Z32:Z33" si="171">Y32</f>
        <v>1.0353000000000001</v>
      </c>
      <c r="AA32" s="2885">
        <f>ROUND(SUMPRODUCT(PRODUCT(1+P32:P$33)),4)</f>
        <v>1.0326</v>
      </c>
      <c r="AB32" s="2885">
        <f>ROUND(SUMPRODUCT(PRODUCT(1+Q32:Q$33)),4)</f>
        <v>1.0225</v>
      </c>
      <c r="AD32" s="2886">
        <f>ROUND(AVERAGE(I32:I$34)/100,4)</f>
        <v>2.07E-2</v>
      </c>
      <c r="AE32" s="2886">
        <f>ROUND(AVERAGE(J32:J$34)/100,4)</f>
        <v>1.95E-2</v>
      </c>
      <c r="AF32" s="2886">
        <f t="shared" si="1"/>
        <v>1.95E-2</v>
      </c>
      <c r="AG32" s="2886">
        <f>ROUND(AVERAGE(K32:K$34)/100,4)</f>
        <v>2.1700000000000001E-2</v>
      </c>
      <c r="AH32" s="2886">
        <f>ROUND(AVERAGE(L32:L$34)/100,4)</f>
        <v>1.2E-2</v>
      </c>
    </row>
    <row r="33" spans="1:34" ht="13.5" thickBot="1">
      <c r="A33" s="2897" t="s">
        <v>952</v>
      </c>
      <c r="B33" s="2898">
        <f t="shared" si="169"/>
        <v>314.72141172386546</v>
      </c>
      <c r="C33" s="2898">
        <f t="shared" si="169"/>
        <v>263.03901319069001</v>
      </c>
      <c r="D33" s="2898">
        <f t="shared" si="164"/>
        <v>263.03901319069001</v>
      </c>
      <c r="E33" s="2898">
        <f t="shared" si="170"/>
        <v>433.65745506782821</v>
      </c>
      <c r="F33" s="2898">
        <f t="shared" si="170"/>
        <v>233.23005080045735</v>
      </c>
      <c r="G33" s="3551"/>
      <c r="H33" s="2921">
        <v>2</v>
      </c>
      <c r="I33" s="2921">
        <v>2.4</v>
      </c>
      <c r="J33" s="2921">
        <v>2.0299999999999998</v>
      </c>
      <c r="K33" s="2921">
        <v>2.59</v>
      </c>
      <c r="L33" s="2922">
        <v>1.52</v>
      </c>
      <c r="N33" s="2900">
        <f t="shared" si="166"/>
        <v>2.4E-2</v>
      </c>
      <c r="O33" s="2886">
        <f t="shared" si="162"/>
        <v>2.0299999999999999E-2</v>
      </c>
      <c r="P33" s="2886">
        <f t="shared" si="162"/>
        <v>2.5899999999999999E-2</v>
      </c>
      <c r="Q33" s="2886">
        <f t="shared" si="162"/>
        <v>1.52E-2</v>
      </c>
      <c r="R33" s="2901"/>
      <c r="S33" s="2900"/>
      <c r="T33" s="2886"/>
      <c r="U33" s="2886"/>
      <c r="V33" s="2886"/>
      <c r="X33" s="2885">
        <f>1+N33</f>
        <v>1.024</v>
      </c>
      <c r="Y33" s="2885">
        <f>1+O33</f>
        <v>1.0203</v>
      </c>
      <c r="Z33" s="2885">
        <f t="shared" si="171"/>
        <v>1.0203</v>
      </c>
      <c r="AA33" s="2885">
        <f>1+P33</f>
        <v>1.0259</v>
      </c>
      <c r="AB33" s="2885">
        <f>1+Q33</f>
        <v>1.0152000000000001</v>
      </c>
      <c r="AD33" s="2886">
        <f>ROUND(AVERAGE(I33:I$34)/100,4)</f>
        <v>2.69E-2</v>
      </c>
      <c r="AE33" s="2886">
        <f>ROUND(AVERAGE(J33:J$34)/100,4)</f>
        <v>2.1899999999999999E-2</v>
      </c>
      <c r="AF33" s="2886">
        <f t="shared" ref="AF33" si="172">AE33</f>
        <v>2.1899999999999999E-2</v>
      </c>
      <c r="AG33" s="2886">
        <f>ROUND(AVERAGE(K33:K$34)/100,4)</f>
        <v>2.9399999999999999E-2</v>
      </c>
      <c r="AH33" s="2886">
        <f>ROUND(AVERAGE(L33:L$34)/100,4)</f>
        <v>1.44E-2</v>
      </c>
    </row>
    <row r="34" spans="1:34" s="2934" customFormat="1" ht="13.5" thickBot="1">
      <c r="A34" s="2930" t="s">
        <v>951</v>
      </c>
      <c r="B34" s="2931">
        <f t="shared" si="169"/>
        <v>307.34512863658733</v>
      </c>
      <c r="C34" s="2931">
        <f t="shared" si="169"/>
        <v>257.80556031626975</v>
      </c>
      <c r="D34" s="2931">
        <f t="shared" si="164"/>
        <v>257.80556031626975</v>
      </c>
      <c r="E34" s="2931">
        <f t="shared" si="170"/>
        <v>422.70928459677179</v>
      </c>
      <c r="F34" s="2931">
        <f t="shared" si="170"/>
        <v>229.73803270336617</v>
      </c>
      <c r="G34" s="3552"/>
      <c r="H34" s="2932">
        <v>1</v>
      </c>
      <c r="I34" s="2932">
        <v>2.97</v>
      </c>
      <c r="J34" s="2932">
        <v>2.34</v>
      </c>
      <c r="K34" s="2932">
        <v>3.28</v>
      </c>
      <c r="L34" s="2933">
        <v>1.36</v>
      </c>
      <c r="N34" s="2935">
        <f t="shared" si="166"/>
        <v>2.9700000000000001E-2</v>
      </c>
      <c r="O34" s="2936">
        <f t="shared" si="162"/>
        <v>2.3399999999999997E-2</v>
      </c>
      <c r="P34" s="2936">
        <f t="shared" si="162"/>
        <v>3.2799999999999996E-2</v>
      </c>
      <c r="Q34" s="2936">
        <f t="shared" si="162"/>
        <v>1.3600000000000001E-2</v>
      </c>
      <c r="R34" s="2937"/>
      <c r="S34" s="2938">
        <f>B34/B35-1</f>
        <v>2.7910129219355539E-2</v>
      </c>
      <c r="T34" s="2939">
        <f>C34/C35-1</f>
        <v>2.3037937762975247E-2</v>
      </c>
      <c r="U34" s="2939">
        <f>E34/E35-1</f>
        <v>3.3519033243940788E-2</v>
      </c>
      <c r="V34" s="2939">
        <f>F34/F35-1</f>
        <v>1.2061818076502862E-2</v>
      </c>
      <c r="W34" s="2940" t="s">
        <v>2620</v>
      </c>
      <c r="X34" s="2941">
        <v>1</v>
      </c>
      <c r="Y34" s="2941">
        <v>1</v>
      </c>
      <c r="Z34" s="2941">
        <v>1</v>
      </c>
      <c r="AA34" s="2941">
        <v>1</v>
      </c>
      <c r="AB34" s="2941">
        <v>1</v>
      </c>
      <c r="AD34" s="2936">
        <f>I34/100</f>
        <v>2.9700000000000001E-2</v>
      </c>
      <c r="AE34" s="2936">
        <f>J34/100</f>
        <v>2.3399999999999997E-2</v>
      </c>
      <c r="AF34" s="2936">
        <f>AE34</f>
        <v>2.3399999999999997E-2</v>
      </c>
      <c r="AG34" s="2936">
        <f>K34/100</f>
        <v>3.2799999999999996E-2</v>
      </c>
      <c r="AH34" s="2936">
        <f>L34/100</f>
        <v>1.3600000000000001E-2</v>
      </c>
    </row>
    <row r="35" spans="1:34" ht="13.5" thickBot="1">
      <c r="A35" s="2897" t="s">
        <v>2563</v>
      </c>
      <c r="B35" s="2919">
        <v>299</v>
      </c>
      <c r="C35" s="2919">
        <v>252</v>
      </c>
      <c r="D35" s="2919">
        <f t="shared" si="164"/>
        <v>252</v>
      </c>
      <c r="E35" s="2919">
        <v>409</v>
      </c>
      <c r="F35" s="2920">
        <v>227</v>
      </c>
      <c r="G35" s="3553">
        <v>2013</v>
      </c>
      <c r="H35" s="2942">
        <v>4</v>
      </c>
      <c r="I35" s="2942">
        <v>1.83</v>
      </c>
      <c r="J35" s="2942">
        <v>1.68</v>
      </c>
      <c r="K35" s="2942">
        <v>1.97</v>
      </c>
      <c r="L35" s="2943">
        <v>0.87</v>
      </c>
      <c r="N35" s="2916">
        <f t="shared" si="166"/>
        <v>1.83E-2</v>
      </c>
      <c r="O35" s="2917">
        <f t="shared" si="162"/>
        <v>1.6799999999999999E-2</v>
      </c>
      <c r="P35" s="2917">
        <f t="shared" si="162"/>
        <v>1.9699999999999999E-2</v>
      </c>
      <c r="Q35" s="2917">
        <f t="shared" si="162"/>
        <v>8.6999999999999994E-3</v>
      </c>
      <c r="R35" s="2901"/>
      <c r="S35" s="2910"/>
      <c r="T35" s="2911"/>
      <c r="U35" s="2911"/>
      <c r="V35" s="2911"/>
      <c r="X35" s="2911"/>
      <c r="Y35" s="2911"/>
      <c r="Z35" s="2911"/>
    </row>
    <row r="36" spans="1:34">
      <c r="A36" s="2897" t="s">
        <v>2564</v>
      </c>
      <c r="B36" s="2898">
        <f t="shared" ref="B36:C38" si="173">B35/(1+N35)</f>
        <v>293.62663262299913</v>
      </c>
      <c r="C36" s="2898">
        <f t="shared" si="173"/>
        <v>247.83634933123525</v>
      </c>
      <c r="D36" s="2898">
        <f t="shared" si="164"/>
        <v>247.83634933123525</v>
      </c>
      <c r="E36" s="2898">
        <f t="shared" ref="E36:F38" si="174">E35/(1+P35)</f>
        <v>401.09836226341076</v>
      </c>
      <c r="F36" s="2898">
        <f t="shared" si="174"/>
        <v>225.04213343908003</v>
      </c>
      <c r="G36" s="3554"/>
      <c r="H36" s="2924">
        <v>3</v>
      </c>
      <c r="I36" s="2924">
        <v>1.86</v>
      </c>
      <c r="J36" s="2924">
        <v>1.72</v>
      </c>
      <c r="K36" s="2924">
        <v>1.98</v>
      </c>
      <c r="L36" s="2925">
        <v>0.88</v>
      </c>
      <c r="N36" s="2900">
        <f t="shared" si="166"/>
        <v>1.8600000000000002E-2</v>
      </c>
      <c r="O36" s="2918">
        <f t="shared" si="162"/>
        <v>1.72E-2</v>
      </c>
      <c r="P36" s="2918">
        <f t="shared" si="162"/>
        <v>1.9799999999999998E-2</v>
      </c>
      <c r="Q36" s="2918">
        <f t="shared" si="162"/>
        <v>8.8000000000000005E-3</v>
      </c>
      <c r="R36" s="2901"/>
      <c r="S36" s="2900"/>
      <c r="T36" s="2886"/>
      <c r="U36" s="2886"/>
      <c r="V36" s="2886"/>
    </row>
    <row r="37" spans="1:34">
      <c r="A37" s="2897" t="s">
        <v>2565</v>
      </c>
      <c r="B37" s="2898">
        <f t="shared" si="173"/>
        <v>288.2649053828776</v>
      </c>
      <c r="C37" s="2898">
        <f t="shared" si="173"/>
        <v>243.64564425013293</v>
      </c>
      <c r="D37" s="2898">
        <f t="shared" si="164"/>
        <v>243.64564425013293</v>
      </c>
      <c r="E37" s="2898">
        <f t="shared" si="174"/>
        <v>393.31080825986544</v>
      </c>
      <c r="F37" s="2898">
        <f t="shared" si="174"/>
        <v>223.07903790551154</v>
      </c>
      <c r="G37" s="3554"/>
      <c r="H37" s="2912">
        <v>2</v>
      </c>
      <c r="I37" s="2912">
        <v>2.04</v>
      </c>
      <c r="J37" s="2912">
        <v>2.33</v>
      </c>
      <c r="K37" s="2912">
        <v>2.0699999999999998</v>
      </c>
      <c r="L37" s="2913">
        <v>0.69</v>
      </c>
      <c r="N37" s="2900">
        <f t="shared" si="166"/>
        <v>2.0400000000000001E-2</v>
      </c>
      <c r="O37" s="2918">
        <f t="shared" si="162"/>
        <v>2.3300000000000001E-2</v>
      </c>
      <c r="P37" s="2918">
        <f t="shared" si="162"/>
        <v>2.07E-2</v>
      </c>
      <c r="Q37" s="2918">
        <f t="shared" si="162"/>
        <v>6.8999999999999999E-3</v>
      </c>
      <c r="R37" s="2901"/>
      <c r="S37" s="2900"/>
      <c r="T37" s="2886"/>
      <c r="U37" s="2886"/>
      <c r="V37" s="2886"/>
      <c r="X37" s="2944"/>
      <c r="Y37" s="2945"/>
    </row>
    <row r="38" spans="1:34">
      <c r="A38" s="2897" t="s">
        <v>2566</v>
      </c>
      <c r="B38" s="2898">
        <f t="shared" si="173"/>
        <v>282.50186729015837</v>
      </c>
      <c r="C38" s="2898">
        <f t="shared" si="173"/>
        <v>238.09796174155468</v>
      </c>
      <c r="D38" s="2898">
        <f t="shared" si="164"/>
        <v>238.09796174155468</v>
      </c>
      <c r="E38" s="2898">
        <f t="shared" si="174"/>
        <v>385.33438646014054</v>
      </c>
      <c r="F38" s="2898">
        <f t="shared" si="174"/>
        <v>221.55034055567739</v>
      </c>
      <c r="G38" s="3555"/>
      <c r="H38" s="2899">
        <v>1</v>
      </c>
      <c r="I38" s="2899">
        <v>1.67</v>
      </c>
      <c r="J38" s="2899">
        <v>1.31</v>
      </c>
      <c r="K38" s="2899">
        <v>1.85</v>
      </c>
      <c r="L38" s="2905">
        <v>0.96</v>
      </c>
      <c r="N38" s="2902">
        <f t="shared" si="166"/>
        <v>1.67E-2</v>
      </c>
      <c r="O38" s="2903">
        <f t="shared" si="162"/>
        <v>1.3100000000000001E-2</v>
      </c>
      <c r="P38" s="2903">
        <f t="shared" si="162"/>
        <v>1.8500000000000003E-2</v>
      </c>
      <c r="Q38" s="2903">
        <f t="shared" si="162"/>
        <v>9.5999999999999992E-3</v>
      </c>
      <c r="R38" s="2901"/>
      <c r="S38" s="2902">
        <f>B38/B39-1</f>
        <v>1.6193767230785472E-2</v>
      </c>
      <c r="T38" s="2903">
        <f>C38/C39-1</f>
        <v>1.7512657015190891E-2</v>
      </c>
      <c r="U38" s="2903">
        <f>E38/E39-1</f>
        <v>1.6713420739157048E-2</v>
      </c>
      <c r="V38" s="2903">
        <f>F38/F39-1</f>
        <v>7.0470025258062563E-3</v>
      </c>
      <c r="X38" s="2946"/>
      <c r="Y38" s="2886"/>
      <c r="Z38" s="2886"/>
    </row>
    <row r="39" spans="1:34" ht="13.5" thickBot="1">
      <c r="A39" s="2897" t="s">
        <v>2567</v>
      </c>
      <c r="B39" s="2947">
        <v>278</v>
      </c>
      <c r="C39" s="2947">
        <v>234</v>
      </c>
      <c r="D39" s="2947">
        <f t="shared" si="164"/>
        <v>234</v>
      </c>
      <c r="E39" s="2947">
        <v>379</v>
      </c>
      <c r="F39" s="2948">
        <v>220</v>
      </c>
      <c r="G39" s="3550">
        <v>2012</v>
      </c>
      <c r="H39" s="2921">
        <v>4</v>
      </c>
      <c r="I39" s="2921">
        <v>0.91</v>
      </c>
      <c r="J39" s="2921">
        <v>0.68</v>
      </c>
      <c r="K39" s="2921">
        <v>0.98</v>
      </c>
      <c r="L39" s="2922">
        <v>0.9</v>
      </c>
      <c r="N39" s="2900">
        <f t="shared" si="166"/>
        <v>9.1000000000000004E-3</v>
      </c>
      <c r="O39" s="2886">
        <f t="shared" si="166"/>
        <v>6.8000000000000005E-3</v>
      </c>
      <c r="P39" s="2886">
        <f t="shared" si="166"/>
        <v>9.7999999999999997E-3</v>
      </c>
      <c r="Q39" s="2886">
        <f t="shared" si="166"/>
        <v>9.0000000000000011E-3</v>
      </c>
      <c r="R39" s="2901"/>
      <c r="S39" s="2910"/>
      <c r="T39" s="2911"/>
      <c r="U39" s="2911"/>
      <c r="V39" s="2911"/>
      <c r="X39" s="2911"/>
      <c r="Y39" s="2911"/>
      <c r="Z39" s="2911"/>
    </row>
    <row r="40" spans="1:34">
      <c r="A40" s="2897" t="s">
        <v>2568</v>
      </c>
      <c r="B40" s="2898">
        <f>B39/(1+N39)</f>
        <v>275.49301357645425</v>
      </c>
      <c r="C40" s="2898">
        <f>C39/(1+O39)</f>
        <v>232.41954707985698</v>
      </c>
      <c r="D40" s="2898">
        <f t="shared" si="164"/>
        <v>232.41954707985698</v>
      </c>
      <c r="E40" s="2898">
        <f t="shared" ref="E40:F42" si="175">E39/(1+P39)</f>
        <v>375.32184591008121</v>
      </c>
      <c r="F40" s="2898">
        <f t="shared" si="175"/>
        <v>218.03766105054513</v>
      </c>
      <c r="G40" s="3551"/>
      <c r="H40" s="2924">
        <v>3</v>
      </c>
      <c r="I40" s="2924">
        <v>0.09</v>
      </c>
      <c r="J40" s="2924">
        <v>0.28999999999999998</v>
      </c>
      <c r="K40" s="2924">
        <v>-0.01</v>
      </c>
      <c r="L40" s="2925">
        <v>0.57999999999999996</v>
      </c>
      <c r="N40" s="2900">
        <f t="shared" si="166"/>
        <v>8.9999999999999998E-4</v>
      </c>
      <c r="O40" s="2886">
        <f t="shared" si="166"/>
        <v>2.8999999999999998E-3</v>
      </c>
      <c r="P40" s="2886">
        <f t="shared" si="166"/>
        <v>-1E-4</v>
      </c>
      <c r="Q40" s="2886">
        <f t="shared" si="166"/>
        <v>5.7999999999999996E-3</v>
      </c>
      <c r="R40" s="2901"/>
      <c r="S40" s="2900"/>
      <c r="T40" s="2886"/>
      <c r="U40" s="2886"/>
      <c r="V40" s="2886"/>
    </row>
    <row r="41" spans="1:34">
      <c r="A41" s="2897" t="s">
        <v>2569</v>
      </c>
      <c r="B41" s="2898">
        <f>B40/(1+N40)</f>
        <v>275.24529281292263</v>
      </c>
      <c r="C41" s="2898">
        <f>C40/(1+O40)</f>
        <v>231.74747938962707</v>
      </c>
      <c r="D41" s="2898">
        <f t="shared" si="164"/>
        <v>231.74747938962707</v>
      </c>
      <c r="E41" s="2898">
        <f t="shared" si="175"/>
        <v>375.35938184826603</v>
      </c>
      <c r="F41" s="2898">
        <f t="shared" si="175"/>
        <v>216.78033510692495</v>
      </c>
      <c r="G41" s="3551"/>
      <c r="H41" s="2912">
        <v>2</v>
      </c>
      <c r="I41" s="2912">
        <v>0.02</v>
      </c>
      <c r="J41" s="2912">
        <v>0.12</v>
      </c>
      <c r="K41" s="2912">
        <v>-0.08</v>
      </c>
      <c r="L41" s="2913">
        <v>1.24</v>
      </c>
      <c r="N41" s="2900">
        <f t="shared" si="166"/>
        <v>2.0000000000000001E-4</v>
      </c>
      <c r="O41" s="2886">
        <f t="shared" si="166"/>
        <v>1.1999999999999999E-3</v>
      </c>
      <c r="P41" s="2886">
        <f t="shared" si="166"/>
        <v>-8.0000000000000004E-4</v>
      </c>
      <c r="Q41" s="2886">
        <f t="shared" si="166"/>
        <v>1.24E-2</v>
      </c>
      <c r="R41" s="2901"/>
      <c r="S41" s="2900"/>
      <c r="T41" s="2886"/>
      <c r="U41" s="2886"/>
      <c r="V41" s="2886"/>
    </row>
    <row r="42" spans="1:34" ht="13.5" thickBot="1">
      <c r="A42" s="2897" t="s">
        <v>2570</v>
      </c>
      <c r="B42" s="2898">
        <f>B41/(1+N41)</f>
        <v>275.19025476197027</v>
      </c>
      <c r="C42" s="2949">
        <v>232</v>
      </c>
      <c r="D42" s="2949">
        <f t="shared" si="164"/>
        <v>232</v>
      </c>
      <c r="E42" s="2898">
        <f t="shared" si="175"/>
        <v>375.65990977608692</v>
      </c>
      <c r="F42" s="2898">
        <f t="shared" si="175"/>
        <v>214.12518283971252</v>
      </c>
      <c r="G42" s="3552"/>
      <c r="H42" s="2899">
        <v>1</v>
      </c>
      <c r="I42" s="2899">
        <v>0.02</v>
      </c>
      <c r="J42" s="2899">
        <v>0.13</v>
      </c>
      <c r="K42" s="2899">
        <v>-0.04</v>
      </c>
      <c r="L42" s="2905">
        <v>0.46</v>
      </c>
      <c r="N42" s="2900">
        <f t="shared" si="166"/>
        <v>2.0000000000000001E-4</v>
      </c>
      <c r="O42" s="2886">
        <f t="shared" si="166"/>
        <v>1.2999999999999999E-3</v>
      </c>
      <c r="P42" s="2886">
        <f t="shared" si="166"/>
        <v>-4.0000000000000002E-4</v>
      </c>
      <c r="Q42" s="2886">
        <f t="shared" si="166"/>
        <v>4.5999999999999999E-3</v>
      </c>
      <c r="R42" s="2901"/>
      <c r="S42" s="2902">
        <f>B42/B43-1</f>
        <v>6.9183549807361189E-4</v>
      </c>
      <c r="T42" s="2903">
        <f>C42/C43-1</f>
        <v>0</v>
      </c>
      <c r="U42" s="2903">
        <f>E42/E43-1</f>
        <v>-9.0449527636460303E-4</v>
      </c>
      <c r="V42" s="2903">
        <f>F42/F43-1</f>
        <v>5.2825485432512753E-3</v>
      </c>
      <c r="X42" s="2886"/>
      <c r="Y42" s="2886"/>
      <c r="Z42" s="2886"/>
    </row>
    <row r="43" spans="1:34" ht="13.5" thickBot="1">
      <c r="A43" s="2897" t="s">
        <v>2571</v>
      </c>
      <c r="B43" s="2919">
        <v>275</v>
      </c>
      <c r="C43" s="2919">
        <v>232</v>
      </c>
      <c r="D43" s="2919">
        <f t="shared" si="164"/>
        <v>232</v>
      </c>
      <c r="E43" s="2919">
        <v>376</v>
      </c>
      <c r="F43" s="2920">
        <v>213</v>
      </c>
      <c r="G43" s="3550">
        <v>2011</v>
      </c>
      <c r="H43" s="2921">
        <v>4</v>
      </c>
      <c r="I43" s="2921">
        <v>-0.2</v>
      </c>
      <c r="J43" s="2921">
        <v>0.04</v>
      </c>
      <c r="K43" s="2921">
        <v>-0.34</v>
      </c>
      <c r="L43" s="2922">
        <v>0.46</v>
      </c>
      <c r="N43" s="2916">
        <f t="shared" si="166"/>
        <v>-2E-3</v>
      </c>
      <c r="O43" s="2917">
        <f t="shared" si="166"/>
        <v>4.0000000000000002E-4</v>
      </c>
      <c r="P43" s="2917">
        <f t="shared" si="166"/>
        <v>-3.4000000000000002E-3</v>
      </c>
      <c r="Q43" s="2917">
        <f t="shared" si="166"/>
        <v>4.5999999999999999E-3</v>
      </c>
      <c r="R43" s="2901"/>
      <c r="S43" s="2910"/>
      <c r="T43" s="2911"/>
      <c r="U43" s="2911"/>
      <c r="V43" s="2911"/>
      <c r="X43" s="2911"/>
      <c r="Y43" s="2911"/>
      <c r="Z43" s="2911"/>
    </row>
    <row r="44" spans="1:34">
      <c r="A44" s="2897" t="s">
        <v>2572</v>
      </c>
      <c r="B44" s="2898">
        <f t="shared" ref="B44:C46" si="176">B43/(1+N43)</f>
        <v>275.55110220440883</v>
      </c>
      <c r="C44" s="2898">
        <f t="shared" si="176"/>
        <v>231.90723710515795</v>
      </c>
      <c r="D44" s="2898">
        <f t="shared" si="164"/>
        <v>231.90723710515795</v>
      </c>
      <c r="E44" s="2898">
        <f t="shared" ref="E44:F46" si="177">E43/(1+P43)</f>
        <v>377.28276138872161</v>
      </c>
      <c r="F44" s="2898">
        <f t="shared" si="177"/>
        <v>212.02468644236512</v>
      </c>
      <c r="G44" s="3551">
        <v>2011</v>
      </c>
      <c r="H44" s="2924">
        <v>3</v>
      </c>
      <c r="I44" s="2924">
        <v>0.13</v>
      </c>
      <c r="J44" s="2924">
        <v>0.75</v>
      </c>
      <c r="K44" s="2924">
        <v>-0.08</v>
      </c>
      <c r="L44" s="2925">
        <v>0.53</v>
      </c>
      <c r="N44" s="2900">
        <f t="shared" si="166"/>
        <v>1.2999999999999999E-3</v>
      </c>
      <c r="O44" s="2918">
        <f t="shared" si="166"/>
        <v>7.4999999999999997E-3</v>
      </c>
      <c r="P44" s="2918">
        <f t="shared" si="166"/>
        <v>-8.0000000000000004E-4</v>
      </c>
      <c r="Q44" s="2918">
        <f t="shared" si="166"/>
        <v>5.3E-3</v>
      </c>
      <c r="R44" s="2901"/>
      <c r="S44" s="2900"/>
      <c r="T44" s="2886"/>
      <c r="U44" s="2886"/>
      <c r="V44" s="2886"/>
    </row>
    <row r="45" spans="1:34">
      <c r="A45" s="2897" t="s">
        <v>2573</v>
      </c>
      <c r="B45" s="2898">
        <f t="shared" si="176"/>
        <v>275.19335084830601</v>
      </c>
      <c r="C45" s="2898">
        <f t="shared" si="176"/>
        <v>230.18088050139744</v>
      </c>
      <c r="D45" s="2898">
        <f t="shared" si="164"/>
        <v>230.18088050139744</v>
      </c>
      <c r="E45" s="2898">
        <f t="shared" si="177"/>
        <v>377.58482925212331</v>
      </c>
      <c r="F45" s="2898">
        <f t="shared" si="177"/>
        <v>210.90687997847917</v>
      </c>
      <c r="G45" s="3551">
        <v>2011</v>
      </c>
      <c r="H45" s="2912">
        <v>2</v>
      </c>
      <c r="I45" s="2912">
        <v>-0.4</v>
      </c>
      <c r="J45" s="2912">
        <v>0.17</v>
      </c>
      <c r="K45" s="2912">
        <v>-0.57999999999999996</v>
      </c>
      <c r="L45" s="2913">
        <v>-0.2</v>
      </c>
      <c r="N45" s="2900">
        <f t="shared" si="166"/>
        <v>-4.0000000000000001E-3</v>
      </c>
      <c r="O45" s="2918">
        <f t="shared" si="166"/>
        <v>1.7000000000000001E-3</v>
      </c>
      <c r="P45" s="2918">
        <f t="shared" si="166"/>
        <v>-5.7999999999999996E-3</v>
      </c>
      <c r="Q45" s="2918">
        <f t="shared" si="166"/>
        <v>-2E-3</v>
      </c>
      <c r="R45" s="2901"/>
      <c r="S45" s="2900"/>
      <c r="T45" s="2886"/>
      <c r="U45" s="2886"/>
      <c r="V45" s="2886"/>
    </row>
    <row r="46" spans="1:34" ht="13.5" thickBot="1">
      <c r="A46" s="2897" t="s">
        <v>2574</v>
      </c>
      <c r="B46" s="2898">
        <f t="shared" si="176"/>
        <v>276.29854502841971</v>
      </c>
      <c r="C46" s="2898">
        <f t="shared" si="176"/>
        <v>229.79023709833027</v>
      </c>
      <c r="D46" s="2898">
        <f t="shared" si="164"/>
        <v>229.79023709833027</v>
      </c>
      <c r="E46" s="2898">
        <f t="shared" si="177"/>
        <v>379.78759731655936</v>
      </c>
      <c r="F46" s="2898">
        <f t="shared" si="177"/>
        <v>211.32953905659235</v>
      </c>
      <c r="G46" s="3552">
        <v>2011</v>
      </c>
      <c r="H46" s="2899">
        <v>1</v>
      </c>
      <c r="I46" s="2899">
        <v>2.65</v>
      </c>
      <c r="J46" s="2899">
        <v>3.76</v>
      </c>
      <c r="K46" s="2899">
        <v>1.89</v>
      </c>
      <c r="L46" s="2905">
        <v>7.95</v>
      </c>
      <c r="N46" s="2902">
        <f t="shared" si="166"/>
        <v>2.6499999999999999E-2</v>
      </c>
      <c r="O46" s="2903">
        <f t="shared" si="166"/>
        <v>3.7599999999999995E-2</v>
      </c>
      <c r="P46" s="2903">
        <f t="shared" si="166"/>
        <v>1.89E-2</v>
      </c>
      <c r="Q46" s="2903">
        <f t="shared" si="166"/>
        <v>7.9500000000000001E-2</v>
      </c>
      <c r="R46" s="2901"/>
      <c r="S46" s="2902">
        <f>B46/B47-1</f>
        <v>2.713213765211786E-2</v>
      </c>
      <c r="T46" s="2903">
        <f>C46/C47-1</f>
        <v>3.9774828499231862E-2</v>
      </c>
      <c r="U46" s="2903">
        <f>E46/E47-1</f>
        <v>1.8197311840641772E-2</v>
      </c>
      <c r="V46" s="2903">
        <f>F46/F47-1</f>
        <v>7.8211933962205826E-2</v>
      </c>
      <c r="X46" s="2886"/>
      <c r="Y46" s="2886"/>
      <c r="Z46" s="2886"/>
    </row>
    <row r="47" spans="1:34" ht="13.5" thickBot="1">
      <c r="A47" s="2897" t="s">
        <v>2575</v>
      </c>
      <c r="B47" s="2919">
        <v>269</v>
      </c>
      <c r="C47" s="2919">
        <v>221</v>
      </c>
      <c r="D47" s="2919">
        <f t="shared" si="164"/>
        <v>221</v>
      </c>
      <c r="E47" s="2919">
        <v>373</v>
      </c>
      <c r="F47" s="2920">
        <v>196</v>
      </c>
      <c r="G47" s="3550">
        <v>2010</v>
      </c>
      <c r="H47" s="2921">
        <v>4</v>
      </c>
      <c r="I47" s="2921">
        <v>5.72</v>
      </c>
      <c r="J47" s="2921">
        <v>6.57</v>
      </c>
      <c r="K47" s="2921">
        <v>5.72</v>
      </c>
      <c r="L47" s="2922">
        <v>2.72</v>
      </c>
      <c r="N47" s="2900">
        <f t="shared" si="166"/>
        <v>5.7200000000000001E-2</v>
      </c>
      <c r="O47" s="2886">
        <f t="shared" si="166"/>
        <v>6.5700000000000008E-2</v>
      </c>
      <c r="P47" s="2886">
        <f t="shared" si="166"/>
        <v>5.7200000000000001E-2</v>
      </c>
      <c r="Q47" s="2886">
        <f t="shared" si="166"/>
        <v>2.7200000000000002E-2</v>
      </c>
      <c r="R47" s="2901"/>
      <c r="S47" s="2910"/>
      <c r="T47" s="2911"/>
      <c r="U47" s="2911"/>
      <c r="V47" s="2911"/>
      <c r="X47" s="2911"/>
      <c r="Y47" s="2911"/>
      <c r="Z47" s="2911"/>
    </row>
    <row r="48" spans="1:34">
      <c r="A48" s="2897" t="s">
        <v>2576</v>
      </c>
      <c r="B48" s="2898">
        <f t="shared" ref="B48:C50" si="178">B47/(1+N47)</f>
        <v>254.44570563753314</v>
      </c>
      <c r="C48" s="2898">
        <f t="shared" si="178"/>
        <v>207.37543398705074</v>
      </c>
      <c r="D48" s="2898">
        <f t="shared" si="164"/>
        <v>207.37543398705074</v>
      </c>
      <c r="E48" s="2898">
        <f t="shared" ref="E48:F50" si="179">E47/(1+P47)</f>
        <v>352.81876655315932</v>
      </c>
      <c r="F48" s="2898">
        <f t="shared" si="179"/>
        <v>190.809968847352</v>
      </c>
      <c r="G48" s="3551">
        <v>2010</v>
      </c>
      <c r="H48" s="2924">
        <v>3</v>
      </c>
      <c r="I48" s="2924">
        <v>4.7300000000000004</v>
      </c>
      <c r="J48" s="2924">
        <v>3.9</v>
      </c>
      <c r="K48" s="2924">
        <v>5.03</v>
      </c>
      <c r="L48" s="2925">
        <v>4.21</v>
      </c>
      <c r="N48" s="2900">
        <f t="shared" si="166"/>
        <v>4.7300000000000002E-2</v>
      </c>
      <c r="O48" s="2886">
        <f t="shared" si="166"/>
        <v>3.9E-2</v>
      </c>
      <c r="P48" s="2886">
        <f t="shared" si="166"/>
        <v>5.0300000000000004E-2</v>
      </c>
      <c r="Q48" s="2886">
        <f t="shared" si="166"/>
        <v>4.2099999999999999E-2</v>
      </c>
      <c r="R48" s="2901"/>
      <c r="S48" s="2900"/>
      <c r="T48" s="2886"/>
      <c r="U48" s="2886"/>
      <c r="V48" s="2886"/>
    </row>
    <row r="49" spans="1:26">
      <c r="A49" s="2897" t="s">
        <v>2577</v>
      </c>
      <c r="B49" s="2898">
        <f t="shared" si="178"/>
        <v>242.95398227588385</v>
      </c>
      <c r="C49" s="2898">
        <f t="shared" si="178"/>
        <v>199.59137053614126</v>
      </c>
      <c r="D49" s="2898">
        <f t="shared" si="164"/>
        <v>199.59137053614126</v>
      </c>
      <c r="E49" s="2898">
        <f t="shared" si="179"/>
        <v>335.92189522342125</v>
      </c>
      <c r="F49" s="2898">
        <f t="shared" si="179"/>
        <v>183.10139991109489</v>
      </c>
      <c r="G49" s="3551">
        <v>2010</v>
      </c>
      <c r="H49" s="2912">
        <v>2</v>
      </c>
      <c r="I49" s="2912">
        <v>4.6900000000000004</v>
      </c>
      <c r="J49" s="2912">
        <v>3.55</v>
      </c>
      <c r="K49" s="2912">
        <v>5.07</v>
      </c>
      <c r="L49" s="2913">
        <v>4.2300000000000004</v>
      </c>
      <c r="N49" s="2900">
        <f t="shared" si="166"/>
        <v>4.6900000000000004E-2</v>
      </c>
      <c r="O49" s="2886">
        <f t="shared" si="166"/>
        <v>3.5499999999999997E-2</v>
      </c>
      <c r="P49" s="2886">
        <f t="shared" si="166"/>
        <v>5.0700000000000002E-2</v>
      </c>
      <c r="Q49" s="2886">
        <f t="shared" si="166"/>
        <v>4.2300000000000004E-2</v>
      </c>
      <c r="R49" s="2901"/>
      <c r="S49" s="2900"/>
      <c r="T49" s="2886"/>
      <c r="U49" s="2886"/>
      <c r="V49" s="2886"/>
    </row>
    <row r="50" spans="1:26" ht="13.5" thickBot="1">
      <c r="A50" s="2897" t="s">
        <v>2578</v>
      </c>
      <c r="B50" s="2898">
        <f t="shared" si="178"/>
        <v>232.06990378821649</v>
      </c>
      <c r="C50" s="2898">
        <f t="shared" si="178"/>
        <v>192.74878854286936</v>
      </c>
      <c r="D50" s="2898">
        <f t="shared" si="164"/>
        <v>192.74878854286936</v>
      </c>
      <c r="E50" s="2898">
        <f t="shared" si="179"/>
        <v>319.71247284992984</v>
      </c>
      <c r="F50" s="2898">
        <f t="shared" si="179"/>
        <v>175.67053622862409</v>
      </c>
      <c r="G50" s="3552">
        <v>2010</v>
      </c>
      <c r="H50" s="2899">
        <v>1</v>
      </c>
      <c r="I50" s="2899">
        <v>5.4</v>
      </c>
      <c r="J50" s="2899">
        <v>3.2</v>
      </c>
      <c r="K50" s="2899">
        <v>6.16</v>
      </c>
      <c r="L50" s="2905">
        <v>4.51</v>
      </c>
      <c r="N50" s="2900">
        <f t="shared" si="166"/>
        <v>5.4000000000000006E-2</v>
      </c>
      <c r="O50" s="2886">
        <f t="shared" si="166"/>
        <v>3.2000000000000001E-2</v>
      </c>
      <c r="P50" s="2886">
        <f t="shared" si="166"/>
        <v>6.1600000000000002E-2</v>
      </c>
      <c r="Q50" s="2886">
        <f t="shared" si="166"/>
        <v>4.5100000000000001E-2</v>
      </c>
      <c r="R50" s="2901"/>
      <c r="S50" s="2902">
        <f>B50/B51-1</f>
        <v>5.4863199037347599E-2</v>
      </c>
      <c r="T50" s="2903">
        <f>C50/C51-1</f>
        <v>3.0742184721226584E-2</v>
      </c>
      <c r="U50" s="2903">
        <f>E50/E51-1</f>
        <v>6.2167683886810154E-2</v>
      </c>
      <c r="V50" s="2903">
        <f>F50/F51-1</f>
        <v>4.5657953741810031E-2</v>
      </c>
      <c r="X50" s="2886"/>
      <c r="Y50" s="2886"/>
      <c r="Z50" s="2886"/>
    </row>
    <row r="51" spans="1:26" ht="13.5" thickBot="1">
      <c r="A51" s="2897" t="s">
        <v>2579</v>
      </c>
      <c r="B51" s="2919">
        <v>220</v>
      </c>
      <c r="C51" s="2919">
        <v>187</v>
      </c>
      <c r="D51" s="2919">
        <f t="shared" si="164"/>
        <v>187</v>
      </c>
      <c r="E51" s="2919">
        <v>301</v>
      </c>
      <c r="F51" s="2920">
        <v>168</v>
      </c>
      <c r="G51" s="3550">
        <v>2009</v>
      </c>
      <c r="H51" s="2921">
        <v>4</v>
      </c>
      <c r="I51" s="2921">
        <v>2.2999999999999998</v>
      </c>
      <c r="J51" s="2921">
        <v>1.04</v>
      </c>
      <c r="K51" s="2921">
        <v>2.84</v>
      </c>
      <c r="L51" s="2922">
        <v>0.67</v>
      </c>
      <c r="N51" s="2916">
        <f t="shared" si="166"/>
        <v>2.3E-2</v>
      </c>
      <c r="O51" s="2917">
        <f t="shared" si="166"/>
        <v>1.04E-2</v>
      </c>
      <c r="P51" s="2917">
        <f t="shared" si="166"/>
        <v>2.8399999999999998E-2</v>
      </c>
      <c r="Q51" s="2917">
        <f t="shared" si="166"/>
        <v>6.7000000000000002E-3</v>
      </c>
      <c r="R51" s="2901"/>
      <c r="S51" s="2910"/>
      <c r="T51" s="2911"/>
      <c r="U51" s="2911"/>
      <c r="V51" s="2911"/>
      <c r="X51" s="2911"/>
      <c r="Y51" s="2911"/>
      <c r="Z51" s="2911"/>
    </row>
    <row r="52" spans="1:26">
      <c r="A52" s="2897" t="s">
        <v>2580</v>
      </c>
      <c r="B52" s="2898">
        <f t="shared" ref="B52:C54" si="180">B51/(1+N51)</f>
        <v>215.05376344086022</v>
      </c>
      <c r="C52" s="2898">
        <f t="shared" si="180"/>
        <v>185.0752177355503</v>
      </c>
      <c r="D52" s="2898">
        <f t="shared" si="164"/>
        <v>185.0752177355503</v>
      </c>
      <c r="E52" s="2898">
        <f t="shared" ref="E52:F54" si="181">E51/(1+P51)</f>
        <v>292.68767016725008</v>
      </c>
      <c r="F52" s="2898">
        <f t="shared" si="181"/>
        <v>166.88189132810174</v>
      </c>
      <c r="G52" s="3551">
        <v>2009</v>
      </c>
      <c r="H52" s="2924">
        <v>3</v>
      </c>
      <c r="I52" s="2924">
        <v>2.1</v>
      </c>
      <c r="J52" s="2924">
        <v>1.86</v>
      </c>
      <c r="K52" s="2924">
        <v>2.29</v>
      </c>
      <c r="L52" s="2925">
        <v>0.85</v>
      </c>
      <c r="N52" s="2900">
        <f t="shared" si="166"/>
        <v>2.1000000000000001E-2</v>
      </c>
      <c r="O52" s="2918">
        <f t="shared" si="166"/>
        <v>1.8600000000000002E-2</v>
      </c>
      <c r="P52" s="2918">
        <f t="shared" si="166"/>
        <v>2.29E-2</v>
      </c>
      <c r="Q52" s="2918">
        <f t="shared" si="166"/>
        <v>8.5000000000000006E-3</v>
      </c>
      <c r="R52" s="2901"/>
      <c r="S52" s="2900"/>
      <c r="T52" s="2886"/>
      <c r="U52" s="2886"/>
      <c r="V52" s="2886"/>
    </row>
    <row r="53" spans="1:26">
      <c r="A53" s="2897" t="s">
        <v>2581</v>
      </c>
      <c r="B53" s="2898">
        <f t="shared" si="180"/>
        <v>210.630522469011</v>
      </c>
      <c r="C53" s="2898">
        <f t="shared" si="180"/>
        <v>181.69567812247232</v>
      </c>
      <c r="D53" s="2898">
        <f t="shared" si="164"/>
        <v>181.69567812247232</v>
      </c>
      <c r="E53" s="2898">
        <f t="shared" si="181"/>
        <v>286.13517466736738</v>
      </c>
      <c r="F53" s="2898">
        <f t="shared" si="181"/>
        <v>165.47535084591149</v>
      </c>
      <c r="G53" s="3551">
        <v>2009</v>
      </c>
      <c r="H53" s="2912">
        <v>2</v>
      </c>
      <c r="I53" s="2912">
        <v>0.86</v>
      </c>
      <c r="J53" s="2912">
        <v>-1.1299999999999999</v>
      </c>
      <c r="K53" s="2912">
        <v>1.79</v>
      </c>
      <c r="L53" s="2913">
        <v>-2.0699999999999998</v>
      </c>
      <c r="N53" s="2900">
        <f t="shared" si="166"/>
        <v>8.6E-3</v>
      </c>
      <c r="O53" s="2918">
        <f t="shared" si="166"/>
        <v>-1.1299999999999999E-2</v>
      </c>
      <c r="P53" s="2918">
        <f t="shared" si="166"/>
        <v>1.7899999999999999E-2</v>
      </c>
      <c r="Q53" s="2918">
        <f t="shared" si="166"/>
        <v>-2.07E-2</v>
      </c>
      <c r="R53" s="2901"/>
      <c r="S53" s="2900"/>
      <c r="T53" s="2886"/>
      <c r="U53" s="2886"/>
      <c r="V53" s="2886"/>
    </row>
    <row r="54" spans="1:26">
      <c r="A54" s="2897" t="s">
        <v>2582</v>
      </c>
      <c r="B54" s="2898">
        <f t="shared" si="180"/>
        <v>208.83454537875372</v>
      </c>
      <c r="C54" s="2898">
        <f t="shared" si="180"/>
        <v>183.77230517090351</v>
      </c>
      <c r="D54" s="2898">
        <f t="shared" si="164"/>
        <v>183.77230517090351</v>
      </c>
      <c r="E54" s="2898">
        <f t="shared" si="181"/>
        <v>281.10342338870947</v>
      </c>
      <c r="F54" s="2898">
        <f t="shared" si="181"/>
        <v>168.97309388942256</v>
      </c>
      <c r="G54" s="3552">
        <v>2009</v>
      </c>
      <c r="H54" s="2899">
        <v>1</v>
      </c>
      <c r="I54" s="2899">
        <v>-2.64</v>
      </c>
      <c r="J54" s="2899">
        <v>-2.5299999999999998</v>
      </c>
      <c r="K54" s="2899">
        <v>-3.02</v>
      </c>
      <c r="L54" s="2905">
        <v>1.52</v>
      </c>
      <c r="N54" s="2902">
        <f t="shared" si="166"/>
        <v>-2.64E-2</v>
      </c>
      <c r="O54" s="2903">
        <f t="shared" si="166"/>
        <v>-2.53E-2</v>
      </c>
      <c r="P54" s="2903">
        <f t="shared" si="166"/>
        <v>-3.0200000000000001E-2</v>
      </c>
      <c r="Q54" s="2903">
        <f t="shared" si="166"/>
        <v>1.52E-2</v>
      </c>
      <c r="R54" s="2901"/>
      <c r="S54" s="2902">
        <f>B54/B55-1</f>
        <v>-2.4137638417038754E-2</v>
      </c>
      <c r="T54" s="2903">
        <f>C54/C55-1</f>
        <v>-2.248773845264096E-2</v>
      </c>
      <c r="U54" s="2903">
        <f>E54/E55-1</f>
        <v>-2.7323794502735366E-2</v>
      </c>
      <c r="V54" s="2903">
        <f>F54/F55-1</f>
        <v>1.7910204153148035E-2</v>
      </c>
      <c r="X54" s="2886"/>
      <c r="Y54" s="2886"/>
      <c r="Z54" s="2886"/>
    </row>
    <row r="55" spans="1:26" ht="13.5" thickBot="1">
      <c r="A55" s="2897" t="s">
        <v>2583</v>
      </c>
      <c r="B55" s="2947">
        <v>214</v>
      </c>
      <c r="C55" s="2947">
        <v>188</v>
      </c>
      <c r="D55" s="2947">
        <f t="shared" si="164"/>
        <v>188</v>
      </c>
      <c r="E55" s="2947">
        <v>289</v>
      </c>
      <c r="F55" s="2948">
        <v>166</v>
      </c>
      <c r="G55" s="3550">
        <v>2008</v>
      </c>
      <c r="H55" s="2921">
        <v>4</v>
      </c>
      <c r="I55" s="2921">
        <v>1.73</v>
      </c>
      <c r="J55" s="2921">
        <v>0.03</v>
      </c>
      <c r="K55" s="2921">
        <v>2.59</v>
      </c>
      <c r="L55" s="2922">
        <v>-1.66</v>
      </c>
      <c r="N55" s="2900">
        <f t="shared" si="166"/>
        <v>1.7299999999999999E-2</v>
      </c>
      <c r="O55" s="2886">
        <f t="shared" si="166"/>
        <v>2.9999999999999997E-4</v>
      </c>
      <c r="P55" s="2886">
        <f t="shared" si="166"/>
        <v>2.5899999999999999E-2</v>
      </c>
      <c r="Q55" s="2886">
        <f t="shared" si="166"/>
        <v>-1.66E-2</v>
      </c>
      <c r="R55" s="2901"/>
      <c r="S55" s="2910"/>
      <c r="T55" s="2911"/>
      <c r="U55" s="2911"/>
      <c r="V55" s="2911"/>
      <c r="X55" s="2911"/>
      <c r="Y55" s="2911"/>
      <c r="Z55" s="2911"/>
    </row>
    <row r="56" spans="1:26">
      <c r="A56" s="2897" t="s">
        <v>2584</v>
      </c>
      <c r="B56" s="2898">
        <f t="shared" ref="B56:C58" si="182">B55/(1+N55)</f>
        <v>210.36075887152265</v>
      </c>
      <c r="C56" s="2898">
        <f t="shared" si="182"/>
        <v>187.94361691492554</v>
      </c>
      <c r="D56" s="2898">
        <f t="shared" si="164"/>
        <v>187.94361691492554</v>
      </c>
      <c r="E56" s="2898">
        <f t="shared" ref="E56:F58" si="183">E55/(1+P55)</f>
        <v>281.70386977288234</v>
      </c>
      <c r="F56" s="2898">
        <f t="shared" si="183"/>
        <v>168.80211511083994</v>
      </c>
      <c r="G56" s="3551">
        <v>2008</v>
      </c>
      <c r="H56" s="2924">
        <v>3</v>
      </c>
      <c r="I56" s="2924">
        <v>1.96</v>
      </c>
      <c r="J56" s="2924">
        <v>2.36</v>
      </c>
      <c r="K56" s="2924">
        <v>1.82</v>
      </c>
      <c r="L56" s="2925">
        <v>2.2200000000000002</v>
      </c>
      <c r="N56" s="2900">
        <f t="shared" si="166"/>
        <v>1.9599999999999999E-2</v>
      </c>
      <c r="O56" s="2886">
        <f t="shared" si="166"/>
        <v>2.3599999999999999E-2</v>
      </c>
      <c r="P56" s="2886">
        <f t="shared" si="166"/>
        <v>1.8200000000000001E-2</v>
      </c>
      <c r="Q56" s="2886">
        <f t="shared" si="166"/>
        <v>2.2200000000000001E-2</v>
      </c>
      <c r="R56" s="2901"/>
      <c r="S56" s="2900"/>
      <c r="T56" s="2886"/>
      <c r="U56" s="2886"/>
      <c r="V56" s="2886"/>
    </row>
    <row r="57" spans="1:26">
      <c r="A57" s="2897" t="s">
        <v>2585</v>
      </c>
      <c r="B57" s="2898">
        <f t="shared" si="182"/>
        <v>206.31694671589116</v>
      </c>
      <c r="C57" s="2898">
        <f t="shared" si="182"/>
        <v>183.61041121036101</v>
      </c>
      <c r="D57" s="2898">
        <f t="shared" si="164"/>
        <v>183.61041121036101</v>
      </c>
      <c r="E57" s="2898">
        <f t="shared" si="183"/>
        <v>276.66850301795557</v>
      </c>
      <c r="F57" s="2898">
        <f t="shared" si="183"/>
        <v>165.1360938278614</v>
      </c>
      <c r="G57" s="3551">
        <v>2008</v>
      </c>
      <c r="H57" s="2912">
        <v>2</v>
      </c>
      <c r="I57" s="2912">
        <v>4.93</v>
      </c>
      <c r="J57" s="2912">
        <v>7.38</v>
      </c>
      <c r="K57" s="2912">
        <v>3.98</v>
      </c>
      <c r="L57" s="2913">
        <v>6.86</v>
      </c>
      <c r="N57" s="2900">
        <f t="shared" si="166"/>
        <v>4.9299999999999997E-2</v>
      </c>
      <c r="O57" s="2886">
        <f t="shared" si="166"/>
        <v>7.3800000000000004E-2</v>
      </c>
      <c r="P57" s="2886">
        <f t="shared" si="166"/>
        <v>3.9800000000000002E-2</v>
      </c>
      <c r="Q57" s="2886">
        <f t="shared" si="166"/>
        <v>6.8600000000000008E-2</v>
      </c>
      <c r="R57" s="2901"/>
      <c r="S57" s="2900"/>
      <c r="T57" s="2886"/>
      <c r="U57" s="2886"/>
      <c r="V57" s="2886"/>
    </row>
    <row r="58" spans="1:26" s="2953" customFormat="1" ht="13.5" thickBot="1">
      <c r="A58" s="2897" t="s">
        <v>2586</v>
      </c>
      <c r="B58" s="2950">
        <f t="shared" si="182"/>
        <v>196.62341248059772</v>
      </c>
      <c r="C58" s="2950">
        <f t="shared" si="182"/>
        <v>170.99125648199012</v>
      </c>
      <c r="D58" s="2950">
        <f t="shared" si="164"/>
        <v>170.99125648199012</v>
      </c>
      <c r="E58" s="2950">
        <f t="shared" si="183"/>
        <v>266.07857570490052</v>
      </c>
      <c r="F58" s="2950">
        <f t="shared" si="183"/>
        <v>154.53499328828505</v>
      </c>
      <c r="G58" s="3552">
        <v>2008</v>
      </c>
      <c r="H58" s="2951">
        <v>1</v>
      </c>
      <c r="I58" s="2951">
        <v>4.1399999999999997</v>
      </c>
      <c r="J58" s="2951">
        <v>3.45</v>
      </c>
      <c r="K58" s="2951">
        <v>4.95</v>
      </c>
      <c r="L58" s="2952">
        <v>4.82</v>
      </c>
      <c r="N58" s="2954">
        <f t="shared" si="166"/>
        <v>4.1399999999999999E-2</v>
      </c>
      <c r="O58" s="2955">
        <f t="shared" si="166"/>
        <v>3.4500000000000003E-2</v>
      </c>
      <c r="P58" s="2955">
        <f t="shared" si="166"/>
        <v>4.9500000000000002E-2</v>
      </c>
      <c r="Q58" s="2955">
        <f t="shared" si="166"/>
        <v>4.82E-2</v>
      </c>
      <c r="R58" s="2956"/>
      <c r="S58" s="2954">
        <f>B58/B59-1</f>
        <v>4.5869215322328349E-2</v>
      </c>
      <c r="T58" s="2955">
        <f>C58/C59-1</f>
        <v>3.6310645345394743E-2</v>
      </c>
      <c r="U58" s="2955">
        <f>E58/E59-1</f>
        <v>4.7553447657088688E-2</v>
      </c>
      <c r="V58" s="2955">
        <f>F58/F59-1</f>
        <v>4.4155360055980086E-2</v>
      </c>
      <c r="X58" s="2955"/>
      <c r="Y58" s="2955"/>
      <c r="Z58" s="2955"/>
    </row>
    <row r="59" spans="1:26" ht="13.5" thickBot="1">
      <c r="A59" s="2897" t="s">
        <v>2587</v>
      </c>
      <c r="B59" s="2919">
        <v>188</v>
      </c>
      <c r="C59" s="2919">
        <v>165</v>
      </c>
      <c r="D59" s="2919">
        <f t="shared" si="164"/>
        <v>165</v>
      </c>
      <c r="E59" s="2919">
        <v>254</v>
      </c>
      <c r="F59" s="2920">
        <v>148</v>
      </c>
      <c r="G59" s="3550">
        <v>2007</v>
      </c>
      <c r="H59" s="2957">
        <v>4</v>
      </c>
      <c r="I59" s="2957">
        <v>5.51</v>
      </c>
      <c r="J59" s="2957">
        <v>4.8899999999999997</v>
      </c>
      <c r="K59" s="2957">
        <v>6.43</v>
      </c>
      <c r="L59" s="2958">
        <v>5.36</v>
      </c>
      <c r="N59" s="2959">
        <f t="shared" ref="N59:O62" si="184">B59/B60-1</f>
        <v>4.1339718365245526E-2</v>
      </c>
      <c r="O59" s="2960">
        <f t="shared" si="184"/>
        <v>4.0324492593776018E-2</v>
      </c>
      <c r="P59" s="2960">
        <f t="shared" ref="P59:Q62" si="185">E59/E60-1</f>
        <v>6.1625555347990968E-2</v>
      </c>
      <c r="Q59" s="2960">
        <f t="shared" si="185"/>
        <v>4.6757569250590603E-2</v>
      </c>
      <c r="R59" s="2901"/>
      <c r="S59" s="2910"/>
      <c r="T59" s="2911"/>
      <c r="U59" s="2911"/>
      <c r="V59" s="2911"/>
      <c r="X59" s="2911"/>
      <c r="Y59" s="2911"/>
      <c r="Z59" s="2911"/>
    </row>
    <row r="60" spans="1:26">
      <c r="A60" s="2897" t="s">
        <v>2588</v>
      </c>
      <c r="B60" s="2898">
        <f t="shared" ref="B60:C62" si="186">B61+(B$59-B$63)*I60/SUM(I$59:I$62)</f>
        <v>180.5366651097618</v>
      </c>
      <c r="C60" s="2898">
        <f t="shared" si="186"/>
        <v>158.60435967302453</v>
      </c>
      <c r="D60" s="2898">
        <f t="shared" si="164"/>
        <v>158.60435967302453</v>
      </c>
      <c r="E60" s="2898">
        <f t="shared" ref="E60:F62" si="187">E61+(E$59-E$63)*K60/SUM(K$59:K$62)</f>
        <v>239.25573260785075</v>
      </c>
      <c r="F60" s="2898">
        <f t="shared" si="187"/>
        <v>141.38899430740037</v>
      </c>
      <c r="G60" s="3551">
        <v>2007</v>
      </c>
      <c r="H60" s="2924">
        <v>3</v>
      </c>
      <c r="I60" s="2924">
        <v>8.65</v>
      </c>
      <c r="J60" s="2924">
        <v>8.06</v>
      </c>
      <c r="K60" s="2924">
        <v>9.94</v>
      </c>
      <c r="L60" s="2925">
        <v>5.8</v>
      </c>
      <c r="N60" s="2959">
        <f t="shared" si="184"/>
        <v>6.940217571740015E-2</v>
      </c>
      <c r="O60" s="2960">
        <f t="shared" si="184"/>
        <v>7.1197482471153428E-2</v>
      </c>
      <c r="P60" s="2960">
        <f t="shared" si="185"/>
        <v>0.10529679922579582</v>
      </c>
      <c r="Q60" s="2960">
        <f t="shared" si="185"/>
        <v>5.3292245059512133E-2</v>
      </c>
      <c r="R60" s="2901"/>
      <c r="S60" s="2900"/>
      <c r="T60" s="2886"/>
      <c r="U60" s="2886"/>
      <c r="V60" s="2886"/>
      <c r="X60" s="2961"/>
      <c r="Y60" s="2961"/>
      <c r="Z60" s="2961"/>
    </row>
    <row r="61" spans="1:26">
      <c r="A61" s="2897" t="s">
        <v>2589</v>
      </c>
      <c r="B61" s="2898">
        <f t="shared" si="186"/>
        <v>168.82017748715555</v>
      </c>
      <c r="C61" s="2898">
        <f t="shared" si="186"/>
        <v>148.06267029972753</v>
      </c>
      <c r="D61" s="2898">
        <f t="shared" si="164"/>
        <v>148.06267029972753</v>
      </c>
      <c r="E61" s="2898">
        <f t="shared" si="187"/>
        <v>216.46288379323747</v>
      </c>
      <c r="F61" s="2898">
        <f t="shared" si="187"/>
        <v>134.23529411764704</v>
      </c>
      <c r="G61" s="3551">
        <v>2007</v>
      </c>
      <c r="H61" s="2912">
        <v>2</v>
      </c>
      <c r="I61" s="2912">
        <v>3.67</v>
      </c>
      <c r="J61" s="2912">
        <v>2.3199999999999998</v>
      </c>
      <c r="K61" s="2912">
        <v>5.0199999999999996</v>
      </c>
      <c r="L61" s="2913">
        <v>6.71</v>
      </c>
      <c r="N61" s="2959">
        <f t="shared" si="184"/>
        <v>3.0339138143848032E-2</v>
      </c>
      <c r="O61" s="2960">
        <f t="shared" si="184"/>
        <v>2.0922341588790472E-2</v>
      </c>
      <c r="P61" s="2960">
        <f t="shared" si="185"/>
        <v>5.6164796592717003E-2</v>
      </c>
      <c r="Q61" s="2960">
        <f t="shared" si="185"/>
        <v>6.5704536723887319E-2</v>
      </c>
      <c r="R61" s="2901"/>
      <c r="S61" s="2900"/>
      <c r="T61" s="2886"/>
      <c r="U61" s="2886"/>
      <c r="V61" s="2886"/>
      <c r="X61" s="2961"/>
      <c r="Y61" s="2961"/>
      <c r="Z61" s="2961"/>
    </row>
    <row r="62" spans="1:26">
      <c r="A62" s="2897" t="s">
        <v>2590</v>
      </c>
      <c r="B62" s="2898">
        <f t="shared" si="186"/>
        <v>163.84913591779542</v>
      </c>
      <c r="C62" s="2898">
        <f t="shared" si="186"/>
        <v>145.0283378746594</v>
      </c>
      <c r="D62" s="2898">
        <f t="shared" si="164"/>
        <v>145.0283378746594</v>
      </c>
      <c r="E62" s="2898">
        <f t="shared" si="187"/>
        <v>204.95180722891567</v>
      </c>
      <c r="F62" s="2898">
        <f t="shared" si="187"/>
        <v>125.95920303605313</v>
      </c>
      <c r="G62" s="3552">
        <v>2007</v>
      </c>
      <c r="H62" s="2899">
        <v>1</v>
      </c>
      <c r="I62" s="2899">
        <v>3.58</v>
      </c>
      <c r="J62" s="2899">
        <v>3.08</v>
      </c>
      <c r="K62" s="2899">
        <v>4.34</v>
      </c>
      <c r="L62" s="2905">
        <v>3.21</v>
      </c>
      <c r="N62" s="2962">
        <f t="shared" si="184"/>
        <v>3.0497710174814063E-2</v>
      </c>
      <c r="O62" s="2963">
        <f t="shared" si="184"/>
        <v>2.8569772160704998E-2</v>
      </c>
      <c r="P62" s="2963">
        <f t="shared" si="185"/>
        <v>5.1034908866234296E-2</v>
      </c>
      <c r="Q62" s="2963">
        <f t="shared" si="185"/>
        <v>3.245248390207478E-2</v>
      </c>
      <c r="R62" s="2901"/>
      <c r="S62" s="2902">
        <f>B62/B63-1</f>
        <v>3.0497710174814063E-2</v>
      </c>
      <c r="T62" s="2903">
        <f>C62/C63-1</f>
        <v>2.8569772160704998E-2</v>
      </c>
      <c r="U62" s="2903">
        <f>E62/E63-1</f>
        <v>5.1034908866234296E-2</v>
      </c>
      <c r="V62" s="2903">
        <f>F62/F63-1</f>
        <v>3.245248390207478E-2</v>
      </c>
      <c r="X62" s="2961"/>
      <c r="Y62" s="2961"/>
      <c r="Z62" s="2961"/>
    </row>
    <row r="63" spans="1:26" ht="13.5" thickBot="1">
      <c r="A63" s="2897" t="s">
        <v>2591</v>
      </c>
      <c r="B63" s="2926">
        <v>159</v>
      </c>
      <c r="C63" s="2926">
        <v>141</v>
      </c>
      <c r="D63" s="2926">
        <f t="shared" si="164"/>
        <v>141</v>
      </c>
      <c r="E63" s="2926">
        <v>195</v>
      </c>
      <c r="F63" s="2927">
        <v>122</v>
      </c>
      <c r="G63" s="3550">
        <v>2006</v>
      </c>
      <c r="H63" s="2921">
        <v>4</v>
      </c>
      <c r="I63" s="2921">
        <v>3.79</v>
      </c>
      <c r="J63" s="2921">
        <v>2.21</v>
      </c>
      <c r="K63" s="2921">
        <v>5.65</v>
      </c>
      <c r="L63" s="2922">
        <v>5.41</v>
      </c>
      <c r="N63" s="2959">
        <f t="shared" ref="N63:O66" si="188">I63/SUM(I$63:I$66)*(B$63/B$67-1)</f>
        <v>7.245466462748526E-2</v>
      </c>
      <c r="O63" s="2960">
        <f t="shared" si="188"/>
        <v>2.3237230038062766E-2</v>
      </c>
      <c r="P63" s="2960">
        <f t="shared" ref="P63:Q66" si="189">K63/SUM(K$63:K$66)*(E$63/E$67-1)</f>
        <v>0.16146893866323722</v>
      </c>
      <c r="Q63" s="2960">
        <f t="shared" si="189"/>
        <v>5.0755230321793784E-2</v>
      </c>
      <c r="R63" s="2901"/>
      <c r="S63" s="2910"/>
      <c r="T63" s="2911"/>
      <c r="U63" s="2911"/>
      <c r="V63" s="2911"/>
      <c r="X63" s="2961"/>
      <c r="Y63" s="2961"/>
      <c r="Z63" s="2961"/>
    </row>
    <row r="64" spans="1:26">
      <c r="A64" s="2897" t="s">
        <v>2592</v>
      </c>
      <c r="B64" s="2898">
        <f t="shared" ref="B64:C66" si="190">B65+(B$63-B$67)*I64/SUM(I$63:I$66)</f>
        <v>149.00125628140702</v>
      </c>
      <c r="C64" s="2898">
        <f t="shared" si="190"/>
        <v>137.95592286501378</v>
      </c>
      <c r="D64" s="2898">
        <f t="shared" si="164"/>
        <v>137.95592286501378</v>
      </c>
      <c r="E64" s="2898">
        <f t="shared" ref="E64:F66" si="191">E65+(E$63-E$67)*K64/SUM(K$63:K$66)</f>
        <v>169.97231450719823</v>
      </c>
      <c r="F64" s="2898">
        <f t="shared" si="191"/>
        <v>116.21390374331551</v>
      </c>
      <c r="G64" s="3551">
        <v>2006</v>
      </c>
      <c r="H64" s="2924">
        <v>3</v>
      </c>
      <c r="I64" s="2924">
        <v>0.92</v>
      </c>
      <c r="J64" s="2924">
        <v>1.08</v>
      </c>
      <c r="K64" s="2924">
        <v>0.73</v>
      </c>
      <c r="L64" s="2925">
        <v>1.08</v>
      </c>
      <c r="N64" s="2959">
        <f t="shared" si="188"/>
        <v>1.7587939698492462E-2</v>
      </c>
      <c r="O64" s="2960">
        <f t="shared" si="188"/>
        <v>1.1355750425840628E-2</v>
      </c>
      <c r="P64" s="2960">
        <f t="shared" si="189"/>
        <v>2.0862358446754544E-2</v>
      </c>
      <c r="Q64" s="2960">
        <f t="shared" si="189"/>
        <v>1.0132282578103011E-2</v>
      </c>
      <c r="R64" s="2901"/>
      <c r="S64" s="2900"/>
      <c r="T64" s="2886"/>
      <c r="U64" s="2886"/>
      <c r="V64" s="2886"/>
      <c r="X64" s="2961"/>
      <c r="Y64" s="2961"/>
      <c r="Z64" s="2961"/>
    </row>
    <row r="65" spans="1:26">
      <c r="A65" s="2897" t="s">
        <v>2593</v>
      </c>
      <c r="B65" s="2898">
        <f t="shared" si="190"/>
        <v>146.57412060301507</v>
      </c>
      <c r="C65" s="2898">
        <f t="shared" si="190"/>
        <v>136.46831955922866</v>
      </c>
      <c r="D65" s="2898">
        <f t="shared" si="164"/>
        <v>136.46831955922866</v>
      </c>
      <c r="E65" s="2898">
        <f t="shared" si="191"/>
        <v>166.73864894795128</v>
      </c>
      <c r="F65" s="2898">
        <f t="shared" si="191"/>
        <v>115.05882352941177</v>
      </c>
      <c r="G65" s="3551">
        <v>2006</v>
      </c>
      <c r="H65" s="2912">
        <v>2</v>
      </c>
      <c r="I65" s="2912">
        <v>0.96</v>
      </c>
      <c r="J65" s="2912">
        <v>0.25</v>
      </c>
      <c r="K65" s="2912">
        <v>1.9</v>
      </c>
      <c r="L65" s="2913">
        <v>0.95</v>
      </c>
      <c r="N65" s="2959">
        <f t="shared" si="188"/>
        <v>1.8352632728861701E-2</v>
      </c>
      <c r="O65" s="2960">
        <f t="shared" si="188"/>
        <v>2.6286459319075526E-3</v>
      </c>
      <c r="P65" s="2960">
        <f t="shared" si="189"/>
        <v>5.4299289107991269E-2</v>
      </c>
      <c r="Q65" s="2960">
        <f t="shared" si="189"/>
        <v>8.9126559714794995E-3</v>
      </c>
      <c r="R65" s="2901"/>
      <c r="S65" s="2900"/>
      <c r="T65" s="2886"/>
      <c r="U65" s="2886"/>
      <c r="V65" s="2886"/>
      <c r="X65" s="2961"/>
      <c r="Y65" s="2961"/>
      <c r="Z65" s="2961"/>
    </row>
    <row r="66" spans="1:26">
      <c r="A66" s="2897" t="s">
        <v>2594</v>
      </c>
      <c r="B66" s="2898">
        <f t="shared" si="190"/>
        <v>144.04145728643215</v>
      </c>
      <c r="C66" s="2898">
        <f t="shared" si="190"/>
        <v>136.12396694214877</v>
      </c>
      <c r="D66" s="2898">
        <f t="shared" si="164"/>
        <v>136.12396694214877</v>
      </c>
      <c r="E66" s="2898">
        <f t="shared" si="191"/>
        <v>158.32225913621264</v>
      </c>
      <c r="F66" s="2898">
        <f t="shared" si="191"/>
        <v>114.04278074866311</v>
      </c>
      <c r="G66" s="3552">
        <v>2006</v>
      </c>
      <c r="H66" s="2899">
        <v>1</v>
      </c>
      <c r="I66" s="2899">
        <v>2.29</v>
      </c>
      <c r="J66" s="2899">
        <v>3.72</v>
      </c>
      <c r="K66" s="2899">
        <v>0.75</v>
      </c>
      <c r="L66" s="2905">
        <v>0.04</v>
      </c>
      <c r="N66" s="2962">
        <f t="shared" si="188"/>
        <v>4.3778675988638847E-2</v>
      </c>
      <c r="O66" s="2963">
        <f t="shared" si="188"/>
        <v>3.9114251466784385E-2</v>
      </c>
      <c r="P66" s="2963">
        <f t="shared" si="189"/>
        <v>2.1433929911049188E-2</v>
      </c>
      <c r="Q66" s="2963">
        <f t="shared" si="189"/>
        <v>3.7526972511492629E-4</v>
      </c>
      <c r="R66" s="2901"/>
      <c r="S66" s="2902">
        <f>B66/B67-1</f>
        <v>4.3778675988638716E-2</v>
      </c>
      <c r="T66" s="2903">
        <f>C66/C67-1</f>
        <v>3.91142514667846E-2</v>
      </c>
      <c r="U66" s="2903">
        <f>E66/E67-1</f>
        <v>2.143392991104931E-2</v>
      </c>
      <c r="V66" s="2903">
        <f>F66/F67-1</f>
        <v>3.7526972511492396E-4</v>
      </c>
      <c r="X66" s="2961"/>
      <c r="Y66" s="2961"/>
      <c r="Z66" s="2961"/>
    </row>
    <row r="67" spans="1:26" ht="13.5" thickBot="1">
      <c r="A67" s="2897" t="s">
        <v>2595</v>
      </c>
      <c r="B67" s="2926">
        <v>138</v>
      </c>
      <c r="C67" s="2926">
        <v>131</v>
      </c>
      <c r="D67" s="2926">
        <f t="shared" si="164"/>
        <v>131</v>
      </c>
      <c r="E67" s="2926">
        <v>155</v>
      </c>
      <c r="F67" s="2927">
        <v>114</v>
      </c>
      <c r="G67" s="3550">
        <v>2005</v>
      </c>
      <c r="H67" s="2921">
        <v>4</v>
      </c>
      <c r="I67" s="2921">
        <v>3.29</v>
      </c>
      <c r="J67" s="2921">
        <v>1.44</v>
      </c>
      <c r="K67" s="2921">
        <v>0.66</v>
      </c>
      <c r="L67" s="2922">
        <v>7.78</v>
      </c>
      <c r="N67" s="2959">
        <f t="shared" ref="N67:O70" si="192">I67/SUM(I$67:I$70)*(B$67/B$71-1)</f>
        <v>9.9404603216919935E-2</v>
      </c>
      <c r="O67" s="2960">
        <f t="shared" si="192"/>
        <v>4.7636550760861554E-2</v>
      </c>
      <c r="P67" s="2960">
        <f t="shared" ref="P67:Q70" si="193">K67/SUM(K$67:K$70)*(E$67/E$71-1)</f>
        <v>8.3756345177664976E-2</v>
      </c>
      <c r="Q67" s="2960">
        <f t="shared" si="193"/>
        <v>5.2148766661559584E-2</v>
      </c>
      <c r="R67" s="2901"/>
      <c r="S67" s="2910"/>
      <c r="T67" s="2911"/>
      <c r="U67" s="2911"/>
      <c r="V67" s="2911"/>
      <c r="X67" s="2961"/>
      <c r="Y67" s="2961"/>
      <c r="Z67" s="2961"/>
    </row>
    <row r="68" spans="1:26">
      <c r="A68" s="2897" t="s">
        <v>2596</v>
      </c>
      <c r="B68" s="2898">
        <f t="shared" ref="B68:C70" si="194">B69+(B$67-B$71)*I68/SUM(I$67:I$70)</f>
        <v>125.9720430107527</v>
      </c>
      <c r="C68" s="2898">
        <f t="shared" si="194"/>
        <v>125.1883408071749</v>
      </c>
      <c r="D68" s="2898">
        <f t="shared" si="164"/>
        <v>125.1883408071749</v>
      </c>
      <c r="E68" s="2898">
        <f t="shared" ref="E68:F70" si="195">E69+(E$67-E$71)*K68/SUM(K$67:K$70)</f>
        <v>144.61421319796952</v>
      </c>
      <c r="F68" s="2898">
        <f t="shared" si="195"/>
        <v>108.42008196721311</v>
      </c>
      <c r="G68" s="3551">
        <v>2005</v>
      </c>
      <c r="H68" s="2924">
        <v>3</v>
      </c>
      <c r="I68" s="2924">
        <v>0.46</v>
      </c>
      <c r="J68" s="2924">
        <v>0.32</v>
      </c>
      <c r="K68" s="2924">
        <v>0.42</v>
      </c>
      <c r="L68" s="2925">
        <v>0.64</v>
      </c>
      <c r="N68" s="2959">
        <f t="shared" si="192"/>
        <v>1.3898515951301874E-2</v>
      </c>
      <c r="O68" s="2960">
        <f t="shared" si="192"/>
        <v>1.0585900169080346E-2</v>
      </c>
      <c r="P68" s="2960">
        <f t="shared" si="193"/>
        <v>5.3299492385786795E-2</v>
      </c>
      <c r="Q68" s="2960">
        <f t="shared" si="193"/>
        <v>4.2898728359123568E-3</v>
      </c>
      <c r="R68" s="2901"/>
      <c r="S68" s="2900"/>
      <c r="T68" s="2886"/>
      <c r="U68" s="2886"/>
      <c r="V68" s="2886"/>
      <c r="X68" s="2961"/>
      <c r="Y68" s="2961"/>
      <c r="Z68" s="2961"/>
    </row>
    <row r="69" spans="1:26">
      <c r="A69" s="2897" t="s">
        <v>2597</v>
      </c>
      <c r="B69" s="2898">
        <f t="shared" si="194"/>
        <v>124.29032258064517</v>
      </c>
      <c r="C69" s="2898">
        <f t="shared" si="194"/>
        <v>123.8968609865471</v>
      </c>
      <c r="D69" s="2898">
        <f t="shared" si="164"/>
        <v>123.8968609865471</v>
      </c>
      <c r="E69" s="2898">
        <f t="shared" si="195"/>
        <v>138.00507614213197</v>
      </c>
      <c r="F69" s="2898">
        <f t="shared" si="195"/>
        <v>107.96106557377048</v>
      </c>
      <c r="G69" s="3551">
        <v>2005</v>
      </c>
      <c r="H69" s="2912">
        <v>2</v>
      </c>
      <c r="I69" s="2912">
        <v>0.47</v>
      </c>
      <c r="J69" s="2912">
        <v>0.1</v>
      </c>
      <c r="K69" s="2912">
        <v>0.52</v>
      </c>
      <c r="L69" s="2913">
        <v>0.79</v>
      </c>
      <c r="N69" s="2959">
        <f t="shared" si="192"/>
        <v>1.420065760241713E-2</v>
      </c>
      <c r="O69" s="2960">
        <f t="shared" si="192"/>
        <v>3.3080938028376083E-3</v>
      </c>
      <c r="P69" s="2960">
        <f t="shared" si="193"/>
        <v>6.598984771573603E-2</v>
      </c>
      <c r="Q69" s="2960">
        <f t="shared" si="193"/>
        <v>5.2953117818293153E-3</v>
      </c>
      <c r="R69" s="2901"/>
      <c r="S69" s="2900"/>
      <c r="T69" s="2886"/>
      <c r="U69" s="2886"/>
      <c r="V69" s="2886"/>
      <c r="X69" s="2961"/>
      <c r="Y69" s="2961"/>
      <c r="Z69" s="2961"/>
    </row>
    <row r="70" spans="1:26">
      <c r="A70" s="2897" t="s">
        <v>2598</v>
      </c>
      <c r="B70" s="2898">
        <f t="shared" si="194"/>
        <v>122.57204301075269</v>
      </c>
      <c r="C70" s="2898">
        <f t="shared" si="194"/>
        <v>123.4932735426009</v>
      </c>
      <c r="D70" s="2898">
        <f t="shared" si="164"/>
        <v>123.4932735426009</v>
      </c>
      <c r="E70" s="2898">
        <f t="shared" si="195"/>
        <v>129.82233502538071</v>
      </c>
      <c r="F70" s="2898">
        <f t="shared" si="195"/>
        <v>107.39446721311475</v>
      </c>
      <c r="G70" s="3552">
        <v>2005</v>
      </c>
      <c r="H70" s="2899">
        <v>1</v>
      </c>
      <c r="I70" s="2899">
        <v>0.43</v>
      </c>
      <c r="J70" s="2899">
        <v>0.37</v>
      </c>
      <c r="K70" s="2899">
        <v>0.37</v>
      </c>
      <c r="L70" s="2905">
        <v>0.55000000000000004</v>
      </c>
      <c r="N70" s="2962">
        <f t="shared" si="192"/>
        <v>1.2992090997956099E-2</v>
      </c>
      <c r="O70" s="2963">
        <f t="shared" si="192"/>
        <v>1.2239947070499151E-2</v>
      </c>
      <c r="P70" s="2963">
        <f t="shared" si="193"/>
        <v>4.6954314720812178E-2</v>
      </c>
      <c r="Q70" s="2963">
        <f t="shared" si="193"/>
        <v>3.6866094683621815E-3</v>
      </c>
      <c r="R70" s="2901"/>
      <c r="S70" s="2902">
        <f>B70/B71-1</f>
        <v>1.2992090997956174E-2</v>
      </c>
      <c r="T70" s="2903">
        <f>C70/C71-1</f>
        <v>1.2239947070499246E-2</v>
      </c>
      <c r="U70" s="2903">
        <f>E70/E71-1</f>
        <v>4.695431472081224E-2</v>
      </c>
      <c r="V70" s="2903">
        <f>F70/F71-1</f>
        <v>3.6866094683620787E-3</v>
      </c>
      <c r="X70" s="2961"/>
      <c r="Y70" s="2961"/>
      <c r="Z70" s="2961"/>
    </row>
    <row r="71" spans="1:26" ht="13.5" thickBot="1">
      <c r="A71" s="2897" t="s">
        <v>2599</v>
      </c>
      <c r="B71" s="2947">
        <v>121</v>
      </c>
      <c r="C71" s="2947">
        <v>122</v>
      </c>
      <c r="D71" s="2947">
        <f t="shared" si="164"/>
        <v>122</v>
      </c>
      <c r="E71" s="2947">
        <v>124</v>
      </c>
      <c r="F71" s="2948">
        <v>107</v>
      </c>
      <c r="G71" s="3550">
        <v>2004</v>
      </c>
      <c r="H71" s="2921">
        <v>4</v>
      </c>
      <c r="I71" s="2921">
        <v>0.33</v>
      </c>
      <c r="J71" s="2921">
        <v>0.5</v>
      </c>
      <c r="K71" s="2921">
        <v>0.5</v>
      </c>
      <c r="L71" s="2922">
        <v>0</v>
      </c>
      <c r="N71" s="2959">
        <f t="shared" ref="N71:O74" si="196">I71/SUM(I$71:I$74)*(B$71/B$75-1)</f>
        <v>1.3391770148526898E-2</v>
      </c>
      <c r="O71" s="2960">
        <f t="shared" si="196"/>
        <v>1.063264221158958E-2</v>
      </c>
      <c r="P71" s="2960">
        <f t="shared" ref="P71:Q74" si="197">K71/SUM(K$71:K$74)*(E$71/E$75-1)</f>
        <v>2.2244466688911134E-2</v>
      </c>
      <c r="Q71" s="2960">
        <f t="shared" si="197"/>
        <v>0</v>
      </c>
      <c r="R71" s="2901"/>
      <c r="S71" s="2910"/>
      <c r="T71" s="2911"/>
      <c r="U71" s="2911"/>
      <c r="V71" s="2911"/>
      <c r="X71" s="2961"/>
      <c r="Y71" s="2961"/>
      <c r="Z71" s="2961"/>
    </row>
    <row r="72" spans="1:26">
      <c r="A72" s="2897" t="s">
        <v>2600</v>
      </c>
      <c r="B72" s="2898">
        <f t="shared" ref="B72:C74" si="198">B73+(B$71-B$75)*I72/SUM(I$71:I$74)</f>
        <v>119.51351351351352</v>
      </c>
      <c r="C72" s="2898">
        <f t="shared" si="198"/>
        <v>120.7878787878788</v>
      </c>
      <c r="D72" s="2898">
        <f t="shared" si="164"/>
        <v>120.7878787878788</v>
      </c>
      <c r="E72" s="2898">
        <f t="shared" ref="E72:F74" si="199">E73+(E$71-E$75)*K72/SUM(K$71:K$74)</f>
        <v>121.5975975975976</v>
      </c>
      <c r="F72" s="2898">
        <f t="shared" si="199"/>
        <v>107</v>
      </c>
      <c r="G72" s="3551">
        <v>2004</v>
      </c>
      <c r="H72" s="2924">
        <v>3</v>
      </c>
      <c r="I72" s="2924">
        <v>0.56000000000000005</v>
      </c>
      <c r="J72" s="2924">
        <v>0.8</v>
      </c>
      <c r="K72" s="2924">
        <v>0.83</v>
      </c>
      <c r="L72" s="2925">
        <v>0.06</v>
      </c>
      <c r="N72" s="2959">
        <f t="shared" si="196"/>
        <v>2.2725428130833527E-2</v>
      </c>
      <c r="O72" s="2960">
        <f t="shared" si="196"/>
        <v>1.7012227538543329E-2</v>
      </c>
      <c r="P72" s="2960">
        <f t="shared" si="197"/>
        <v>3.6925814703592477E-2</v>
      </c>
      <c r="Q72" s="2960">
        <f t="shared" si="197"/>
        <v>2.8846153846153744E-2</v>
      </c>
      <c r="R72" s="2901"/>
      <c r="S72" s="2900"/>
      <c r="T72" s="2886"/>
      <c r="U72" s="2886"/>
      <c r="V72" s="2886"/>
      <c r="X72" s="2961"/>
      <c r="Y72" s="2961"/>
      <c r="Z72" s="2961"/>
    </row>
    <row r="73" spans="1:26">
      <c r="A73" s="2897" t="s">
        <v>2601</v>
      </c>
      <c r="B73" s="2898">
        <f t="shared" si="198"/>
        <v>116.99099099099099</v>
      </c>
      <c r="C73" s="2898">
        <f t="shared" si="198"/>
        <v>118.84848484848486</v>
      </c>
      <c r="D73" s="2898">
        <f t="shared" si="164"/>
        <v>118.84848484848486</v>
      </c>
      <c r="E73" s="2898">
        <f t="shared" si="199"/>
        <v>117.60960960960961</v>
      </c>
      <c r="F73" s="2898">
        <f t="shared" si="199"/>
        <v>104</v>
      </c>
      <c r="G73" s="3551">
        <v>2004</v>
      </c>
      <c r="H73" s="2912">
        <v>2</v>
      </c>
      <c r="I73" s="2912">
        <v>1</v>
      </c>
      <c r="J73" s="2912">
        <v>1.5</v>
      </c>
      <c r="K73" s="2912">
        <v>1.5</v>
      </c>
      <c r="L73" s="2913">
        <v>0</v>
      </c>
      <c r="N73" s="2959">
        <f t="shared" si="196"/>
        <v>4.0581121662202721E-2</v>
      </c>
      <c r="O73" s="2960">
        <f t="shared" si="196"/>
        <v>3.1897926634768738E-2</v>
      </c>
      <c r="P73" s="2960">
        <f t="shared" si="197"/>
        <v>6.6733400066733395E-2</v>
      </c>
      <c r="Q73" s="2960">
        <f t="shared" si="197"/>
        <v>0</v>
      </c>
      <c r="R73" s="2901"/>
      <c r="S73" s="2900"/>
      <c r="T73" s="2886"/>
      <c r="U73" s="2886"/>
      <c r="V73" s="2886"/>
      <c r="X73" s="2961"/>
      <c r="Y73" s="2961"/>
      <c r="Z73" s="2961"/>
    </row>
    <row r="74" spans="1:26" s="2953" customFormat="1" ht="13.5" thickBot="1">
      <c r="A74" s="2897" t="s">
        <v>2602</v>
      </c>
      <c r="B74" s="2950">
        <f t="shared" si="198"/>
        <v>112.48648648648648</v>
      </c>
      <c r="C74" s="2950">
        <f t="shared" si="198"/>
        <v>115.21212121212122</v>
      </c>
      <c r="D74" s="2950">
        <f t="shared" si="164"/>
        <v>115.21212121212122</v>
      </c>
      <c r="E74" s="2950">
        <f t="shared" si="199"/>
        <v>110.4024024024024</v>
      </c>
      <c r="F74" s="2950">
        <f t="shared" si="199"/>
        <v>104</v>
      </c>
      <c r="G74" s="3552">
        <v>2004</v>
      </c>
      <c r="H74" s="2951">
        <v>1</v>
      </c>
      <c r="I74" s="2951">
        <v>0.33</v>
      </c>
      <c r="J74" s="2951">
        <v>0.5</v>
      </c>
      <c r="K74" s="2951">
        <v>0.5</v>
      </c>
      <c r="L74" s="2952">
        <v>0</v>
      </c>
      <c r="N74" s="2964">
        <f t="shared" si="196"/>
        <v>1.3391770148526898E-2</v>
      </c>
      <c r="O74" s="2965">
        <f t="shared" si="196"/>
        <v>1.063264221158958E-2</v>
      </c>
      <c r="P74" s="2965">
        <f t="shared" si="197"/>
        <v>2.2244466688911134E-2</v>
      </c>
      <c r="Q74" s="2965">
        <f t="shared" si="197"/>
        <v>0</v>
      </c>
      <c r="R74" s="2956"/>
      <c r="S74" s="2954">
        <f>B74/B75-1</f>
        <v>1.3391770148526883E-2</v>
      </c>
      <c r="T74" s="2955">
        <f>C74/C75-1</f>
        <v>1.063264221158966E-2</v>
      </c>
      <c r="U74" s="2955">
        <f>E74/E75-1</f>
        <v>2.2244466688911224E-2</v>
      </c>
      <c r="V74" s="2955">
        <f>F74/F75-1</f>
        <v>0</v>
      </c>
      <c r="X74" s="2966"/>
      <c r="Y74" s="2966"/>
      <c r="Z74" s="2966"/>
    </row>
    <row r="75" spans="1:26" ht="13.5" thickBot="1">
      <c r="A75" s="2897" t="s">
        <v>2603</v>
      </c>
      <c r="B75" s="2967">
        <v>111</v>
      </c>
      <c r="C75" s="2967">
        <v>114</v>
      </c>
      <c r="D75" s="2967">
        <f t="shared" si="164"/>
        <v>114</v>
      </c>
      <c r="E75" s="2967">
        <v>108</v>
      </c>
      <c r="F75" s="2968">
        <v>104</v>
      </c>
      <c r="G75" s="3550">
        <v>2003</v>
      </c>
      <c r="H75" s="2957">
        <v>4</v>
      </c>
      <c r="I75" s="2969"/>
      <c r="J75" s="2969"/>
      <c r="K75" s="2969"/>
      <c r="L75" s="2969"/>
      <c r="N75" s="2970"/>
      <c r="O75" s="2969"/>
      <c r="P75" s="2969"/>
      <c r="Q75" s="2969"/>
      <c r="S75" s="2970"/>
      <c r="T75" s="2969"/>
      <c r="U75" s="2969"/>
      <c r="V75" s="2969"/>
      <c r="X75" s="2961"/>
      <c r="Y75" s="2961"/>
      <c r="Z75" s="2961"/>
    </row>
    <row r="76" spans="1:26">
      <c r="A76" s="2897" t="s">
        <v>2604</v>
      </c>
      <c r="B76" s="2971">
        <f t="shared" ref="B76:C78" si="200">B77+(B$75-B$79)/4</f>
        <v>109.75</v>
      </c>
      <c r="C76" s="2971">
        <f t="shared" si="200"/>
        <v>112.25</v>
      </c>
      <c r="D76" s="2971">
        <f t="shared" si="164"/>
        <v>112.25</v>
      </c>
      <c r="E76" s="2971">
        <f t="shared" ref="E76:F78" si="201">E77+(E$75-E$79)/4</f>
        <v>107.25</v>
      </c>
      <c r="F76" s="2971">
        <f t="shared" si="201"/>
        <v>103.5</v>
      </c>
      <c r="G76" s="3551">
        <v>2003</v>
      </c>
      <c r="H76" s="2924">
        <v>3</v>
      </c>
      <c r="I76" s="2969"/>
      <c r="J76" s="2969"/>
      <c r="K76" s="2969"/>
      <c r="L76" s="2969"/>
      <c r="X76" s="2961"/>
      <c r="Y76" s="2961"/>
      <c r="Z76" s="2961"/>
    </row>
    <row r="77" spans="1:26">
      <c r="A77" s="2897" t="s">
        <v>2605</v>
      </c>
      <c r="B77" s="2971">
        <f t="shared" si="200"/>
        <v>108.5</v>
      </c>
      <c r="C77" s="2971">
        <f t="shared" si="200"/>
        <v>110.5</v>
      </c>
      <c r="D77" s="2971">
        <f t="shared" si="164"/>
        <v>110.5</v>
      </c>
      <c r="E77" s="2971">
        <f t="shared" si="201"/>
        <v>106.5</v>
      </c>
      <c r="F77" s="2971">
        <f t="shared" si="201"/>
        <v>103</v>
      </c>
      <c r="G77" s="3551">
        <v>2003</v>
      </c>
      <c r="H77" s="2912">
        <v>2</v>
      </c>
      <c r="I77" s="2969"/>
      <c r="J77" s="2969"/>
      <c r="K77" s="2969"/>
      <c r="L77" s="2969"/>
      <c r="X77" s="2961"/>
      <c r="Y77" s="2961"/>
      <c r="Z77" s="2961"/>
    </row>
    <row r="78" spans="1:26" ht="13.5" thickBot="1">
      <c r="A78" s="2897" t="s">
        <v>2606</v>
      </c>
      <c r="B78" s="2971">
        <f t="shared" si="200"/>
        <v>107.25</v>
      </c>
      <c r="C78" s="2971">
        <f t="shared" si="200"/>
        <v>108.75</v>
      </c>
      <c r="D78" s="2971">
        <f t="shared" si="164"/>
        <v>108.75</v>
      </c>
      <c r="E78" s="2971">
        <f t="shared" si="201"/>
        <v>105.75</v>
      </c>
      <c r="F78" s="2971">
        <f t="shared" si="201"/>
        <v>102.5</v>
      </c>
      <c r="G78" s="3552">
        <v>2003</v>
      </c>
      <c r="H78" s="2972">
        <v>1</v>
      </c>
      <c r="I78" s="2969"/>
      <c r="J78" s="2969"/>
      <c r="K78" s="2969"/>
      <c r="L78" s="2969"/>
      <c r="S78" s="2900"/>
      <c r="T78" s="2886"/>
      <c r="U78" s="2886"/>
      <c r="X78" s="2961"/>
      <c r="Y78" s="2961"/>
      <c r="Z78" s="2961"/>
    </row>
    <row r="79" spans="1:26" ht="13.5" thickBot="1">
      <c r="A79" s="2897" t="s">
        <v>2607</v>
      </c>
      <c r="B79" s="2973">
        <v>106</v>
      </c>
      <c r="C79" s="2973">
        <v>107</v>
      </c>
      <c r="D79" s="2973">
        <f t="shared" si="164"/>
        <v>107</v>
      </c>
      <c r="E79" s="2973">
        <v>105</v>
      </c>
      <c r="F79" s="2974">
        <v>102</v>
      </c>
      <c r="G79" s="3550">
        <v>2002</v>
      </c>
      <c r="H79" s="2921">
        <v>4</v>
      </c>
      <c r="I79" s="2969"/>
      <c r="J79" s="2969"/>
      <c r="K79" s="2969"/>
      <c r="L79" s="2969"/>
      <c r="N79" s="2970"/>
      <c r="O79" s="2969"/>
      <c r="P79" s="2969"/>
      <c r="Q79" s="2969"/>
      <c r="S79" s="2970"/>
      <c r="T79" s="2969"/>
      <c r="U79" s="2969"/>
      <c r="V79" s="2969"/>
      <c r="X79" s="2961"/>
      <c r="Y79" s="2961"/>
      <c r="Z79" s="2961"/>
    </row>
    <row r="80" spans="1:26">
      <c r="A80" s="2897" t="s">
        <v>2608</v>
      </c>
      <c r="B80" s="2971">
        <f t="shared" ref="B80:C82" si="202">B81+(B$79-B$83)/4</f>
        <v>105</v>
      </c>
      <c r="C80" s="2971">
        <f t="shared" si="202"/>
        <v>106</v>
      </c>
      <c r="D80" s="2971">
        <f t="shared" si="164"/>
        <v>106</v>
      </c>
      <c r="E80" s="2971">
        <f t="shared" ref="E80:F82" si="203">E81+(E$79-E$83)/4</f>
        <v>104.5</v>
      </c>
      <c r="F80" s="2971">
        <f t="shared" si="203"/>
        <v>101.5</v>
      </c>
      <c r="G80" s="3551">
        <v>2002</v>
      </c>
      <c r="H80" s="2924">
        <v>3</v>
      </c>
      <c r="I80" s="2969"/>
      <c r="J80" s="2969"/>
      <c r="K80" s="2969"/>
      <c r="L80" s="2969"/>
      <c r="X80" s="2961"/>
      <c r="Y80" s="2961"/>
      <c r="Z80" s="2961"/>
    </row>
    <row r="81" spans="1:26">
      <c r="A81" s="2897" t="s">
        <v>2609</v>
      </c>
      <c r="B81" s="2971">
        <f t="shared" si="202"/>
        <v>104</v>
      </c>
      <c r="C81" s="2971">
        <f t="shared" si="202"/>
        <v>105</v>
      </c>
      <c r="D81" s="2971">
        <f t="shared" si="164"/>
        <v>105</v>
      </c>
      <c r="E81" s="2971">
        <f t="shared" si="203"/>
        <v>104</v>
      </c>
      <c r="F81" s="2971">
        <f t="shared" si="203"/>
        <v>101</v>
      </c>
      <c r="G81" s="3551">
        <v>2002</v>
      </c>
      <c r="H81" s="2912">
        <v>2</v>
      </c>
      <c r="I81" s="2969"/>
      <c r="J81" s="2969"/>
      <c r="K81" s="2969"/>
      <c r="L81" s="2969"/>
      <c r="X81" s="2961"/>
      <c r="Y81" s="2961"/>
      <c r="Z81" s="2961"/>
    </row>
    <row r="82" spans="1:26" s="2934" customFormat="1" ht="13.5" thickBot="1">
      <c r="A82" s="2930" t="s">
        <v>2610</v>
      </c>
      <c r="B82" s="2937">
        <f t="shared" si="202"/>
        <v>103</v>
      </c>
      <c r="C82" s="2937">
        <f t="shared" si="202"/>
        <v>104</v>
      </c>
      <c r="D82" s="2937">
        <f t="shared" si="164"/>
        <v>104</v>
      </c>
      <c r="E82" s="2937">
        <f t="shared" si="203"/>
        <v>103.5</v>
      </c>
      <c r="F82" s="2937">
        <f t="shared" si="203"/>
        <v>100.5</v>
      </c>
      <c r="G82" s="3552">
        <v>2002</v>
      </c>
      <c r="H82" s="2975">
        <v>1</v>
      </c>
      <c r="I82" s="2976"/>
      <c r="J82" s="2976"/>
      <c r="K82" s="2976"/>
      <c r="L82" s="2976"/>
      <c r="N82" s="2977"/>
      <c r="S82" s="2977"/>
      <c r="X82" s="2978"/>
      <c r="Y82" s="2978"/>
      <c r="Z82" s="2978"/>
    </row>
    <row r="83" spans="1:26" ht="13.5" thickBot="1">
      <c r="B83" s="2979">
        <v>102</v>
      </c>
      <c r="C83" s="2980">
        <v>103</v>
      </c>
      <c r="D83" s="2980">
        <f t="shared" si="164"/>
        <v>103</v>
      </c>
      <c r="E83" s="2980">
        <v>103</v>
      </c>
      <c r="F83" s="2981">
        <v>100</v>
      </c>
      <c r="I83" s="2969"/>
      <c r="J83" s="2969"/>
      <c r="K83" s="2969"/>
      <c r="L83" s="2969"/>
      <c r="N83" s="2970"/>
      <c r="O83" s="2969"/>
      <c r="P83" s="2969"/>
      <c r="Q83" s="2969"/>
      <c r="S83" s="2970"/>
      <c r="T83" s="2969"/>
      <c r="U83" s="2969"/>
      <c r="V83" s="2969"/>
      <c r="X83" s="2911"/>
      <c r="Y83" s="2911"/>
      <c r="Z83" s="2911"/>
    </row>
    <row r="85" spans="1:26" s="2983" customFormat="1">
      <c r="A85" s="2982" t="s">
        <v>2611</v>
      </c>
      <c r="G85" s="2984"/>
      <c r="N85" s="2984"/>
      <c r="S85" s="2984"/>
    </row>
    <row r="86" spans="1:26" s="2983" customFormat="1">
      <c r="A86" s="2983" t="s">
        <v>2612</v>
      </c>
      <c r="G86" s="2984"/>
      <c r="N86" s="2984"/>
      <c r="S86" s="2984"/>
    </row>
    <row r="87" spans="1:26" s="2983" customFormat="1">
      <c r="A87" s="2983" t="s">
        <v>2613</v>
      </c>
      <c r="G87" s="2984"/>
      <c r="I87" s="2985"/>
      <c r="J87" s="2985"/>
      <c r="K87" s="2985"/>
      <c r="L87" s="2985"/>
      <c r="N87" s="2986"/>
      <c r="O87" s="2985"/>
      <c r="P87" s="2985"/>
      <c r="Q87" s="2985"/>
      <c r="S87" s="2986"/>
      <c r="T87" s="2985"/>
      <c r="U87" s="2985"/>
      <c r="V87" s="2985"/>
    </row>
    <row r="88" spans="1:26" s="2983" customFormat="1">
      <c r="A88" s="2983" t="s">
        <v>2614</v>
      </c>
      <c r="G88" s="2984"/>
      <c r="N88" s="2984"/>
      <c r="S88" s="2984"/>
    </row>
    <row r="95" spans="1:26" ht="13.5" thickBot="1"/>
    <row r="96" spans="1:26">
      <c r="G96" s="2885"/>
      <c r="S96" s="2987" t="s">
        <v>2615</v>
      </c>
      <c r="T96" s="2988" t="s">
        <v>2616</v>
      </c>
      <c r="U96" s="2988" t="s">
        <v>2617</v>
      </c>
      <c r="V96" s="2988" t="s">
        <v>2618</v>
      </c>
    </row>
    <row r="97" spans="7:22">
      <c r="G97" s="2885"/>
      <c r="N97" s="2910"/>
      <c r="O97" s="2911"/>
      <c r="P97" s="2911"/>
      <c r="Q97" s="2911"/>
      <c r="S97" s="2989">
        <v>2006</v>
      </c>
      <c r="T97" s="2990">
        <v>15.1</v>
      </c>
      <c r="U97" s="2990">
        <v>7.43</v>
      </c>
      <c r="V97" s="2990">
        <v>26.26</v>
      </c>
    </row>
    <row r="98" spans="7:22">
      <c r="G98" s="2885"/>
      <c r="N98" s="2910"/>
      <c r="O98" s="2911"/>
      <c r="P98" s="2911"/>
      <c r="Q98" s="2911"/>
      <c r="S98" s="2991">
        <v>2005</v>
      </c>
      <c r="T98" s="2992">
        <v>13.9</v>
      </c>
      <c r="U98" s="2992">
        <v>7.49</v>
      </c>
      <c r="V98" s="2992">
        <v>24.92</v>
      </c>
    </row>
    <row r="99" spans="7:22">
      <c r="G99" s="2885"/>
      <c r="N99" s="2910"/>
      <c r="O99" s="2911"/>
      <c r="P99" s="2911"/>
      <c r="Q99" s="2911"/>
      <c r="S99" s="2989">
        <v>2004</v>
      </c>
      <c r="T99" s="2990">
        <v>9.48</v>
      </c>
      <c r="U99" s="2990">
        <v>7.2</v>
      </c>
      <c r="V99" s="2990">
        <v>14.68</v>
      </c>
    </row>
    <row r="100" spans="7:22">
      <c r="G100" s="2885"/>
      <c r="N100" s="2910"/>
      <c r="O100" s="2911"/>
      <c r="P100" s="2911"/>
      <c r="Q100" s="2911"/>
      <c r="S100" s="2991">
        <v>2003</v>
      </c>
      <c r="T100" s="2992">
        <v>4.5</v>
      </c>
      <c r="U100" s="2992">
        <v>6.12</v>
      </c>
      <c r="V100" s="2992">
        <v>2.34</v>
      </c>
    </row>
    <row r="101" spans="7:22" ht="13.5" thickBot="1">
      <c r="G101" s="2885"/>
      <c r="N101" s="2910"/>
      <c r="O101" s="2911"/>
      <c r="P101" s="2911"/>
      <c r="Q101" s="2911"/>
      <c r="S101" s="2993">
        <v>2002</v>
      </c>
      <c r="T101" s="2994">
        <v>3.59</v>
      </c>
      <c r="U101" s="2994">
        <v>4.54</v>
      </c>
      <c r="V101" s="2994">
        <v>2.5499999999999998</v>
      </c>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row>
    <row r="111" spans="7:22">
      <c r="G111" s="2885"/>
      <c r="N111" s="2910"/>
      <c r="O111" s="2911"/>
      <c r="P111" s="2911"/>
      <c r="Q111" s="2911"/>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row r="116" spans="7:19">
      <c r="G116" s="2885"/>
      <c r="N116" s="2910"/>
      <c r="O116" s="2911"/>
      <c r="P116" s="2911"/>
      <c r="Q116" s="2911"/>
      <c r="S116" s="2885"/>
    </row>
    <row r="117" spans="7:19">
      <c r="G117" s="2885"/>
      <c r="N117" s="2910"/>
      <c r="O117" s="2911"/>
      <c r="P117" s="2911"/>
      <c r="Q117" s="2911"/>
      <c r="S117" s="2885"/>
    </row>
  </sheetData>
  <sheetProtection sheet="1" objects="1" scenarios="1" formatCells="0" formatColumns="0" formatRows="0"/>
  <mergeCells count="23">
    <mergeCell ref="G19:G22"/>
    <mergeCell ref="G15:G18"/>
    <mergeCell ref="G43:G46"/>
    <mergeCell ref="G47:G50"/>
    <mergeCell ref="G51:G54"/>
    <mergeCell ref="G23:G26"/>
    <mergeCell ref="G27:G30"/>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2916</v>
      </c>
      <c r="B1" s="3245"/>
      <c r="C1" s="3245"/>
      <c r="D1" s="3245"/>
      <c r="E1" s="3245"/>
      <c r="F1" s="3245"/>
      <c r="G1" s="3246"/>
      <c r="H1" s="3246"/>
      <c r="I1" s="3246"/>
      <c r="J1" s="3246"/>
      <c r="K1" s="3246"/>
      <c r="L1" s="3246"/>
      <c r="M1" s="3246"/>
      <c r="N1" s="3246"/>
    </row>
    <row r="2" spans="1:14" ht="14.25">
      <c r="A2" s="3251" t="s">
        <v>2911</v>
      </c>
      <c r="B2" s="3256">
        <f ca="1">SUMIF(B7:B14,"&lt;&gt;#ref!",B7:B14)</f>
        <v>0</v>
      </c>
      <c r="C2" s="3251" t="s">
        <v>2912</v>
      </c>
      <c r="D2" s="3248"/>
      <c r="E2" s="3248"/>
      <c r="F2" s="3248"/>
      <c r="G2" s="3246"/>
      <c r="H2" s="3246"/>
      <c r="I2" s="3246"/>
      <c r="J2" s="3246"/>
      <c r="K2" s="3246"/>
      <c r="L2" s="3246"/>
      <c r="M2" s="3246"/>
      <c r="N2" s="3246"/>
    </row>
    <row r="3" spans="1:14" ht="14.25">
      <c r="A3" s="3251" t="s">
        <v>2941</v>
      </c>
      <c r="B3" s="3256" t="e">
        <f ca="1">ROUND(B2*10000/E3,0)</f>
        <v>#DIV/0!</v>
      </c>
      <c r="C3" s="3251" t="s">
        <v>2067</v>
      </c>
      <c r="D3" s="3251" t="s">
        <v>2913</v>
      </c>
      <c r="E3" s="3249">
        <f ca="1">SUMIF(E7:E14,"&lt;&gt;#ref!",E7:E14)</f>
        <v>0</v>
      </c>
      <c r="F3" s="3248"/>
      <c r="G3" s="3246"/>
      <c r="H3" s="3246"/>
      <c r="I3" s="3246"/>
      <c r="J3" s="3246"/>
      <c r="K3" s="3246"/>
      <c r="L3" s="3246"/>
      <c r="M3" s="3246"/>
      <c r="N3" s="3246"/>
    </row>
    <row r="4" spans="1:14" ht="14.25">
      <c r="A4" s="3251" t="s">
        <v>2919</v>
      </c>
      <c r="B4" s="3256" t="e">
        <f ca="1">ROUND(B2*10000/E4,0)</f>
        <v>#DIV/0!</v>
      </c>
      <c r="C4" s="3251" t="s">
        <v>2067</v>
      </c>
      <c r="D4" s="3251" t="s">
        <v>2920</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2917</v>
      </c>
      <c r="B6" s="3251" t="s">
        <v>2914</v>
      </c>
      <c r="C6" s="2789"/>
      <c r="D6" s="3248"/>
      <c r="E6" s="3251" t="s">
        <v>2915</v>
      </c>
      <c r="F6" s="3251" t="s">
        <v>2918</v>
      </c>
      <c r="G6" s="3246"/>
      <c r="H6" s="3246"/>
      <c r="I6" s="3246"/>
      <c r="J6" s="3246"/>
      <c r="K6" s="3246"/>
      <c r="L6" s="3246"/>
      <c r="M6" s="3246"/>
      <c r="N6" s="3246"/>
    </row>
    <row r="7" spans="1:14" ht="14.25">
      <c r="A7" s="3254"/>
      <c r="B7" s="3256" t="e">
        <f ca="1">SUMIF(INDIRECT("'"&amp;A7&amp;"'"&amp;"!A:A"),"总价",INDIRECT("'"&amp;A7&amp;"'"&amp;"!B:B"))</f>
        <v>#REF!</v>
      </c>
      <c r="C7" s="3251" t="s">
        <v>2912</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2912</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2912</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2912</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2912</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2912</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2912</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2912</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-1.5</v>
      </c>
      <c r="G1" s="764">
        <f>MATCH(C1,'数据-取费表'!A6:A16,0)+5</f>
        <v>9</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2439</v>
      </c>
      <c r="C7" s="53">
        <f ca="1">C8+C12+C14</f>
        <v>0</v>
      </c>
      <c r="D7" s="2349" t="s">
        <v>2442</v>
      </c>
      <c r="E7" s="2343"/>
      <c r="F7" s="2344"/>
      <c r="G7" s="1526"/>
      <c r="H7" s="771">
        <v>1</v>
      </c>
      <c r="I7" s="772" t="s">
        <v>2439</v>
      </c>
      <c r="J7" s="53">
        <f ca="1">J8+J12+J14</f>
        <v>0</v>
      </c>
      <c r="K7" s="2349" t="s">
        <v>2442</v>
      </c>
      <c r="L7" s="2343"/>
      <c r="M7" s="2344"/>
    </row>
    <row r="8" spans="1:25" ht="18" customHeight="1">
      <c r="A8" s="1745" t="s">
        <v>1815</v>
      </c>
      <c r="B8" s="3559" t="s">
        <v>2444</v>
      </c>
      <c r="C8" s="1740">
        <f ca="1">ROUND(F8*F10*F9*(1-F11)/10000,0)</f>
        <v>0</v>
      </c>
      <c r="D8" s="1737" t="s">
        <v>2515</v>
      </c>
      <c r="E8" s="61" t="s">
        <v>631</v>
      </c>
      <c r="F8" s="775">
        <f ca="1">INDIRECT("'数据-取费表'!u"&amp;$G$1)</f>
        <v>0</v>
      </c>
      <c r="G8" s="1526"/>
      <c r="H8" s="2357" t="s">
        <v>1815</v>
      </c>
      <c r="I8" s="3559" t="s">
        <v>2444</v>
      </c>
      <c r="J8" s="773">
        <f ca="1">ROUND(M8*M10*M9*(1-M11)/10000,0)</f>
        <v>0</v>
      </c>
      <c r="K8" s="339" t="s">
        <v>2515</v>
      </c>
      <c r="L8" s="774" t="s">
        <v>1729</v>
      </c>
      <c r="M8" s="775">
        <f ca="1">INDIRECT("'数据-取费表'!z"&amp;$G$1)</f>
        <v>0</v>
      </c>
    </row>
    <row r="9" spans="1:25" ht="18" customHeight="1">
      <c r="A9" s="2353"/>
      <c r="B9" s="3560"/>
      <c r="C9" s="1741"/>
      <c r="D9" s="1738"/>
      <c r="E9" s="61" t="s">
        <v>632</v>
      </c>
      <c r="F9" s="775">
        <f ca="1">IF(INDIRECT("'数据-取费表'!ah"&amp;$G$1)="",INDIRECT("'数据-取费表'!k"&amp;$G$1),INDIRECT("'数据-取费表'!ah"&amp;$G$1))</f>
        <v>0</v>
      </c>
      <c r="G9" s="1526"/>
      <c r="H9" s="2342"/>
      <c r="I9" s="3560"/>
      <c r="J9" s="778"/>
      <c r="K9" s="779"/>
      <c r="L9" s="774" t="s">
        <v>1730</v>
      </c>
      <c r="M9" s="775">
        <f ca="1">F9</f>
        <v>0</v>
      </c>
    </row>
    <row r="10" spans="1:25" ht="18" customHeight="1">
      <c r="A10" s="2346"/>
      <c r="B10" s="3561"/>
      <c r="C10" s="1741"/>
      <c r="D10" s="1738"/>
      <c r="E10" s="61" t="s">
        <v>633</v>
      </c>
      <c r="F10" s="775">
        <f ca="1">INDIRECT("'数据-取费表'!ai"&amp;$G$1)</f>
        <v>0</v>
      </c>
      <c r="G10" s="1526"/>
      <c r="H10" s="2342"/>
      <c r="I10" s="3561"/>
      <c r="J10" s="778"/>
      <c r="K10" s="779"/>
      <c r="L10" s="774" t="s">
        <v>1731</v>
      </c>
      <c r="M10" s="775">
        <f ca="1">INDIRECT("'数据-取费表'!ai"&amp;$G$1)</f>
        <v>0</v>
      </c>
    </row>
    <row r="11" spans="1:25" ht="18" customHeight="1">
      <c r="A11" s="776"/>
      <c r="B11" s="3562"/>
      <c r="C11" s="1741"/>
      <c r="D11" s="1738"/>
      <c r="E11" s="61" t="s">
        <v>634</v>
      </c>
      <c r="F11" s="784">
        <f ca="1">INDIRECT("'数据-取费表'!w"&amp;$G$1)</f>
        <v>0</v>
      </c>
      <c r="G11" s="1526"/>
      <c r="H11" s="2358"/>
      <c r="I11" s="3561"/>
      <c r="J11" s="778"/>
      <c r="K11" s="779"/>
      <c r="L11" s="785" t="s">
        <v>1732</v>
      </c>
      <c r="M11" s="786">
        <f ca="1">INDIRECT("'数据-取费表'!ab"&amp;$G$1)</f>
        <v>0</v>
      </c>
    </row>
    <row r="12" spans="1:25" ht="18" customHeight="1">
      <c r="A12" s="1745" t="s">
        <v>1816</v>
      </c>
      <c r="B12" s="2347" t="s">
        <v>2440</v>
      </c>
      <c r="C12" s="789">
        <f ca="1">ROUND(IF(F12="押一",C8/12*F13,IF(F12="押二",C8/12*2*F13,IF(F12="押三",C8/12*3*F13,C13*F13))),0)</f>
        <v>0</v>
      </c>
      <c r="D12" s="2354" t="s">
        <v>2938</v>
      </c>
      <c r="E12" s="2351" t="s">
        <v>2445</v>
      </c>
      <c r="F12" s="2465"/>
      <c r="G12" s="1526"/>
      <c r="H12" s="2414" t="s">
        <v>1816</v>
      </c>
      <c r="I12" s="2419" t="s">
        <v>2440</v>
      </c>
      <c r="J12" s="773">
        <f ca="1">ROUND(IF(M12="押一",J8/12*M13,IF(M12="押二",J8/12*2*M13,IF(M12="押三",J8/12*3*M13,J13*M13))),0)</f>
        <v>0</v>
      </c>
      <c r="K12" s="2354" t="s">
        <v>2938</v>
      </c>
      <c r="L12" s="2351" t="s">
        <v>2445</v>
      </c>
      <c r="M12" s="2465"/>
    </row>
    <row r="13" spans="1:25" ht="18" customHeight="1">
      <c r="A13" s="780"/>
      <c r="B13" s="2348" t="s">
        <v>2554</v>
      </c>
      <c r="C13" s="2352"/>
      <c r="D13" s="779"/>
      <c r="E13" s="2351" t="s">
        <v>2438</v>
      </c>
      <c r="F13" s="786">
        <f ca="1">'数据-取费表'!B39</f>
        <v>1.4999999999999999E-2</v>
      </c>
      <c r="G13" s="1526"/>
      <c r="H13" s="2415"/>
      <c r="I13" s="2348" t="s">
        <v>2554</v>
      </c>
      <c r="J13" s="2352"/>
      <c r="K13" s="2416"/>
      <c r="L13" s="2351" t="s">
        <v>2438</v>
      </c>
      <c r="M13" s="2345">
        <f ca="1">'数据-取费表'!B39</f>
        <v>1.4999999999999999E-2</v>
      </c>
    </row>
    <row r="14" spans="1:25" ht="18" customHeight="1" thickBot="1">
      <c r="A14" s="2390" t="s">
        <v>2448</v>
      </c>
      <c r="B14" s="2391" t="s">
        <v>2441</v>
      </c>
      <c r="C14" s="2392"/>
      <c r="D14" s="2393"/>
      <c r="E14" s="2394"/>
      <c r="F14" s="2395"/>
      <c r="G14" s="1526"/>
      <c r="H14" s="2404" t="s">
        <v>2448</v>
      </c>
      <c r="I14" s="2417" t="s">
        <v>2441</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2804</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150</v>
      </c>
      <c r="G19" s="1527"/>
      <c r="H19" s="793" t="s">
        <v>2058</v>
      </c>
      <c r="I19" s="774" t="s">
        <v>650</v>
      </c>
      <c r="J19" s="3018">
        <f ca="1">ROUND(IF(AND(项目基本情况!B11="自然人",项目基本情况!B10="北京市"),J8*M19/(1+'数据-取费表'!C42),J20+J21+J22),0)</f>
        <v>0</v>
      </c>
      <c r="K19" s="1893" t="s">
        <v>651</v>
      </c>
      <c r="L19" s="1891" t="s">
        <v>652</v>
      </c>
      <c r="M19" s="3017"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1.4999999999999999E-2</v>
      </c>
      <c r="G22" s="1527"/>
      <c r="H22" s="1747" t="s">
        <v>1841</v>
      </c>
      <c r="I22" s="1737" t="s">
        <v>662</v>
      </c>
      <c r="J22" s="54">
        <f ca="1">ROUND(M22*M23/10000,0)</f>
        <v>0</v>
      </c>
      <c r="K22" s="803" t="s">
        <v>663</v>
      </c>
      <c r="L22" s="774" t="s">
        <v>664</v>
      </c>
      <c r="M22" s="632">
        <f>'数据-取费表'!B52</f>
        <v>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1.4999999999999999E-2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1.5</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4.0000000000000002E-4</v>
      </c>
      <c r="D26" s="2423" t="str">
        <f>IF(F25&lt;=1,"销售费用×利率×(建设周期÷2)","销售费用×((1+利率)^(建设周期÷2)-1)")</f>
        <v>销售费用×((1+利率)^(建设周期÷2)-1)</v>
      </c>
      <c r="E26" s="774" t="s">
        <v>676</v>
      </c>
      <c r="F26" s="808">
        <f ca="1">'数据-取费表'!B40</f>
        <v>3.85E-2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3" t="s">
        <v>2801</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2802</v>
      </c>
      <c r="C31" s="2397">
        <f ca="1">ROUND((C21+C22+C25+C28)/(1-F23-C26-C29-C30),0)</f>
        <v>0</v>
      </c>
      <c r="D31" s="2398"/>
      <c r="E31" s="2399"/>
      <c r="F31" s="2400"/>
      <c r="G31" s="1527"/>
      <c r="H31" s="812" t="s">
        <v>1863</v>
      </c>
      <c r="I31" s="2724" t="s">
        <v>2803</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8">
        <f ca="1">ROUND(IF(AND(项目基本情况!B11="自然人",项目基本情况!B10="北京市"),C8*F33/(1+'数据-取费表'!C42),C34+C35+C36),0)</f>
        <v>0</v>
      </c>
      <c r="D33" s="1893" t="s">
        <v>651</v>
      </c>
      <c r="E33" s="1891" t="s">
        <v>684</v>
      </c>
      <c r="F33" s="3017" t="str">
        <f>IF(项目基本情况!B11="企业","——",IF('数据-取费表'!B10="住宅",IF(F8*F9*F10/12/(1+'数据-取费表'!F30)&gt;100000,4%,2.5%),IF(F8*F9*F10/12/(1+'数据-取费表'!F30)&gt;100000,12%,7%)))</f>
        <v>——</v>
      </c>
      <c r="G33" s="1945"/>
      <c r="H33" s="3257" t="s">
        <v>2995</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5</v>
      </c>
      <c r="G36" s="1945"/>
      <c r="H36" s="1948"/>
      <c r="I36" s="3558"/>
      <c r="J36" s="1962"/>
      <c r="K36" s="1963"/>
      <c r="L36" s="1962"/>
      <c r="M36" s="1962"/>
    </row>
    <row r="37" spans="1:18" ht="18" customHeight="1">
      <c r="A37" s="804"/>
      <c r="B37" s="783"/>
      <c r="C37" s="69"/>
      <c r="D37" s="805"/>
      <c r="E37" s="774" t="s">
        <v>668</v>
      </c>
      <c r="F37" s="775">
        <f ca="1">INDIRECT("'数据-取费表'!r"&amp;$G$1)</f>
        <v>0</v>
      </c>
      <c r="G37" s="1945"/>
      <c r="H37" s="1948"/>
      <c r="I37" s="3558"/>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1"/>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1"/>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1"/>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8" t="s">
        <v>706</v>
      </c>
      <c r="E43" s="2794" t="s">
        <v>2927</v>
      </c>
      <c r="F43" s="2795">
        <f ca="1">INDIRECT("'数据-取费表'!j"&amp;$G$1)</f>
        <v>0</v>
      </c>
      <c r="G43" s="1945"/>
      <c r="H43" s="1945"/>
      <c r="I43" s="1945"/>
      <c r="J43" s="1945"/>
      <c r="K43" s="1965"/>
      <c r="L43" s="1945"/>
      <c r="M43" s="1945"/>
    </row>
    <row r="44" spans="1:18" ht="18" customHeight="1">
      <c r="A44" s="793" t="s">
        <v>1869</v>
      </c>
      <c r="B44" s="824" t="s">
        <v>707</v>
      </c>
      <c r="C44" s="1309">
        <f ca="1">C42-C43</f>
        <v>0</v>
      </c>
      <c r="D44" s="457" t="s">
        <v>708</v>
      </c>
      <c r="E44" s="458"/>
      <c r="F44" s="459"/>
      <c r="G44" s="1945"/>
      <c r="H44" s="1945"/>
      <c r="I44" s="1945"/>
      <c r="J44" s="1945"/>
      <c r="K44" s="1965"/>
      <c r="L44" s="1945"/>
      <c r="M44" s="1945"/>
    </row>
    <row r="45" spans="1:18" ht="18" customHeight="1">
      <c r="A45" s="793" t="s">
        <v>1870</v>
      </c>
      <c r="B45" s="1308" t="s">
        <v>709</v>
      </c>
      <c r="C45" s="2750">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6"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0" t="str">
        <f ca="1">IF(M48="住宅",0,IF(L49&gt;J52,L61,J61))</f>
        <v>0</v>
      </c>
      <c r="O47" s="2249" t="s">
        <v>2395</v>
      </c>
      <c r="P47" s="1526"/>
      <c r="Q47" s="1534"/>
      <c r="R47" s="1526"/>
    </row>
    <row r="48" spans="1:18" s="1942" customFormat="1" ht="18" customHeight="1" thickBot="1">
      <c r="A48" s="1966"/>
      <c r="C48" s="1969"/>
      <c r="D48" s="1970"/>
      <c r="E48" s="1970"/>
      <c r="F48" s="1971"/>
      <c r="G48" s="1972"/>
      <c r="I48" s="2801" t="s">
        <v>2329</v>
      </c>
      <c r="J48" s="2236"/>
      <c r="K48" s="2807" t="s">
        <v>2334</v>
      </c>
      <c r="L48" s="2811">
        <f ca="1">INDIRECT("'数据-取费表'!d"&amp;$G$1)</f>
        <v>0</v>
      </c>
      <c r="M48" s="2793"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8" t="s">
        <v>2330</v>
      </c>
      <c r="J49" s="2237"/>
      <c r="K49" s="2808"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8" t="s">
        <v>2331</v>
      </c>
      <c r="J50" s="2238"/>
      <c r="K50" s="2809"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8" t="s">
        <v>2332</v>
      </c>
      <c r="J51" s="2805">
        <f>SUMPRODUCT((I64:I66=J48)*(J63:L63=J49)*(J64:L66))</f>
        <v>0</v>
      </c>
      <c r="K51" s="2809" t="s">
        <v>2338</v>
      </c>
      <c r="L51" s="2239"/>
      <c r="O51" s="2256" t="s">
        <v>2368</v>
      </c>
      <c r="P51" s="2254" t="s">
        <v>2392</v>
      </c>
      <c r="Q51" s="2255">
        <f ca="1">C31</f>
        <v>0</v>
      </c>
      <c r="R51" s="2254" t="s">
        <v>2365</v>
      </c>
    </row>
    <row r="52" spans="1:18" s="1942" customFormat="1" ht="18" customHeight="1" thickBot="1">
      <c r="A52" s="1978"/>
      <c r="F52" s="1967"/>
      <c r="I52" s="2802" t="s">
        <v>2333</v>
      </c>
      <c r="J52" s="2806">
        <f>IF(J50="",J51,J50+J51-YEAR('数据-取费表'!B3))</f>
        <v>0</v>
      </c>
      <c r="K52" s="2798" t="s">
        <v>2339</v>
      </c>
      <c r="L52" s="2812">
        <f ca="1">C45</f>
        <v>0</v>
      </c>
      <c r="O52" s="2256" t="s">
        <v>2369</v>
      </c>
      <c r="P52" s="2254" t="s">
        <v>2370</v>
      </c>
      <c r="Q52" s="2257" t="e">
        <f ca="1">J59</f>
        <v>#VALUE!</v>
      </c>
      <c r="R52" s="2258"/>
    </row>
    <row r="53" spans="1:18" s="1942" customFormat="1" ht="18" customHeight="1" thickBot="1">
      <c r="A53" s="1978"/>
      <c r="F53" s="1967"/>
      <c r="I53" s="2803" t="s">
        <v>2406</v>
      </c>
      <c r="J53" s="2240"/>
      <c r="K53" s="2803" t="s">
        <v>2405</v>
      </c>
      <c r="L53" s="2240"/>
      <c r="O53" s="2256" t="s">
        <v>2371</v>
      </c>
      <c r="P53" s="2254" t="s">
        <v>2372</v>
      </c>
      <c r="Q53" s="2257">
        <f>J53</f>
        <v>0</v>
      </c>
      <c r="R53" s="2258"/>
    </row>
    <row r="54" spans="1:18" s="1942" customFormat="1" ht="29.25" thickBot="1">
      <c r="A54" s="1978"/>
      <c r="I54" s="2804" t="s">
        <v>2942</v>
      </c>
      <c r="J54" s="2857">
        <f ca="1">IF(M48="住宅",MAX(J52,L49-'数据-取费表'!B20),MIN(J52,L49-'数据-取费表'!B20))</f>
        <v>-1.5</v>
      </c>
      <c r="K54" s="3563"/>
      <c r="L54" s="3564"/>
      <c r="O54" s="2256" t="s">
        <v>2373</v>
      </c>
      <c r="P54" s="2254" t="s">
        <v>2374</v>
      </c>
      <c r="Q54" s="2255">
        <f ca="1">J54</f>
        <v>-1.5</v>
      </c>
      <c r="R54" s="2254" t="s">
        <v>2375</v>
      </c>
    </row>
    <row r="55" spans="1:18" s="1942" customFormat="1" ht="18" customHeight="1" thickBot="1">
      <c r="A55" s="1978"/>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3" t="s">
        <v>2376</v>
      </c>
      <c r="P55" s="2254" t="s">
        <v>2393</v>
      </c>
      <c r="Q55" s="2255">
        <f ca="1">Q49+Q50</f>
        <v>0</v>
      </c>
      <c r="R55" s="2258" t="s">
        <v>2377</v>
      </c>
    </row>
    <row r="56" spans="1:18" s="1942" customFormat="1" ht="16.5" thickBot="1">
      <c r="A56" s="1978"/>
      <c r="B56" s="1979"/>
      <c r="C56" s="1979"/>
      <c r="I56" s="2815" t="s">
        <v>2340</v>
      </c>
      <c r="J56" s="2787" t="e">
        <f ca="1">ROUND(IF(J48="钢混",J58/J51,1-(1-2%)*(J51-J58)/J51),3)</f>
        <v>#VALUE!</v>
      </c>
      <c r="K56" s="2816" t="s">
        <v>2341</v>
      </c>
      <c r="L56" s="2241"/>
      <c r="O56" s="2259" t="s">
        <v>2396</v>
      </c>
      <c r="P56" s="1526"/>
      <c r="Q56" s="1534"/>
      <c r="R56" s="1526"/>
    </row>
    <row r="57" spans="1:18" s="1942" customFormat="1" ht="43.5" thickBot="1">
      <c r="A57" s="1978"/>
      <c r="B57" s="1979"/>
      <c r="C57" s="1979"/>
      <c r="I57" s="2817" t="s">
        <v>2342</v>
      </c>
      <c r="J57" s="2827" t="s">
        <v>1669</v>
      </c>
      <c r="K57" s="2798" t="s">
        <v>2347</v>
      </c>
      <c r="L57" s="1822">
        <f ca="1">IF(L49&lt;J52,"——",L49-J52)</f>
        <v>0</v>
      </c>
      <c r="O57" s="2250" t="s">
        <v>2360</v>
      </c>
      <c r="P57" s="2251" t="s">
        <v>2361</v>
      </c>
      <c r="Q57" s="2252" t="s">
        <v>2362</v>
      </c>
      <c r="R57" s="2251" t="s">
        <v>2363</v>
      </c>
    </row>
    <row r="58" spans="1:18" s="1942" customFormat="1" ht="29.25" thickBot="1">
      <c r="A58" s="1978"/>
      <c r="B58" s="1979"/>
      <c r="C58" s="1979"/>
      <c r="I58" s="2818" t="s">
        <v>2343</v>
      </c>
      <c r="J58" s="2819" t="str">
        <f ca="1">IF(OR(M48="住宅",J52&lt;L49,J57="是"),"——",J52-L49)</f>
        <v>——</v>
      </c>
      <c r="K58" s="2798"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8" t="s">
        <v>2344</v>
      </c>
      <c r="J59" s="2788" t="e">
        <f ca="1">IF(J56&lt;0.4,0.4,J56)</f>
        <v>#VALUE!</v>
      </c>
      <c r="K59" s="2798"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8" t="s">
        <v>2345</v>
      </c>
      <c r="J60" s="2819" t="str">
        <f ca="1">IF(OR(M48="住宅",J52&lt;L49,J57="是"),"——",ROUND(C30*J59,0))</f>
        <v>——</v>
      </c>
      <c r="K60" s="2798"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0" t="s">
        <v>2346</v>
      </c>
      <c r="J61" s="2821" t="str">
        <f ca="1">IF(OR(M48="住宅",J52&lt;L49,J57="是"),"0",ROUND(J60/(1+J53)^J54,0))</f>
        <v>0</v>
      </c>
      <c r="K61" s="2822" t="s">
        <v>2351</v>
      </c>
      <c r="L61" s="2821"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3" t="s">
        <v>2352</v>
      </c>
      <c r="J63" s="2824" t="s">
        <v>2353</v>
      </c>
      <c r="K63" s="2824" t="s">
        <v>2354</v>
      </c>
      <c r="L63" s="2824" t="s">
        <v>2335</v>
      </c>
      <c r="M63" s="2825" t="s">
        <v>2910</v>
      </c>
      <c r="O63" s="2256" t="s">
        <v>2373</v>
      </c>
      <c r="P63" s="2254" t="s">
        <v>2381</v>
      </c>
      <c r="Q63" s="2255">
        <f ca="1">L60</f>
        <v>0</v>
      </c>
      <c r="R63" s="2258" t="s">
        <v>2382</v>
      </c>
    </row>
    <row r="64" spans="1:18" s="1942" customFormat="1" ht="15.75" thickBot="1">
      <c r="A64" s="1978"/>
      <c r="B64" s="1979"/>
      <c r="C64" s="1979"/>
      <c r="I64" s="2823" t="s">
        <v>2355</v>
      </c>
      <c r="J64" s="2824">
        <v>70</v>
      </c>
      <c r="K64" s="2824">
        <v>50</v>
      </c>
      <c r="L64" s="2824">
        <v>80</v>
      </c>
      <c r="M64" s="2826">
        <v>0.02</v>
      </c>
      <c r="O64" s="2253" t="s">
        <v>2376</v>
      </c>
      <c r="P64" s="2254" t="s">
        <v>2393</v>
      </c>
      <c r="Q64" s="2255" t="e">
        <f ca="1">Q58+Q59</f>
        <v>#DIV/0!</v>
      </c>
      <c r="R64" s="2258" t="s">
        <v>2377</v>
      </c>
    </row>
    <row r="65" spans="1:18" s="1942" customFormat="1" ht="16.5" thickBot="1">
      <c r="A65" s="1978"/>
      <c r="B65" s="1979"/>
      <c r="C65" s="1979"/>
      <c r="I65" s="2823" t="s">
        <v>2356</v>
      </c>
      <c r="J65" s="2824">
        <v>50</v>
      </c>
      <c r="K65" s="2824">
        <v>35</v>
      </c>
      <c r="L65" s="2824">
        <v>60</v>
      </c>
      <c r="M65" s="835">
        <v>0</v>
      </c>
      <c r="O65" s="2259" t="s">
        <v>2400</v>
      </c>
      <c r="P65" s="1526"/>
      <c r="Q65" s="1534"/>
      <c r="R65" s="1526"/>
    </row>
    <row r="66" spans="1:18" s="1942" customFormat="1" ht="15.75" thickBot="1">
      <c r="A66" s="1978"/>
      <c r="B66" s="1979"/>
      <c r="C66" s="1979"/>
      <c r="I66" s="2823" t="s">
        <v>2357</v>
      </c>
      <c r="J66" s="2824">
        <v>40</v>
      </c>
      <c r="K66" s="2824">
        <v>30</v>
      </c>
      <c r="L66" s="2824">
        <v>50</v>
      </c>
      <c r="M66" s="2826">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45034平方米。根据《建设工程规划许可证》[]、《出让合同》[]，估价对象规划建筑面积为88976平方米。</v>
      </c>
    </row>
    <row r="7" spans="1:4" ht="56.25">
      <c r="A7" s="1710" t="s">
        <v>2727</v>
      </c>
    </row>
    <row r="8" spans="1:4" ht="18.75">
      <c r="A8" s="1709" t="s">
        <v>1897</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2021年7月8日（评估专业人员勘察现场之日）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根据《国有土地使用证》[]，估价对象（分摊）出让国有建设用地使用权面积为45034平方米。根据《建设工程规划许可证》[]、《出让合同》[]，估价对象规划建筑面积为88976平方米。</v>
      </c>
    </row>
    <row r="21" spans="1:1" ht="18.75">
      <c r="A21" s="1706" t="s">
        <v>2063</v>
      </c>
    </row>
    <row r="22" spans="1:1" ht="93.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7月7日车库2071年7月7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7月8日，在规划利用条件下、设定土地开发程度为红线外“七通”、宗地内场地，设定用途为，剩余土地使用年限为的出让国有建设用地使用权价格。</v>
      </c>
    </row>
    <row r="26" spans="1:1" ht="56.25">
      <c r="A26" s="1706"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zoomScaleSheetLayoutView="85" workbookViewId="0">
      <selection activeCell="L39" sqref="L3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35</v>
      </c>
      <c r="D1" s="2797" t="s">
        <v>3392</v>
      </c>
      <c r="E1" s="2242" t="s">
        <v>2359</v>
      </c>
      <c r="F1" s="2243">
        <f ca="1">J53</f>
        <v>48.5</v>
      </c>
      <c r="G1" s="3258">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4384</v>
      </c>
      <c r="C2" s="3263"/>
      <c r="D2" s="3264"/>
      <c r="E2" s="3265"/>
      <c r="F2" s="3265"/>
      <c r="G2" s="3259"/>
      <c r="H2" s="1940"/>
      <c r="I2" s="1940"/>
      <c r="J2" s="1940"/>
      <c r="K2" s="1941"/>
      <c r="L2" s="1940"/>
      <c r="M2" s="1940"/>
    </row>
    <row r="3" spans="1:33" ht="18" customHeight="1" thickBot="1">
      <c r="A3" s="822" t="s">
        <v>1718</v>
      </c>
      <c r="B3" s="823">
        <f ca="1">IF(ISERROR(B2*10000/F43),0,ROUND(B2*10000/F43,0))</f>
        <v>2267</v>
      </c>
      <c r="C3" s="3263"/>
      <c r="D3" s="3264"/>
      <c r="E3" s="3265"/>
      <c r="F3" s="3265"/>
      <c r="G3" s="3259"/>
      <c r="H3" s="766" t="s">
        <v>689</v>
      </c>
      <c r="I3" s="1315"/>
      <c r="J3" s="1315"/>
      <c r="K3" s="1525"/>
      <c r="L3" s="1315"/>
      <c r="M3" s="1315"/>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2439</v>
      </c>
      <c r="C5" s="55">
        <f ca="1">C6+C10+C12</f>
        <v>247</v>
      </c>
      <c r="D5" s="2349" t="s">
        <v>2442</v>
      </c>
      <c r="E5" s="2343"/>
      <c r="F5" s="2344"/>
      <c r="G5" s="1945"/>
      <c r="H5" s="771">
        <v>1</v>
      </c>
      <c r="I5" s="772" t="s">
        <v>2439</v>
      </c>
      <c r="J5" s="55">
        <f ca="1">J6+J10+J12</f>
        <v>0</v>
      </c>
      <c r="K5" s="2349" t="s">
        <v>2442</v>
      </c>
      <c r="L5" s="2343"/>
      <c r="M5" s="2344"/>
    </row>
    <row r="6" spans="1:33" ht="18" customHeight="1">
      <c r="A6" s="1745" t="s">
        <v>1815</v>
      </c>
      <c r="B6" s="3559" t="s">
        <v>2444</v>
      </c>
      <c r="C6" s="773">
        <f ca="1">ROUND(F6*F8*F7*(1-F9)/10000,0)</f>
        <v>247</v>
      </c>
      <c r="D6" s="2350" t="s">
        <v>2443</v>
      </c>
      <c r="E6" s="774" t="s">
        <v>1729</v>
      </c>
      <c r="F6" s="775">
        <f ca="1">INDIRECT("'数据-取费表'!u"&amp;$G$1)</f>
        <v>450</v>
      </c>
      <c r="G6" s="1945"/>
      <c r="H6" s="2357" t="s">
        <v>2449</v>
      </c>
      <c r="I6" s="3559" t="s">
        <v>2444</v>
      </c>
      <c r="J6" s="773">
        <f ca="1">ROUND(M6*M8*M7*(1-M9)/10000,0)</f>
        <v>0</v>
      </c>
      <c r="K6" s="339" t="s">
        <v>1728</v>
      </c>
      <c r="L6" s="774" t="s">
        <v>1729</v>
      </c>
      <c r="M6" s="775">
        <f ca="1">INDIRECT("'数据-取费表'!z"&amp;$G$1)</f>
        <v>0</v>
      </c>
    </row>
    <row r="7" spans="1:33" ht="18" customHeight="1">
      <c r="A7" s="2353"/>
      <c r="B7" s="3560"/>
      <c r="C7" s="778"/>
      <c r="D7" s="779"/>
      <c r="E7" s="774" t="s">
        <v>1730</v>
      </c>
      <c r="F7" s="775">
        <f ca="1">IF(INDIRECT("'数据-取费表'!ah"&amp;$G$1)="",INDIRECT("'数据-取费表'!k"&amp;$G$1),INDIRECT("'数据-取费表'!ah"&amp;$G$1))</f>
        <v>509</v>
      </c>
      <c r="G7" s="1945"/>
      <c r="H7" s="2342"/>
      <c r="I7" s="3560"/>
      <c r="J7" s="778"/>
      <c r="K7" s="779"/>
      <c r="L7" s="774" t="s">
        <v>1730</v>
      </c>
      <c r="M7" s="775">
        <f ca="1">F7</f>
        <v>509</v>
      </c>
    </row>
    <row r="8" spans="1:33" ht="18" customHeight="1">
      <c r="A8" s="2346"/>
      <c r="B8" s="3561"/>
      <c r="C8" s="778"/>
      <c r="D8" s="779"/>
      <c r="E8" s="774" t="s">
        <v>1731</v>
      </c>
      <c r="F8" s="775">
        <f ca="1">INDIRECT("'数据-取费表'!ai"&amp;$G$1)</f>
        <v>12</v>
      </c>
      <c r="G8" s="1945"/>
      <c r="H8" s="2342"/>
      <c r="I8" s="3561"/>
      <c r="J8" s="778"/>
      <c r="K8" s="779"/>
      <c r="L8" s="774" t="s">
        <v>1731</v>
      </c>
      <c r="M8" s="775">
        <f ca="1">INDIRECT("'数据-取费表'!ai"&amp;$G$1)</f>
        <v>12</v>
      </c>
    </row>
    <row r="9" spans="1:33" ht="18" customHeight="1">
      <c r="A9" s="776"/>
      <c r="B9" s="3562"/>
      <c r="C9" s="778"/>
      <c r="D9" s="779"/>
      <c r="E9" s="774" t="s">
        <v>1732</v>
      </c>
      <c r="F9" s="784">
        <f ca="1">INDIRECT("'数据-取费表'!w"&amp;$G$1)</f>
        <v>0.1</v>
      </c>
      <c r="G9" s="1945"/>
      <c r="H9" s="2358"/>
      <c r="I9" s="3561"/>
      <c r="J9" s="778"/>
      <c r="K9" s="779"/>
      <c r="L9" s="785" t="s">
        <v>1732</v>
      </c>
      <c r="M9" s="786">
        <f ca="1">INDIRECT("'数据-取费表'!ab"&amp;$G$1)</f>
        <v>0</v>
      </c>
    </row>
    <row r="10" spans="1:33" ht="18" customHeight="1">
      <c r="A10" s="1745" t="s">
        <v>2447</v>
      </c>
      <c r="B10" s="2347" t="s">
        <v>2440</v>
      </c>
      <c r="C10" s="789">
        <f ca="1">ROUND(IF(F10="押一",C6/12*F11,IF(F10="押二",C6/12*2*F11,IF(F10="押三",C6/12*3*F11,C11*F11))),0)</f>
        <v>0</v>
      </c>
      <c r="D10" s="2354" t="s">
        <v>2938</v>
      </c>
      <c r="E10" s="2351" t="s">
        <v>2445</v>
      </c>
      <c r="F10" s="2465" t="s">
        <v>3388</v>
      </c>
      <c r="G10" s="1945"/>
      <c r="H10" s="2414" t="s">
        <v>2450</v>
      </c>
      <c r="I10" s="2419" t="s">
        <v>2440</v>
      </c>
      <c r="J10" s="773">
        <f ca="1">ROUND(IF(M10="押一",J6/12*M11,IF(M10="押二",J6/12*2*M11,IF(M10="押三",J6/12*3*M11,J11*M11))),0)</f>
        <v>0</v>
      </c>
      <c r="K10" s="2354" t="s">
        <v>2938</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1733</v>
      </c>
      <c r="C13" s="782">
        <f ca="1">ROUND(C29*F13,0)</f>
        <v>5578</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4262</v>
      </c>
      <c r="D14" s="1893" t="s">
        <v>1736</v>
      </c>
      <c r="E14" s="1894"/>
      <c r="F14" s="795"/>
      <c r="G14" s="1945"/>
      <c r="H14" s="1577" t="s">
        <v>1821</v>
      </c>
      <c r="I14" s="2111" t="s">
        <v>2805</v>
      </c>
      <c r="J14" s="53">
        <f ca="1">C29</f>
        <v>5578</v>
      </c>
      <c r="K14" s="26"/>
      <c r="L14" s="791"/>
      <c r="M14" s="792"/>
    </row>
    <row r="15" spans="1:33" s="1947" customFormat="1" ht="18" customHeight="1" thickBot="1">
      <c r="A15" s="1576" t="s">
        <v>1876</v>
      </c>
      <c r="B15" s="774" t="s">
        <v>641</v>
      </c>
      <c r="C15" s="53">
        <f ca="1">ROUND(C14*F15,0)</f>
        <v>128</v>
      </c>
      <c r="D15" s="796" t="s">
        <v>1737</v>
      </c>
      <c r="E15" s="796" t="s">
        <v>1738</v>
      </c>
      <c r="F15" s="797">
        <f>'数据-取费表'!B33</f>
        <v>0.03</v>
      </c>
      <c r="G15" s="3260"/>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507</v>
      </c>
      <c r="K16" s="1736" t="s">
        <v>1741</v>
      </c>
      <c r="L16" s="2339"/>
      <c r="M16" s="2344"/>
    </row>
    <row r="17" spans="1:33" s="1947" customFormat="1" ht="18" customHeight="1">
      <c r="A17" s="1576" t="s">
        <v>1878</v>
      </c>
      <c r="B17" s="774" t="s">
        <v>647</v>
      </c>
      <c r="C17" s="53">
        <f ca="1">ROUND(F17*(F43+INDIRECT("'数据-取费表'!S"&amp;$G$1))/10000,0)</f>
        <v>291</v>
      </c>
      <c r="D17" s="774" t="s">
        <v>1742</v>
      </c>
      <c r="E17" s="774" t="s">
        <v>1743</v>
      </c>
      <c r="F17" s="56">
        <f>'数据-取费表'!B35</f>
        <v>150</v>
      </c>
      <c r="G17" s="3260"/>
      <c r="H17" s="1577" t="s">
        <v>1821</v>
      </c>
      <c r="I17" s="774" t="s">
        <v>650</v>
      </c>
      <c r="J17" s="3018">
        <f ca="1">ROUND(IF(AND(项目基本情况!B11="自然人",项目基本情况!B10="北京市"),J6*M17/(1+'数据-取费表'!C42),J18+J19+J20),0)</f>
        <v>474</v>
      </c>
      <c r="K17" s="2338" t="s">
        <v>1744</v>
      </c>
      <c r="L17" s="2337" t="s">
        <v>1745</v>
      </c>
      <c r="M17" s="3017"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64</v>
      </c>
      <c r="D18" s="774" t="s">
        <v>1737</v>
      </c>
      <c r="E18" s="774" t="s">
        <v>1738</v>
      </c>
      <c r="F18" s="799">
        <f>'数据-取费表'!B36</f>
        <v>1.4999999999999999E-2</v>
      </c>
      <c r="G18" s="3260"/>
      <c r="H18" s="1576"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4745</v>
      </c>
      <c r="D19" s="259" t="s">
        <v>1748</v>
      </c>
      <c r="E19" s="1896"/>
      <c r="F19" s="56"/>
      <c r="G19" s="1945"/>
      <c r="H19" s="1576" t="s">
        <v>1876</v>
      </c>
      <c r="I19" s="774" t="s">
        <v>1749</v>
      </c>
      <c r="J19" s="53">
        <f ca="1">IF(K19="按租金收入计税",ROUND(J6*M19/(1+'数据-取费表'!C42),1),ROUND(C29*F33*0.7,1))</f>
        <v>468.6</v>
      </c>
      <c r="K19" s="800" t="s">
        <v>659</v>
      </c>
      <c r="L19" s="774" t="s">
        <v>1738</v>
      </c>
      <c r="M19" s="799">
        <f>IF(K19="按租金收入计税",'数据-取费表'!B51,'数据-取费表'!B50)</f>
        <v>1.2E-2</v>
      </c>
    </row>
    <row r="20" spans="1:33" s="1947" customFormat="1" ht="18" customHeight="1">
      <c r="A20" s="1577" t="s">
        <v>1880</v>
      </c>
      <c r="B20" s="774" t="s">
        <v>660</v>
      </c>
      <c r="C20" s="53">
        <f ca="1">ROUND(C19*F20,0)</f>
        <v>71</v>
      </c>
      <c r="D20" s="801" t="s">
        <v>1750</v>
      </c>
      <c r="E20" s="774" t="s">
        <v>1738</v>
      </c>
      <c r="F20" s="799">
        <f>'数据-取费表'!B37</f>
        <v>1.4999999999999999E-2</v>
      </c>
      <c r="G20" s="3260"/>
      <c r="H20" s="1579" t="s">
        <v>1871</v>
      </c>
      <c r="I20" s="339" t="s">
        <v>1751</v>
      </c>
      <c r="J20" s="54">
        <f ca="1">ROUND(M20*M21/10000,0)</f>
        <v>5</v>
      </c>
      <c r="K20" s="803" t="s">
        <v>1752</v>
      </c>
      <c r="L20" s="774" t="s">
        <v>1753</v>
      </c>
      <c r="M20" s="632">
        <f>'数据-取费表'!B52</f>
        <v>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1.4999999999999999E-2</v>
      </c>
      <c r="G21" s="3260"/>
      <c r="H21" s="2359"/>
      <c r="I21" s="783"/>
      <c r="J21" s="69"/>
      <c r="K21" s="805"/>
      <c r="L21" s="774" t="s">
        <v>1757</v>
      </c>
      <c r="M21" s="775">
        <f ca="1">INDIRECT("'数据-取费表'!r"&amp;$G$1)</f>
        <v>9806.2000000000007</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33</v>
      </c>
      <c r="K22" s="2337" t="s">
        <v>1760</v>
      </c>
      <c r="L22" s="774" t="s">
        <v>1738</v>
      </c>
      <c r="M22" s="806">
        <f ca="1">INDIRECT("'数据-取费表'!Ak"&amp;$G$1)</f>
        <v>6.0000000000000001E-3</v>
      </c>
    </row>
    <row r="23" spans="1:33" s="1947" customFormat="1" ht="18" customHeight="1">
      <c r="A23" s="1576" t="s">
        <v>1822</v>
      </c>
      <c r="B23" s="774" t="s">
        <v>2516</v>
      </c>
      <c r="C23" s="53">
        <f ca="1">ROUND(IF('数据-取费表'!B22&lt;=1,(C19+C20)*F24*F23/2,(C19+C20)*(POWER((1+F24),F23/2)-1)),0)</f>
        <v>138</v>
      </c>
      <c r="D23" s="2423" t="str">
        <f>IF(F23&lt;=1,"(建造成本+管理费用)×利率×(建设周期÷2)","(建造成本+管理费用)×((1+利率)^(建设周期÷2)-1)")</f>
        <v>(建造成本+管理费用)×((1+利率)^(建设周期÷2)-1)</v>
      </c>
      <c r="E23" s="774" t="s">
        <v>1761</v>
      </c>
      <c r="F23" s="632">
        <f>'数据-取费表'!B20</f>
        <v>1.5</v>
      </c>
      <c r="G23" s="3260"/>
      <c r="H23" s="1577" t="s">
        <v>1881</v>
      </c>
      <c r="I23" s="774" t="s">
        <v>673</v>
      </c>
      <c r="J23" s="53">
        <f ca="1">ROUND(J13*M23,0)</f>
        <v>0</v>
      </c>
      <c r="K23" s="2337" t="s">
        <v>1762</v>
      </c>
      <c r="L23" s="774" t="s">
        <v>1738</v>
      </c>
      <c r="M23" s="807">
        <f ca="1">INDIRECT("'数据-取费表'!Al"&amp;$G$1)</f>
        <v>1E-3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4.0000000000000002E-4</v>
      </c>
      <c r="D24" s="2423" t="str">
        <f>IF(F23&lt;=1,"销售费用×利率×(建设周期÷2)","销售费用×((1+利率)^(建设周期÷2)-1)")</f>
        <v>销售费用×((1+利率)^(建设周期÷2)-1)</v>
      </c>
      <c r="E24" s="774" t="s">
        <v>1764</v>
      </c>
      <c r="F24" s="808">
        <f ca="1">'数据-取费表'!B40</f>
        <v>3.85E-2</v>
      </c>
      <c r="G24" s="3260"/>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2" t="s">
        <v>2801</v>
      </c>
      <c r="J25" s="782">
        <f ca="1">J5-J16</f>
        <v>-507</v>
      </c>
      <c r="K25" s="2401" t="s">
        <v>1768</v>
      </c>
      <c r="L25" s="2402"/>
      <c r="M25" s="2403"/>
    </row>
    <row r="26" spans="1:33" ht="18" customHeight="1">
      <c r="A26" s="1576" t="s">
        <v>1822</v>
      </c>
      <c r="B26" s="774" t="s">
        <v>2422</v>
      </c>
      <c r="C26" s="53">
        <f ca="1">ROUND((C19+C20)*F26,0)</f>
        <v>241</v>
      </c>
      <c r="D26" s="801" t="s">
        <v>1769</v>
      </c>
      <c r="E26" s="785" t="s">
        <v>1770</v>
      </c>
      <c r="F26" s="784">
        <f ca="1">INDIRECT("'数据-取费表'!q"&amp;$G$1)</f>
        <v>0.05</v>
      </c>
      <c r="G26" s="1945"/>
      <c r="H26" s="2355" t="s">
        <v>1771</v>
      </c>
      <c r="I26" s="2112" t="s">
        <v>2806</v>
      </c>
      <c r="J26" s="773">
        <f ca="1">IF(J5&lt;&gt;0,ROUND(J25*(1-((1+M28)/(1+M26))^M27)/(M26-M28),0),0)</f>
        <v>0</v>
      </c>
      <c r="K26" s="803" t="s">
        <v>1772</v>
      </c>
      <c r="L26" s="774" t="s">
        <v>2404</v>
      </c>
      <c r="M26" s="784">
        <f ca="1">INDIRECT("'数据-取费表'!I"&amp;$G$1)</f>
        <v>0.05</v>
      </c>
    </row>
    <row r="27" spans="1:33" ht="18" customHeight="1">
      <c r="A27" s="1576" t="s">
        <v>1823</v>
      </c>
      <c r="B27" s="774" t="s">
        <v>680</v>
      </c>
      <c r="C27" s="53">
        <f ca="1">ROUND(F21*F26,4)</f>
        <v>8.0000000000000004E-4</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5.2400000000000002E-2</v>
      </c>
      <c r="D28" s="801" t="s">
        <v>2287</v>
      </c>
      <c r="E28" s="774" t="s">
        <v>1776</v>
      </c>
      <c r="F28" s="799">
        <f>'数据-取费表'!B41</f>
        <v>5.5000000000000007E-2</v>
      </c>
      <c r="G28" s="3260"/>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5578</v>
      </c>
      <c r="D29" s="2398"/>
      <c r="E29" s="2399"/>
      <c r="F29" s="2400"/>
      <c r="G29" s="3260"/>
      <c r="H29" s="812" t="s">
        <v>1778</v>
      </c>
      <c r="I29" s="813" t="s">
        <v>1779</v>
      </c>
      <c r="J29" s="814">
        <f ca="1">ROUND(J26/(1+F40)^F41,0)</f>
        <v>0</v>
      </c>
      <c r="K29" s="815" t="s">
        <v>1780</v>
      </c>
      <c r="L29" s="816"/>
      <c r="M29" s="817">
        <f ca="1">INDIRECT("'数据-取费表'!k"&amp;$G$1)</f>
        <v>19342</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88</v>
      </c>
      <c r="D30" s="1736" t="s">
        <v>1782</v>
      </c>
      <c r="E30" s="2339"/>
      <c r="F30" s="2344"/>
      <c r="G30" s="1945"/>
      <c r="H30" s="1948"/>
      <c r="I30" s="1949"/>
      <c r="J30" s="1950"/>
      <c r="K30" s="1951"/>
      <c r="L30" s="1952"/>
      <c r="M30" s="1953"/>
    </row>
    <row r="31" spans="1:33" ht="18" customHeight="1">
      <c r="A31" s="1577" t="s">
        <v>1821</v>
      </c>
      <c r="B31" s="774" t="s">
        <v>650</v>
      </c>
      <c r="C31" s="3018">
        <f ca="1">ROUND(IF(AND(项目基本情况!B11="自然人",项目基本情况!B10="北京市"),C6*F31/(1+'数据-取费表'!C42),C32+C33+C34),0)</f>
        <v>46</v>
      </c>
      <c r="D31" s="1893" t="s">
        <v>1783</v>
      </c>
      <c r="E31" s="1891" t="s">
        <v>1784</v>
      </c>
      <c r="F31" s="3017" t="str">
        <f>IF(项目基本情况!B11="企业","——",IF('数据-取费表'!B10="住宅",IF(F6*F7*F8/12/(1+'数据-取费表'!F30)&gt;100000,4%,2.5%),IF(F6*F7*F8/12/(1+'数据-取费表'!F30)&gt;100000,12%,7%)))</f>
        <v>——</v>
      </c>
      <c r="G31" s="1945"/>
      <c r="H31" s="3257" t="s">
        <v>2996</v>
      </c>
      <c r="I31" s="1949"/>
      <c r="J31" s="1950"/>
      <c r="K31" s="1951"/>
      <c r="L31" s="1952"/>
      <c r="M31" s="1953"/>
    </row>
    <row r="32" spans="1:33" ht="18" customHeight="1">
      <c r="A32" s="1576" t="s">
        <v>1822</v>
      </c>
      <c r="B32" s="774" t="s">
        <v>1785</v>
      </c>
      <c r="C32" s="53">
        <f ca="1">ROUND(C6*F32/(1+'数据-取费表'!C42),1)</f>
        <v>12.9</v>
      </c>
      <c r="D32" s="1891" t="s">
        <v>1786</v>
      </c>
      <c r="E32" s="774" t="s">
        <v>1787</v>
      </c>
      <c r="F32" s="799">
        <f>'数据-取费表'!B41</f>
        <v>5.5000000000000007E-2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28.2</v>
      </c>
      <c r="D33" s="800" t="s">
        <v>3389</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4.9000000000000004</v>
      </c>
      <c r="D34" s="803" t="s">
        <v>1790</v>
      </c>
      <c r="E34" s="774" t="s">
        <v>1791</v>
      </c>
      <c r="F34" s="632">
        <f>'数据-取费表'!B52</f>
        <v>5</v>
      </c>
      <c r="G34" s="1945"/>
      <c r="H34" s="1948"/>
      <c r="I34" s="824" t="s">
        <v>1804</v>
      </c>
      <c r="J34" s="825"/>
      <c r="K34" s="1963"/>
      <c r="L34" s="1962"/>
      <c r="M34" s="1962"/>
    </row>
    <row r="35" spans="1:18" ht="18" customHeight="1">
      <c r="A35" s="804"/>
      <c r="B35" s="783"/>
      <c r="C35" s="69"/>
      <c r="D35" s="805"/>
      <c r="E35" s="774" t="s">
        <v>1792</v>
      </c>
      <c r="F35" s="775">
        <f ca="1">INDIRECT("'数据-取费表'!r"&amp;$G$1)</f>
        <v>9806.2000000000007</v>
      </c>
      <c r="G35" s="1945"/>
      <c r="H35" s="1948"/>
      <c r="I35" s="826" t="s">
        <v>1805</v>
      </c>
      <c r="J35" s="827">
        <f ca="1">ROUND(C13*J36,0)</f>
        <v>474</v>
      </c>
      <c r="K35" s="1961"/>
      <c r="L35" s="1960"/>
      <c r="M35" s="1960"/>
    </row>
    <row r="36" spans="1:18" ht="18" customHeight="1">
      <c r="A36" s="1577" t="s">
        <v>1880</v>
      </c>
      <c r="B36" s="774" t="s">
        <v>1793</v>
      </c>
      <c r="C36" s="53">
        <f ca="1">ROUND(C29*F36,1)</f>
        <v>33.5</v>
      </c>
      <c r="D36" s="1891" t="s">
        <v>1794</v>
      </c>
      <c r="E36" s="774" t="s">
        <v>1787</v>
      </c>
      <c r="F36" s="806">
        <f ca="1">INDIRECT("'数据-取费表'!Ak"&amp;$G$1)</f>
        <v>6.0000000000000001E-3</v>
      </c>
      <c r="G36" s="1945"/>
      <c r="H36" s="1960"/>
      <c r="I36" s="828" t="s">
        <v>1806</v>
      </c>
      <c r="J36" s="829">
        <f ca="1">INDIRECT("'数据-取费表'!j"&amp;$G$1)</f>
        <v>8.5000000000000006E-2</v>
      </c>
      <c r="K36" s="1964"/>
      <c r="L36" s="1960"/>
      <c r="M36" s="1960"/>
    </row>
    <row r="37" spans="1:18" ht="18" customHeight="1">
      <c r="A37" s="1577" t="s">
        <v>1881</v>
      </c>
      <c r="B37" s="774" t="s">
        <v>673</v>
      </c>
      <c r="C37" s="53">
        <f ca="1">ROUND(C13*F37,1)</f>
        <v>5.6</v>
      </c>
      <c r="D37" s="1891" t="s">
        <v>1795</v>
      </c>
      <c r="E37" s="774" t="s">
        <v>1787</v>
      </c>
      <c r="F37" s="807">
        <f ca="1">INDIRECT("'数据-取费表'!Al"&amp;$G$1)</f>
        <v>1E-3</v>
      </c>
      <c r="G37" s="1945"/>
      <c r="H37" s="1960"/>
      <c r="I37" s="830" t="s">
        <v>1807</v>
      </c>
      <c r="J37" s="831"/>
      <c r="K37" s="1964"/>
      <c r="L37" s="1960"/>
      <c r="M37" s="1960"/>
    </row>
    <row r="38" spans="1:18" ht="18" customHeight="1" thickBot="1">
      <c r="A38" s="2404" t="s">
        <v>1882</v>
      </c>
      <c r="B38" s="2399" t="s">
        <v>660</v>
      </c>
      <c r="C38" s="2397">
        <f ca="1">ROUND(C5*F38,1)</f>
        <v>2.5</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2" t="s">
        <v>2801</v>
      </c>
      <c r="C39" s="782">
        <f ca="1">C5-C30</f>
        <v>159</v>
      </c>
      <c r="D39" s="2401" t="s">
        <v>1797</v>
      </c>
      <c r="E39" s="2402"/>
      <c r="F39" s="2403"/>
      <c r="G39" s="1945"/>
      <c r="H39" s="1960"/>
      <c r="I39" s="826" t="s">
        <v>1809</v>
      </c>
      <c r="J39" s="834">
        <f ca="1">ROUND(J35/C39,3)</f>
        <v>2.9809999999999999</v>
      </c>
      <c r="K39" s="1965"/>
      <c r="L39" s="1960"/>
      <c r="M39" s="1960"/>
    </row>
    <row r="40" spans="1:18" ht="18" customHeight="1">
      <c r="A40" s="771" t="s">
        <v>1886</v>
      </c>
      <c r="B40" s="2112" t="s">
        <v>2289</v>
      </c>
      <c r="C40" s="773">
        <f ca="1">ROUND(C39*(1-((1+F42)/(1+F40))^F41)/(F40-F42),0)</f>
        <v>4384</v>
      </c>
      <c r="D40" s="803" t="s">
        <v>1798</v>
      </c>
      <c r="E40" s="774" t="s">
        <v>2404</v>
      </c>
      <c r="F40" s="784">
        <f ca="1">INDIRECT("'数据-取费表'!I"&amp;$G$1)</f>
        <v>0.05</v>
      </c>
      <c r="G40" s="1945"/>
      <c r="H40" s="1945"/>
      <c r="I40" s="826" t="s">
        <v>1810</v>
      </c>
      <c r="J40" s="834">
        <f ca="1">1-J39</f>
        <v>-1.9809999999999999</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48.5</v>
      </c>
      <c r="G41" s="1945"/>
      <c r="H41" s="1900"/>
      <c r="I41" s="832" t="s">
        <v>1811</v>
      </c>
      <c r="J41" s="835"/>
      <c r="K41" s="1964"/>
      <c r="L41" s="1900"/>
      <c r="M41" s="1900"/>
    </row>
    <row r="42" spans="1:18" ht="18" customHeight="1">
      <c r="A42" s="780"/>
      <c r="B42" s="781"/>
      <c r="C42" s="782"/>
      <c r="D42" s="805"/>
      <c r="E42" s="774" t="s">
        <v>1800</v>
      </c>
      <c r="F42" s="784">
        <f ca="1">INDIRECT("'数据-取费表'!v"&amp;$G$1)</f>
        <v>2.5000000000000001E-2</v>
      </c>
      <c r="G42" s="1945"/>
      <c r="H42" s="1900"/>
      <c r="I42" s="836" t="s">
        <v>1812</v>
      </c>
      <c r="J42" s="834">
        <f ca="1">ROUND(C13/C40,3)</f>
        <v>1.272</v>
      </c>
      <c r="K42" s="1964"/>
      <c r="L42" s="1900"/>
      <c r="M42" s="1900"/>
    </row>
    <row r="43" spans="1:18" ht="18" customHeight="1" thickBot="1">
      <c r="A43" s="812" t="s">
        <v>1778</v>
      </c>
      <c r="B43" s="813" t="s">
        <v>1801</v>
      </c>
      <c r="C43" s="814">
        <f ca="1">ROUND(C40*10000/F43,0)</f>
        <v>2267</v>
      </c>
      <c r="D43" s="815" t="s">
        <v>1802</v>
      </c>
      <c r="E43" s="816" t="s">
        <v>1803</v>
      </c>
      <c r="F43" s="817">
        <f ca="1">INDIRECT("'数据-取费表'!k"&amp;$G$1)</f>
        <v>19342</v>
      </c>
      <c r="G43" s="1945"/>
      <c r="H43" s="1900"/>
      <c r="I43" s="836" t="s">
        <v>1813</v>
      </c>
      <c r="J43" s="837">
        <f ca="1">1-J42</f>
        <v>-0.27200000000000002</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-5181</v>
      </c>
      <c r="D46" s="3261"/>
      <c r="E46" s="3261"/>
      <c r="F46" s="3261"/>
      <c r="I46" s="2233" t="s">
        <v>2328</v>
      </c>
      <c r="J46" s="2234"/>
      <c r="K46" s="2235"/>
      <c r="L46" s="2810">
        <f>IF(OR(M47="住宅",D1="土地（套用方法）"),0,IF(L48&gt;J51,L60,J60))</f>
        <v>0</v>
      </c>
      <c r="M46" s="3262"/>
      <c r="O46" s="2249" t="s">
        <v>2395</v>
      </c>
      <c r="P46" s="1526"/>
      <c r="Q46" s="1534"/>
      <c r="R46" s="1526"/>
    </row>
    <row r="47" spans="1:18" s="1942" customFormat="1" ht="18" customHeight="1" thickBot="1">
      <c r="A47" s="2227">
        <v>1</v>
      </c>
      <c r="B47" s="2228" t="s">
        <v>629</v>
      </c>
      <c r="C47" s="2426">
        <f ca="1">C48+C52+C54</f>
        <v>0</v>
      </c>
      <c r="D47" s="3261"/>
      <c r="E47" s="3261"/>
      <c r="F47" s="3261"/>
      <c r="I47" s="2801" t="s">
        <v>2329</v>
      </c>
      <c r="J47" s="2236" t="s">
        <v>3390</v>
      </c>
      <c r="K47" s="2807" t="s">
        <v>2334</v>
      </c>
      <c r="L47" s="2811">
        <f ca="1">INDIRECT("'数据-取费表'!d"&amp;$G$1)</f>
        <v>50</v>
      </c>
      <c r="M47" s="1534" t="str">
        <f>IF(ISNUMBER(FIND("住宅",C1)),"住宅","非住宅")</f>
        <v>非住宅</v>
      </c>
      <c r="O47" s="2250" t="s">
        <v>2360</v>
      </c>
      <c r="P47" s="2251" t="s">
        <v>2361</v>
      </c>
      <c r="Q47" s="2252" t="s">
        <v>2362</v>
      </c>
      <c r="R47" s="2251" t="s">
        <v>2363</v>
      </c>
    </row>
    <row r="48" spans="1:18" s="1942" customFormat="1" ht="18" customHeight="1" thickBot="1">
      <c r="A48" s="2484" t="s">
        <v>2518</v>
      </c>
      <c r="B48" s="2485" t="s">
        <v>2519</v>
      </c>
      <c r="C48" s="2229">
        <f ca="1">ROUND(F48*F50*F49*(1-F51)/10000,0)</f>
        <v>0</v>
      </c>
      <c r="D48" s="2230" t="s">
        <v>630</v>
      </c>
      <c r="E48" s="2231" t="s">
        <v>2284</v>
      </c>
      <c r="F48" s="2232"/>
      <c r="G48" s="1972"/>
      <c r="I48" s="2798" t="s">
        <v>2330</v>
      </c>
      <c r="J48" s="2237" t="s">
        <v>2335</v>
      </c>
      <c r="K48" s="2808" t="s">
        <v>2336</v>
      </c>
      <c r="L48" s="1822">
        <f ca="1">INDIRECT("'数据-取费表'!f"&amp;$G$1)</f>
        <v>50</v>
      </c>
      <c r="M48" s="3262"/>
      <c r="O48" s="2253" t="s">
        <v>2364</v>
      </c>
      <c r="P48" s="2254" t="s">
        <v>2390</v>
      </c>
      <c r="Q48" s="2255">
        <f ca="1">C40+J29</f>
        <v>4384</v>
      </c>
      <c r="R48" s="2254" t="s">
        <v>2365</v>
      </c>
    </row>
    <row r="49" spans="1:18" s="1942" customFormat="1" ht="18" customHeight="1" thickBot="1">
      <c r="A49" s="776"/>
      <c r="B49" s="777"/>
      <c r="C49" s="778"/>
      <c r="D49" s="779"/>
      <c r="E49" s="774" t="s">
        <v>1730</v>
      </c>
      <c r="F49" s="775">
        <f ca="1">F7</f>
        <v>509</v>
      </c>
      <c r="G49" s="1972"/>
      <c r="H49" s="1975"/>
      <c r="I49" s="2798" t="s">
        <v>2331</v>
      </c>
      <c r="J49" s="2238">
        <v>2023</v>
      </c>
      <c r="K49" s="2809" t="s">
        <v>2337</v>
      </c>
      <c r="L49" s="2239"/>
      <c r="M49" s="3262"/>
      <c r="O49" s="2253" t="s">
        <v>2366</v>
      </c>
      <c r="P49" s="2254" t="s">
        <v>2391</v>
      </c>
      <c r="Q49" s="2255" t="str">
        <f ca="1">J60</f>
        <v>0</v>
      </c>
      <c r="R49" s="2254" t="s">
        <v>2367</v>
      </c>
    </row>
    <row r="50" spans="1:18" s="1942" customFormat="1" ht="18" customHeight="1" thickBot="1">
      <c r="A50" s="776"/>
      <c r="B50" s="777"/>
      <c r="C50" s="778"/>
      <c r="D50" s="779"/>
      <c r="E50" s="774" t="s">
        <v>1731</v>
      </c>
      <c r="F50" s="775">
        <f ca="1">F8</f>
        <v>12</v>
      </c>
      <c r="G50" s="1977"/>
      <c r="H50" s="1975"/>
      <c r="I50" s="2798" t="s">
        <v>2332</v>
      </c>
      <c r="J50" s="2805">
        <f>SUMPRODUCT((I63:I65=J47)*(J62:L62=J48)*(J63:L65))</f>
        <v>60</v>
      </c>
      <c r="K50" s="2809" t="s">
        <v>2338</v>
      </c>
      <c r="L50" s="2239"/>
      <c r="M50" s="3262"/>
      <c r="O50" s="2256" t="s">
        <v>2368</v>
      </c>
      <c r="P50" s="2254" t="s">
        <v>2392</v>
      </c>
      <c r="Q50" s="2255">
        <f ca="1">C29</f>
        <v>5578</v>
      </c>
      <c r="R50" s="2254" t="s">
        <v>2365</v>
      </c>
    </row>
    <row r="51" spans="1:18" s="1942" customFormat="1" ht="18" customHeight="1" thickBot="1">
      <c r="A51" s="776"/>
      <c r="B51" s="777"/>
      <c r="C51" s="778"/>
      <c r="D51" s="779"/>
      <c r="E51" s="774" t="s">
        <v>634</v>
      </c>
      <c r="F51" s="2226"/>
      <c r="H51" s="1975"/>
      <c r="I51" s="2802" t="s">
        <v>2333</v>
      </c>
      <c r="J51" s="2806">
        <f>IF(J49="",J50,J49+J50-YEAR('数据-取费表'!B2))</f>
        <v>62</v>
      </c>
      <c r="K51" s="2798" t="s">
        <v>2339</v>
      </c>
      <c r="L51" s="2812">
        <f ca="1">ROUND(-PV(INDIRECT("'数据-取费表'!h"&amp;$G$1),J51,(C39-C13*J36),0),0)</f>
        <v>-6546</v>
      </c>
      <c r="M51" s="3262"/>
      <c r="O51" s="2256" t="s">
        <v>2369</v>
      </c>
      <c r="P51" s="2254" t="s">
        <v>2370</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2939</v>
      </c>
      <c r="E52" s="2351" t="s">
        <v>2445</v>
      </c>
      <c r="F52" s="2465"/>
      <c r="I52" s="2803" t="s">
        <v>2406</v>
      </c>
      <c r="J52" s="2240">
        <v>0.09</v>
      </c>
      <c r="K52" s="2803" t="s">
        <v>2405</v>
      </c>
      <c r="L52" s="2240"/>
      <c r="M52" s="3262"/>
      <c r="O52" s="2256" t="s">
        <v>2371</v>
      </c>
      <c r="P52" s="2254" t="s">
        <v>2372</v>
      </c>
      <c r="Q52" s="2257">
        <f>J52</f>
        <v>0.09</v>
      </c>
      <c r="R52" s="2258"/>
    </row>
    <row r="53" spans="1:18" s="1942" customFormat="1" ht="39.75" customHeight="1" thickBot="1">
      <c r="A53" s="776"/>
      <c r="B53" s="2348" t="s">
        <v>2554</v>
      </c>
      <c r="C53" s="2352"/>
      <c r="D53" s="2354"/>
      <c r="E53" s="2351"/>
      <c r="F53" s="790"/>
      <c r="I53" s="2804" t="s">
        <v>2942</v>
      </c>
      <c r="J53" s="2857">
        <f ca="1">IF(M47="住宅",IF(D1="——",MAX(J51,L48),MAX(J51,L48-'数据-取费表'!B20)),IF(D1="——",MIN(J51,L48),MIN(J51,L48-'数据-取费表'!B20)))</f>
        <v>48.5</v>
      </c>
      <c r="K53" s="3565" t="s">
        <v>2931</v>
      </c>
      <c r="L53" s="3566"/>
      <c r="M53" s="3262"/>
      <c r="O53" s="2256" t="s">
        <v>2373</v>
      </c>
      <c r="P53" s="2254" t="s">
        <v>2374</v>
      </c>
      <c r="Q53" s="2255">
        <f ca="1">J53</f>
        <v>48.5</v>
      </c>
      <c r="R53" s="2254" t="s">
        <v>2375</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2"/>
      <c r="O54" s="2253" t="s">
        <v>2376</v>
      </c>
      <c r="P54" s="2254" t="s">
        <v>2393</v>
      </c>
      <c r="Q54" s="2255">
        <f ca="1">Q48+Q49</f>
        <v>4384</v>
      </c>
      <c r="R54" s="2258" t="s">
        <v>2377</v>
      </c>
    </row>
    <row r="55" spans="1:18" s="1942" customFormat="1" ht="18" customHeight="1" thickTop="1" thickBot="1">
      <c r="A55" s="787">
        <v>2</v>
      </c>
      <c r="B55" s="788" t="s">
        <v>638</v>
      </c>
      <c r="C55" s="789">
        <f ca="1">C13</f>
        <v>5578</v>
      </c>
      <c r="D55" s="785"/>
      <c r="E55" s="785"/>
      <c r="F55" s="790"/>
      <c r="I55" s="2815" t="s">
        <v>2340</v>
      </c>
      <c r="J55" s="2787" t="e">
        <f ca="1">ROUND(IF(J47="钢混",J57/J50,1-(1-2%)*(J50-J57)/J50),3)</f>
        <v>#VALUE!</v>
      </c>
      <c r="K55" s="2816" t="s">
        <v>2341</v>
      </c>
      <c r="L55" s="2241"/>
      <c r="M55" s="3262"/>
      <c r="O55" s="2259" t="s">
        <v>2396</v>
      </c>
      <c r="P55" s="1526"/>
      <c r="Q55" s="1534"/>
      <c r="R55" s="1526"/>
    </row>
    <row r="56" spans="1:18" s="1942" customFormat="1" ht="42.75" customHeight="1" thickBot="1">
      <c r="A56" s="1578"/>
      <c r="B56" s="2111" t="s">
        <v>2290</v>
      </c>
      <c r="C56" s="53">
        <f ca="1">C29</f>
        <v>5578</v>
      </c>
      <c r="D56" s="2481"/>
      <c r="E56" s="774"/>
      <c r="F56" s="799"/>
      <c r="I56" s="2817" t="s">
        <v>2342</v>
      </c>
      <c r="J56" s="2827" t="s">
        <v>1669</v>
      </c>
      <c r="K56" s="2798" t="s">
        <v>2347</v>
      </c>
      <c r="L56" s="1822" t="str">
        <f ca="1">IF(L48&lt;J51,"——",L48-J51)</f>
        <v>——</v>
      </c>
      <c r="M56" s="3262"/>
      <c r="O56" s="2250" t="s">
        <v>2360</v>
      </c>
      <c r="P56" s="2251" t="s">
        <v>2361</v>
      </c>
      <c r="Q56" s="2252" t="s">
        <v>2362</v>
      </c>
      <c r="R56" s="2251" t="s">
        <v>2363</v>
      </c>
    </row>
    <row r="57" spans="1:18" s="1942" customFormat="1" ht="28.5" customHeight="1" thickBot="1">
      <c r="A57" s="787" t="s">
        <v>1739</v>
      </c>
      <c r="B57" s="788" t="s">
        <v>645</v>
      </c>
      <c r="C57" s="789">
        <f ca="1">ROUND(C58+C63+C64+C65,0)</f>
        <v>44</v>
      </c>
      <c r="D57" s="26" t="s">
        <v>1741</v>
      </c>
      <c r="E57" s="2482"/>
      <c r="F57" s="56"/>
      <c r="I57" s="2818" t="s">
        <v>2343</v>
      </c>
      <c r="J57" s="2819" t="str">
        <f ca="1">IF(OR(M47="住宅",J51&lt;L48,J56="是"),"——",J51-L48)</f>
        <v>——</v>
      </c>
      <c r="K57" s="2798" t="s">
        <v>2348</v>
      </c>
      <c r="L57" s="1822" t="str">
        <f ca="1">IF(L48&lt;J51,"——",IF(L55="比较法",L49,IF(L55="基准地价",L50,L51)))</f>
        <v>——</v>
      </c>
      <c r="M57" s="3262"/>
      <c r="O57" s="2253" t="s">
        <v>2364</v>
      </c>
      <c r="P57" s="2254" t="s">
        <v>2394</v>
      </c>
      <c r="Q57" s="2255">
        <f ca="1">C40+J29</f>
        <v>4384</v>
      </c>
      <c r="R57" s="2254" t="s">
        <v>2365</v>
      </c>
    </row>
    <row r="58" spans="1:18" s="1942" customFormat="1" ht="28.5" customHeight="1" thickBot="1">
      <c r="A58" s="1577" t="s">
        <v>1815</v>
      </c>
      <c r="B58" s="774" t="s">
        <v>650</v>
      </c>
      <c r="C58" s="3018">
        <f ca="1">ROUND(IF(AND(项目基本情况!B11="自然人",项目基本情况!B10="北京市"),C48*F58/(1+'数据-取费表'!C42),C59+C60+C61),0)</f>
        <v>5</v>
      </c>
      <c r="D58" s="2480" t="s">
        <v>651</v>
      </c>
      <c r="E58" s="2481" t="s">
        <v>684</v>
      </c>
      <c r="F58" s="3017" t="str">
        <f>IF(项目基本情况!B11="企业","——",IF('数据-取费表'!B10="住宅",IF(F48*F49*F50/12/(1+'数据-取费表'!F30)&gt;100000,4%,2.5%),IF(F48*F49*F50/12/(1+'数据-取费表'!F30)&gt;100000,12%,7%)))</f>
        <v>——</v>
      </c>
      <c r="I58" s="2818" t="s">
        <v>2344</v>
      </c>
      <c r="J58" s="2788" t="e">
        <f ca="1">IF(J55&lt;0.4,0.4,J55)</f>
        <v>#VALUE!</v>
      </c>
      <c r="K58" s="2798" t="s">
        <v>2349</v>
      </c>
      <c r="L58" s="1822" t="e">
        <f ca="1">ROUND(POWER(1+L52,L47-L48)*(POWER(1+L52,L48)-1)/(POWER(1+L52,L47)-1),4)</f>
        <v>#DIV/0!</v>
      </c>
      <c r="M58" s="3262"/>
      <c r="O58" s="2253" t="s">
        <v>2366</v>
      </c>
      <c r="P58" s="2254" t="s">
        <v>2397</v>
      </c>
      <c r="Q58" s="2255">
        <f ca="1">L60</f>
        <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5.5000000000000007E-2</v>
      </c>
      <c r="I59" s="2818" t="s">
        <v>2345</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2"/>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IF(D60="按租金收入计税",ROUND(C48*F60/(1+'数据-取费表'!C42),1),IF(D60="按房产原值计税",ROUND(C56*F60*0.7,1),INDIRECT("'数据-取费表'!Aj"&amp;$G$1)))</f>
        <v>0</v>
      </c>
      <c r="D60" s="2481" t="str">
        <f>D33</f>
        <v>按租金收入计税</v>
      </c>
      <c r="E60" s="774" t="s">
        <v>1738</v>
      </c>
      <c r="F60" s="799">
        <f t="shared" si="0"/>
        <v>0.12</v>
      </c>
      <c r="I60" s="2820" t="s">
        <v>2346</v>
      </c>
      <c r="J60" s="2821" t="str">
        <f ca="1">IF(OR(M47="住宅",J51&lt;L48,J56="是"),"0",ROUND(J59/(1+J52)^J53,0))</f>
        <v>0</v>
      </c>
      <c r="K60" s="2822" t="s">
        <v>2351</v>
      </c>
      <c r="L60" s="2821">
        <f ca="1">IF(OR(M47="住宅",L48&lt;J51),0,ROUND(L57*(L58/L59-1),0))</f>
        <v>0</v>
      </c>
      <c r="M60" s="3262"/>
      <c r="O60" s="2256" t="s">
        <v>2369</v>
      </c>
      <c r="P60" s="2254" t="s">
        <v>2378</v>
      </c>
      <c r="Q60" s="2257">
        <f>L52</f>
        <v>0</v>
      </c>
      <c r="R60" s="2258"/>
    </row>
    <row r="61" spans="1:18" s="1942" customFormat="1" ht="18" customHeight="1" thickBot="1">
      <c r="A61" s="1579" t="s">
        <v>1824</v>
      </c>
      <c r="B61" s="339" t="s">
        <v>662</v>
      </c>
      <c r="C61" s="54">
        <f ca="1">ROUND(F61*F62/10000,1)</f>
        <v>4.9000000000000004</v>
      </c>
      <c r="D61" s="803" t="s">
        <v>663</v>
      </c>
      <c r="E61" s="774" t="s">
        <v>664</v>
      </c>
      <c r="F61" s="632">
        <f t="shared" si="0"/>
        <v>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9806.2000000000007</v>
      </c>
      <c r="I62" s="2823" t="s">
        <v>2352</v>
      </c>
      <c r="J62" s="2824" t="s">
        <v>2353</v>
      </c>
      <c r="K62" s="2824" t="s">
        <v>2354</v>
      </c>
      <c r="L62" s="2824" t="s">
        <v>2335</v>
      </c>
      <c r="M62" s="2825" t="s">
        <v>2910</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33.5</v>
      </c>
      <c r="D63" s="2481" t="s">
        <v>1794</v>
      </c>
      <c r="E63" s="774" t="s">
        <v>1738</v>
      </c>
      <c r="F63" s="806">
        <f t="shared" ca="1" si="0"/>
        <v>6.0000000000000001E-3</v>
      </c>
      <c r="I63" s="2823" t="s">
        <v>2355</v>
      </c>
      <c r="J63" s="2824">
        <v>70</v>
      </c>
      <c r="K63" s="2824">
        <v>50</v>
      </c>
      <c r="L63" s="2824">
        <v>80</v>
      </c>
      <c r="M63" s="2826">
        <v>0.02</v>
      </c>
      <c r="O63" s="2253" t="s">
        <v>2376</v>
      </c>
      <c r="P63" s="2254" t="s">
        <v>2393</v>
      </c>
      <c r="Q63" s="2255">
        <f ca="1">Q57+Q58</f>
        <v>4384</v>
      </c>
      <c r="R63" s="2258" t="s">
        <v>2377</v>
      </c>
    </row>
    <row r="64" spans="1:18" s="1942" customFormat="1" ht="16.5" thickBot="1">
      <c r="A64" s="1577" t="s">
        <v>1881</v>
      </c>
      <c r="B64" s="774" t="s">
        <v>673</v>
      </c>
      <c r="C64" s="53">
        <f ca="1">ROUND(C55*F64,1)</f>
        <v>5.6</v>
      </c>
      <c r="D64" s="2481" t="s">
        <v>674</v>
      </c>
      <c r="E64" s="774" t="s">
        <v>1738</v>
      </c>
      <c r="F64" s="807">
        <f t="shared" ca="1" si="0"/>
        <v>1E-3</v>
      </c>
      <c r="I64" s="2823" t="s">
        <v>2356</v>
      </c>
      <c r="J64" s="2824">
        <v>50</v>
      </c>
      <c r="K64" s="2824">
        <v>35</v>
      </c>
      <c r="L64" s="2824">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0.01</v>
      </c>
      <c r="I65" s="2823" t="s">
        <v>2357</v>
      </c>
      <c r="J65" s="2824">
        <v>40</v>
      </c>
      <c r="K65" s="2824">
        <v>30</v>
      </c>
      <c r="L65" s="2824">
        <v>50</v>
      </c>
      <c r="M65" s="2826">
        <v>0.02</v>
      </c>
      <c r="O65" s="2250" t="s">
        <v>2360</v>
      </c>
      <c r="P65" s="2251" t="s">
        <v>2361</v>
      </c>
      <c r="Q65" s="2252" t="s">
        <v>2362</v>
      </c>
      <c r="R65" s="2251" t="s">
        <v>2363</v>
      </c>
    </row>
    <row r="66" spans="1:18" s="1942" customFormat="1" ht="24.75" thickBot="1">
      <c r="A66" s="787" t="s">
        <v>1767</v>
      </c>
      <c r="B66" s="2723" t="s">
        <v>2801</v>
      </c>
      <c r="C66" s="789">
        <f ca="1">C47-C57</f>
        <v>-44</v>
      </c>
      <c r="D66" s="2480" t="s">
        <v>694</v>
      </c>
      <c r="E66" s="2479"/>
      <c r="F66" s="809"/>
      <c r="K66" s="1968"/>
      <c r="O66" s="2253" t="s">
        <v>2364</v>
      </c>
      <c r="P66" s="2254" t="s">
        <v>2394</v>
      </c>
      <c r="Q66" s="2255">
        <f ca="1">C40+J29</f>
        <v>4384</v>
      </c>
      <c r="R66" s="2254" t="s">
        <v>2365</v>
      </c>
    </row>
    <row r="67" spans="1:18" s="1942" customFormat="1" ht="20.25" thickBot="1">
      <c r="A67" s="771" t="s">
        <v>1771</v>
      </c>
      <c r="B67" s="2112" t="s">
        <v>2289</v>
      </c>
      <c r="C67" s="773">
        <f ca="1">ROUND(C66*(1-((1+F69)/(1+F67))^F68)/(F67-F69),0)</f>
        <v>-797</v>
      </c>
      <c r="D67" s="803" t="s">
        <v>698</v>
      </c>
      <c r="E67" s="774" t="s">
        <v>699</v>
      </c>
      <c r="F67" s="784">
        <f ca="1">F40</f>
        <v>0.05</v>
      </c>
      <c r="K67" s="1968"/>
      <c r="O67" s="2253" t="s">
        <v>2366</v>
      </c>
      <c r="P67" s="2254" t="s">
        <v>2397</v>
      </c>
      <c r="Q67" s="2255">
        <f ca="1">L60</f>
        <v>0</v>
      </c>
      <c r="R67" s="2258" t="s">
        <v>2399</v>
      </c>
    </row>
    <row r="68" spans="1:18" ht="21.75" thickBot="1">
      <c r="A68" s="776"/>
      <c r="B68" s="777"/>
      <c r="C68" s="778"/>
      <c r="D68" s="810" t="s">
        <v>1799</v>
      </c>
      <c r="E68" s="774" t="s">
        <v>1775</v>
      </c>
      <c r="F68" s="811">
        <f ca="1">F41</f>
        <v>48.5</v>
      </c>
      <c r="O68" s="2256" t="s">
        <v>2368</v>
      </c>
      <c r="P68" s="2254" t="s">
        <v>2398</v>
      </c>
      <c r="Q68" s="2260">
        <f ca="1">L51</f>
        <v>-6546</v>
      </c>
      <c r="R68" s="2261" t="s">
        <v>2401</v>
      </c>
    </row>
    <row r="69" spans="1:18" ht="20.25" thickBot="1">
      <c r="A69" s="780"/>
      <c r="B69" s="781"/>
      <c r="C69" s="782"/>
      <c r="D69" s="805"/>
      <c r="E69" s="774" t="s">
        <v>704</v>
      </c>
      <c r="F69" s="2226"/>
      <c r="O69" s="2256" t="s">
        <v>2369</v>
      </c>
      <c r="P69" s="2262" t="s">
        <v>2383</v>
      </c>
      <c r="Q69" s="2255">
        <f ca="1">ROUND(Q70-Q71*Q72,0)</f>
        <v>-315</v>
      </c>
      <c r="R69" s="2258"/>
    </row>
    <row r="70" spans="1:18" ht="15.75" thickBot="1">
      <c r="A70" s="812" t="s">
        <v>1778</v>
      </c>
      <c r="B70" s="813" t="s">
        <v>1801</v>
      </c>
      <c r="C70" s="814">
        <f ca="1">ROUND(C67*10000/F70,0)</f>
        <v>-412</v>
      </c>
      <c r="D70" s="815" t="s">
        <v>1802</v>
      </c>
      <c r="E70" s="816" t="s">
        <v>1803</v>
      </c>
      <c r="F70" s="817">
        <f ca="1">F43</f>
        <v>19342</v>
      </c>
      <c r="O70" s="2256" t="s">
        <v>2384</v>
      </c>
      <c r="P70" s="2262" t="s">
        <v>2385</v>
      </c>
      <c r="Q70" s="2255">
        <f ca="1">C39</f>
        <v>159</v>
      </c>
      <c r="R70" s="2254" t="s">
        <v>2365</v>
      </c>
    </row>
    <row r="71" spans="1:18" ht="15.75" thickBot="1">
      <c r="O71" s="2256" t="s">
        <v>2386</v>
      </c>
      <c r="P71" s="2262" t="s">
        <v>2387</v>
      </c>
      <c r="Q71" s="2255">
        <f ca="1">C13</f>
        <v>5578</v>
      </c>
      <c r="R71" s="2254" t="s">
        <v>2365</v>
      </c>
    </row>
    <row r="72" spans="1:18" ht="15.75" thickBot="1">
      <c r="O72" s="2256" t="s">
        <v>2388</v>
      </c>
      <c r="P72" s="2262" t="s">
        <v>2389</v>
      </c>
      <c r="Q72" s="2257">
        <f ca="1">J36</f>
        <v>8.5000000000000006E-2</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4384</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83" t="s">
        <v>2452</v>
      </c>
      <c r="B1" s="3584"/>
      <c r="C1" s="3585"/>
      <c r="D1" s="3586">
        <f>SUM(I10,I15,I20,I21,I23)</f>
        <v>0</v>
      </c>
      <c r="E1" s="3586"/>
      <c r="F1" s="3586"/>
      <c r="G1" s="3586"/>
      <c r="H1" s="3586"/>
      <c r="I1" s="3587"/>
    </row>
    <row r="2" spans="1:9">
      <c r="A2" s="3573" t="s">
        <v>2453</v>
      </c>
      <c r="B2" s="3574" t="s">
        <v>2454</v>
      </c>
      <c r="C2" s="3574"/>
      <c r="D2" s="2360" t="s">
        <v>2455</v>
      </c>
      <c r="E2" s="2360" t="s">
        <v>2456</v>
      </c>
      <c r="F2" s="2360" t="s">
        <v>2457</v>
      </c>
      <c r="G2" s="2360" t="s">
        <v>2458</v>
      </c>
      <c r="H2" s="2360" t="s">
        <v>2459</v>
      </c>
      <c r="I2" s="2361" t="s">
        <v>2460</v>
      </c>
    </row>
    <row r="3" spans="1:9">
      <c r="A3" s="3573"/>
      <c r="B3" s="3574" t="s">
        <v>2461</v>
      </c>
      <c r="C3" s="3574"/>
      <c r="D3" s="2362"/>
      <c r="E3" s="2360"/>
      <c r="F3" s="2363"/>
      <c r="G3" s="2363"/>
      <c r="H3" s="2364"/>
      <c r="I3" s="2365">
        <f>ROUND(D3*E3*F3*G3*H3/10000,0)</f>
        <v>0</v>
      </c>
    </row>
    <row r="4" spans="1:9">
      <c r="A4" s="3573"/>
      <c r="B4" s="3574" t="s">
        <v>2462</v>
      </c>
      <c r="C4" s="3574"/>
      <c r="D4" s="2362"/>
      <c r="E4" s="2360"/>
      <c r="F4" s="2363"/>
      <c r="G4" s="2363"/>
      <c r="H4" s="2364"/>
      <c r="I4" s="2365">
        <f t="shared" ref="I4:I9" si="0">ROUND(D4*E4*F4*G4*H4/10000,0)</f>
        <v>0</v>
      </c>
    </row>
    <row r="5" spans="1:9">
      <c r="A5" s="3573"/>
      <c r="B5" s="3574" t="s">
        <v>2463</v>
      </c>
      <c r="C5" s="3574"/>
      <c r="D5" s="2362"/>
      <c r="E5" s="2360"/>
      <c r="F5" s="2363"/>
      <c r="G5" s="2363"/>
      <c r="H5" s="2364"/>
      <c r="I5" s="2365">
        <f t="shared" si="0"/>
        <v>0</v>
      </c>
    </row>
    <row r="6" spans="1:9">
      <c r="A6" s="3573"/>
      <c r="B6" s="3574" t="s">
        <v>2464</v>
      </c>
      <c r="C6" s="3574"/>
      <c r="D6" s="2362"/>
      <c r="E6" s="2360"/>
      <c r="F6" s="2363"/>
      <c r="G6" s="2363"/>
      <c r="H6" s="2364"/>
      <c r="I6" s="2365">
        <f t="shared" si="0"/>
        <v>0</v>
      </c>
    </row>
    <row r="7" spans="1:9">
      <c r="A7" s="3573"/>
      <c r="B7" s="3574" t="s">
        <v>2465</v>
      </c>
      <c r="C7" s="3574"/>
      <c r="D7" s="2362"/>
      <c r="E7" s="2360"/>
      <c r="F7" s="2363"/>
      <c r="G7" s="2363"/>
      <c r="H7" s="2364"/>
      <c r="I7" s="2365">
        <f t="shared" si="0"/>
        <v>0</v>
      </c>
    </row>
    <row r="8" spans="1:9">
      <c r="A8" s="3573"/>
      <c r="B8" s="3574" t="s">
        <v>2466</v>
      </c>
      <c r="C8" s="3574"/>
      <c r="D8" s="2362"/>
      <c r="E8" s="2360"/>
      <c r="F8" s="2363"/>
      <c r="G8" s="2363"/>
      <c r="H8" s="2364"/>
      <c r="I8" s="2365">
        <f t="shared" si="0"/>
        <v>0</v>
      </c>
    </row>
    <row r="9" spans="1:9">
      <c r="A9" s="3573"/>
      <c r="B9" s="3574" t="s">
        <v>2467</v>
      </c>
      <c r="C9" s="3574"/>
      <c r="D9" s="2362"/>
      <c r="E9" s="2360"/>
      <c r="F9" s="2363"/>
      <c r="G9" s="2363"/>
      <c r="H9" s="2364"/>
      <c r="I9" s="2365">
        <f t="shared" si="0"/>
        <v>0</v>
      </c>
    </row>
    <row r="10" spans="1:9">
      <c r="A10" s="3573"/>
      <c r="B10" s="3575" t="s">
        <v>2468</v>
      </c>
      <c r="C10" s="3575"/>
      <c r="D10" s="2366">
        <v>527</v>
      </c>
      <c r="E10" s="2366" t="e">
        <f>ROUND(D1*10000/D10/H9,0)</f>
        <v>#DIV/0!</v>
      </c>
      <c r="F10" s="2367"/>
      <c r="G10" s="2367"/>
      <c r="H10" s="2368"/>
      <c r="I10" s="2369">
        <f>SUM(I3:I9)</f>
        <v>0</v>
      </c>
    </row>
    <row r="11" spans="1:9" ht="14.25">
      <c r="A11" s="3573" t="s">
        <v>2469</v>
      </c>
      <c r="B11" s="3574" t="s">
        <v>2470</v>
      </c>
      <c r="C11" s="3574"/>
      <c r="D11" s="2362" t="s">
        <v>2471</v>
      </c>
      <c r="E11" s="2362" t="s">
        <v>2472</v>
      </c>
      <c r="F11" s="2363" t="s">
        <v>2473</v>
      </c>
      <c r="G11" s="2363" t="s">
        <v>2474</v>
      </c>
      <c r="H11" s="2370" t="s">
        <v>2475</v>
      </c>
      <c r="I11" s="2361" t="s">
        <v>2476</v>
      </c>
    </row>
    <row r="12" spans="1:9">
      <c r="A12" s="3573"/>
      <c r="B12" s="3574" t="s">
        <v>2477</v>
      </c>
      <c r="C12" s="3574"/>
      <c r="D12" s="2362"/>
      <c r="E12" s="2362"/>
      <c r="F12" s="2363"/>
      <c r="G12" s="2364"/>
      <c r="H12" s="2371"/>
      <c r="I12" s="2361">
        <f>ROUND(D12*E12*F12*G12/10000,0)</f>
        <v>0</v>
      </c>
    </row>
    <row r="13" spans="1:9">
      <c r="A13" s="3573"/>
      <c r="B13" s="3574" t="s">
        <v>2478</v>
      </c>
      <c r="C13" s="3574"/>
      <c r="D13" s="2362"/>
      <c r="E13" s="2362"/>
      <c r="F13" s="2363"/>
      <c r="G13" s="2364"/>
      <c r="H13" s="2371"/>
      <c r="I13" s="2361">
        <f>ROUND(D13*E13*F13*G13/10000,0)</f>
        <v>0</v>
      </c>
    </row>
    <row r="14" spans="1:9">
      <c r="A14" s="3573"/>
      <c r="B14" s="3574" t="s">
        <v>2479</v>
      </c>
      <c r="C14" s="3574"/>
      <c r="D14" s="2362"/>
      <c r="E14" s="2362"/>
      <c r="F14" s="2363"/>
      <c r="G14" s="2364"/>
      <c r="H14" s="2371"/>
      <c r="I14" s="2361">
        <f>ROUND(D14*E14*F14*G14/10000,0)</f>
        <v>0</v>
      </c>
    </row>
    <row r="15" spans="1:9">
      <c r="A15" s="3573"/>
      <c r="B15" s="3575" t="s">
        <v>2468</v>
      </c>
      <c r="C15" s="3575"/>
      <c r="D15" s="2366"/>
      <c r="E15" s="2366">
        <f>SUM(E12:E14)</f>
        <v>0</v>
      </c>
      <c r="F15" s="2367"/>
      <c r="G15" s="2364"/>
      <c r="H15" s="2371"/>
      <c r="I15" s="2372">
        <f>SUM(I12:I14)</f>
        <v>0</v>
      </c>
    </row>
    <row r="16" spans="1:9" ht="24">
      <c r="A16" s="3573" t="s">
        <v>2480</v>
      </c>
      <c r="B16" s="3574" t="s">
        <v>2481</v>
      </c>
      <c r="C16" s="3574"/>
      <c r="D16" s="2362" t="s">
        <v>2482</v>
      </c>
      <c r="E16" s="2373" t="s">
        <v>2483</v>
      </c>
      <c r="F16" s="2363" t="s">
        <v>2484</v>
      </c>
      <c r="G16" s="2364" t="s">
        <v>2474</v>
      </c>
      <c r="H16" s="2370" t="s">
        <v>2475</v>
      </c>
      <c r="I16" s="2361" t="s">
        <v>2476</v>
      </c>
    </row>
    <row r="17" spans="1:9" ht="14.25">
      <c r="A17" s="3573"/>
      <c r="B17" s="3574" t="s">
        <v>2485</v>
      </c>
      <c r="C17" s="3574"/>
      <c r="D17" s="2362"/>
      <c r="E17" s="2362"/>
      <c r="F17" s="2363"/>
      <c r="G17" s="2364"/>
      <c r="H17" s="2374"/>
      <c r="I17" s="2375">
        <f>ROUND(D17*E17*F17*G17/10000,0)</f>
        <v>0</v>
      </c>
    </row>
    <row r="18" spans="1:9" ht="14.25">
      <c r="A18" s="3573"/>
      <c r="B18" s="3574" t="s">
        <v>2486</v>
      </c>
      <c r="C18" s="3574"/>
      <c r="D18" s="2362"/>
      <c r="E18" s="2362"/>
      <c r="F18" s="2363"/>
      <c r="G18" s="2364"/>
      <c r="H18" s="2374"/>
      <c r="I18" s="2375">
        <f>ROUND(D18*E18*F18*G18/10000,0)</f>
        <v>0</v>
      </c>
    </row>
    <row r="19" spans="1:9" ht="14.25">
      <c r="A19" s="3573"/>
      <c r="B19" s="3574" t="s">
        <v>2487</v>
      </c>
      <c r="C19" s="3574"/>
      <c r="D19" s="2362"/>
      <c r="E19" s="2362"/>
      <c r="F19" s="2363"/>
      <c r="G19" s="2364"/>
      <c r="H19" s="2374"/>
      <c r="I19" s="2375">
        <f>ROUND(D19*E19*F19*G19/10000,0)</f>
        <v>0</v>
      </c>
    </row>
    <row r="20" spans="1:9">
      <c r="A20" s="3573"/>
      <c r="B20" s="3575" t="s">
        <v>2468</v>
      </c>
      <c r="C20" s="3575"/>
      <c r="D20" s="2366">
        <f>SUM(D17:D19)</f>
        <v>0</v>
      </c>
      <c r="E20" s="2366"/>
      <c r="F20" s="2367"/>
      <c r="G20" s="2364"/>
      <c r="H20" s="2371"/>
      <c r="I20" s="2372">
        <f>SUM(I17:I19)</f>
        <v>0</v>
      </c>
    </row>
    <row r="21" spans="1:9">
      <c r="A21" s="3573" t="s">
        <v>2488</v>
      </c>
      <c r="B21" s="3576"/>
      <c r="C21" s="3576"/>
      <c r="D21" s="3576"/>
      <c r="E21" s="3576"/>
      <c r="F21" s="3576"/>
      <c r="G21" s="3576"/>
      <c r="H21" s="2376">
        <v>0.1</v>
      </c>
      <c r="I21" s="2369">
        <f>ROUND(I10*H21,0)</f>
        <v>0</v>
      </c>
    </row>
    <row r="22" spans="1:9" ht="14.25">
      <c r="A22" s="3577" t="s">
        <v>2489</v>
      </c>
      <c r="B22" s="3578"/>
      <c r="C22" s="3579"/>
      <c r="D22" s="2377" t="s">
        <v>2490</v>
      </c>
      <c r="E22" s="2377" t="s">
        <v>2491</v>
      </c>
      <c r="F22" s="2378" t="s">
        <v>2492</v>
      </c>
      <c r="G22" s="2378" t="s">
        <v>2493</v>
      </c>
      <c r="H22" s="2370" t="s">
        <v>2494</v>
      </c>
      <c r="I22" s="2361" t="s">
        <v>2495</v>
      </c>
    </row>
    <row r="23" spans="1:9" ht="14.25" thickBot="1">
      <c r="A23" s="3580"/>
      <c r="B23" s="3581"/>
      <c r="C23" s="3582"/>
      <c r="D23" s="2379"/>
      <c r="E23" s="2379"/>
      <c r="F23" s="2379"/>
      <c r="G23" s="2380"/>
      <c r="H23" s="2381"/>
      <c r="I23" s="2382">
        <f>ROUND(E23*D23*F23*(1-G23)/10000,0)</f>
        <v>0</v>
      </c>
    </row>
    <row r="26" spans="1:9">
      <c r="A26" s="2383" t="s">
        <v>2496</v>
      </c>
      <c r="B26" s="2383"/>
      <c r="C26" s="2383"/>
      <c r="D26" s="2383"/>
      <c r="E26" s="3570">
        <f>C27-C30-C31-C32</f>
        <v>0</v>
      </c>
      <c r="F26" s="3570"/>
      <c r="G26" s="3570"/>
      <c r="H26" s="2755" t="s">
        <v>2822</v>
      </c>
    </row>
    <row r="27" spans="1:9">
      <c r="A27" s="2384">
        <v>1</v>
      </c>
      <c r="B27" s="2385" t="s">
        <v>2497</v>
      </c>
      <c r="C27" s="2385"/>
      <c r="D27" s="2385"/>
      <c r="E27" s="3571"/>
      <c r="F27" s="3571"/>
      <c r="G27" s="3571"/>
    </row>
    <row r="28" spans="1:9">
      <c r="A28" s="2386" t="s">
        <v>2498</v>
      </c>
      <c r="B28" s="2385" t="s">
        <v>2499</v>
      </c>
      <c r="C28" s="2385"/>
      <c r="D28" s="2385"/>
      <c r="E28" s="3571"/>
      <c r="F28" s="3571"/>
      <c r="G28" s="3571"/>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572"/>
      <c r="F32" s="3572"/>
      <c r="G32" s="3572"/>
    </row>
    <row r="33" spans="1:7" hidden="1">
      <c r="A33" s="3567" t="s">
        <v>2507</v>
      </c>
      <c r="B33" s="3568"/>
      <c r="C33" s="3568"/>
      <c r="D33" s="3569"/>
      <c r="E33" s="3570"/>
      <c r="F33" s="3570"/>
      <c r="G33" s="3570"/>
    </row>
    <row r="34" spans="1:7" hidden="1">
      <c r="A34" s="2388">
        <v>1</v>
      </c>
      <c r="B34" s="2385" t="s">
        <v>2508</v>
      </c>
      <c r="C34" s="2385"/>
      <c r="D34" s="2385"/>
      <c r="E34" s="3571"/>
      <c r="F34" s="3571"/>
      <c r="G34" s="3571"/>
    </row>
    <row r="35" spans="1:7" hidden="1">
      <c r="A35" s="2388">
        <v>2</v>
      </c>
      <c r="B35" s="2385" t="s">
        <v>2509</v>
      </c>
      <c r="C35" s="2385"/>
      <c r="D35" s="2385"/>
      <c r="E35" s="3571"/>
      <c r="F35" s="3571"/>
      <c r="G35" s="3571"/>
    </row>
    <row r="36" spans="1:7" hidden="1">
      <c r="A36" s="2388">
        <v>3</v>
      </c>
      <c r="B36" s="2385" t="s">
        <v>2510</v>
      </c>
      <c r="C36" s="2385"/>
      <c r="D36" s="2385"/>
      <c r="E36" s="3571"/>
      <c r="F36" s="3571"/>
      <c r="G36" s="3571"/>
    </row>
    <row r="37" spans="1:7" hidden="1">
      <c r="A37" s="2388">
        <v>4</v>
      </c>
      <c r="B37" s="2385" t="s">
        <v>2511</v>
      </c>
      <c r="C37" s="2385"/>
      <c r="D37" s="2385"/>
      <c r="E37" s="3571"/>
      <c r="F37" s="3571"/>
      <c r="G37" s="3571"/>
    </row>
    <row r="38" spans="1:7" hidden="1">
      <c r="A38" s="3567" t="s">
        <v>2512</v>
      </c>
      <c r="B38" s="3568"/>
      <c r="C38" s="3568"/>
      <c r="D38" s="3569"/>
      <c r="E38" s="3570"/>
      <c r="F38" s="3570"/>
      <c r="G38" s="35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7"/>
      <c r="D2" s="3267"/>
      <c r="E2" s="3267"/>
      <c r="F2" s="3267"/>
      <c r="G2" s="3267"/>
    </row>
    <row r="3" spans="1:25" s="1942" customFormat="1" ht="18" customHeight="1">
      <c r="A3" s="1330" t="s">
        <v>1676</v>
      </c>
      <c r="B3" s="419">
        <f ca="1">ROUND(B2*10000/'数据-汇总表'!E3,0)</f>
        <v>0</v>
      </c>
      <c r="C3" s="3267"/>
      <c r="D3" s="3267"/>
      <c r="E3" s="3267"/>
      <c r="F3" s="3267"/>
      <c r="G3" s="3267"/>
    </row>
    <row r="4" spans="1:25" s="1942" customFormat="1" ht="18" customHeight="1">
      <c r="A4" s="420" t="s">
        <v>462</v>
      </c>
      <c r="B4" s="421">
        <f ca="1">ROUND(B2*10000/'数据-汇总表'!D3,0)</f>
        <v>0</v>
      </c>
      <c r="C4" s="3220"/>
      <c r="D4" s="3267"/>
      <c r="E4" s="3267"/>
      <c r="F4" s="3267"/>
      <c r="G4" s="3267"/>
    </row>
    <row r="5" spans="1:25" s="1942" customFormat="1" ht="18" customHeight="1" thickBot="1">
      <c r="A5" s="423"/>
      <c r="B5" s="424">
        <f ca="1">ROUND(B2/('数据-汇总表'!D3/666.67),0)</f>
        <v>0</v>
      </c>
      <c r="C5" s="425" t="s">
        <v>463</v>
      </c>
      <c r="D5" s="3267"/>
      <c r="E5" s="3267"/>
      <c r="F5" s="3267"/>
      <c r="G5" s="3267"/>
    </row>
    <row r="6" spans="1:25" s="2064" customFormat="1" ht="13.5" customHeight="1">
      <c r="A6" s="735"/>
      <c r="B6" s="736" t="s">
        <v>598</v>
      </c>
      <c r="C6" s="737" t="s">
        <v>599</v>
      </c>
      <c r="D6" s="737" t="s">
        <v>600</v>
      </c>
      <c r="E6" s="738" t="s">
        <v>601</v>
      </c>
      <c r="F6" s="738" t="s">
        <v>602</v>
      </c>
      <c r="G6" s="3266" t="s">
        <v>2997</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0">
        <f t="shared" ref="C8:C9" si="0">ROUND(D8*E8/10000,0)</f>
        <v>0</v>
      </c>
      <c r="D8" s="3270">
        <v>0</v>
      </c>
      <c r="E8" s="3271">
        <v>0</v>
      </c>
      <c r="F8" s="741"/>
      <c r="G8" s="742"/>
    </row>
    <row r="9" spans="1:25" s="2064" customFormat="1" ht="13.5" customHeight="1">
      <c r="A9" s="2323" t="s">
        <v>2424</v>
      </c>
      <c r="B9" s="2326" t="s">
        <v>2426</v>
      </c>
      <c r="C9" s="3270">
        <f t="shared" si="0"/>
        <v>0</v>
      </c>
      <c r="D9" s="3270">
        <v>0</v>
      </c>
      <c r="E9" s="3271">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573</v>
      </c>
      <c r="D12" s="3270">
        <f>'数据-汇总表'!E5</f>
        <v>63690</v>
      </c>
      <c r="E12" s="3270">
        <f>'数据-取费表'!B27</f>
        <v>90</v>
      </c>
      <c r="F12" s="746"/>
      <c r="G12" s="749"/>
    </row>
    <row r="13" spans="1:25" s="2064" customFormat="1" ht="13.5" customHeight="1">
      <c r="A13" s="2329" t="s">
        <v>2430</v>
      </c>
      <c r="B13" s="747" t="s">
        <v>606</v>
      </c>
      <c r="C13" s="748">
        <f>ROUND(D13*E13/10000,0)</f>
        <v>354</v>
      </c>
      <c r="D13" s="3270">
        <f>'数据-汇总表'!E6</f>
        <v>25286</v>
      </c>
      <c r="E13" s="3270">
        <f>'数据-取费表'!B28</f>
        <v>140</v>
      </c>
      <c r="F13" s="746"/>
      <c r="G13" s="749"/>
    </row>
    <row r="14" spans="1:25" s="2064" customFormat="1" ht="13.5" customHeight="1">
      <c r="A14" s="2323" t="s">
        <v>2424</v>
      </c>
      <c r="B14" s="2328" t="s">
        <v>2427</v>
      </c>
      <c r="C14" s="3272">
        <f t="shared" ref="C14:C15" si="1">ROUND(D14*E14/10000,0)</f>
        <v>0</v>
      </c>
      <c r="D14" s="3270">
        <v>0</v>
      </c>
      <c r="E14" s="3271">
        <v>0</v>
      </c>
      <c r="F14" s="2327"/>
      <c r="G14" s="2330" t="s">
        <v>2432</v>
      </c>
    </row>
    <row r="15" spans="1:25" s="2064" customFormat="1" ht="13.5" customHeight="1">
      <c r="A15" s="2323" t="s">
        <v>2429</v>
      </c>
      <c r="B15" s="2328" t="s">
        <v>2428</v>
      </c>
      <c r="C15" s="3272">
        <f t="shared" si="1"/>
        <v>0</v>
      </c>
      <c r="D15" s="3270">
        <v>0</v>
      </c>
      <c r="E15" s="3271">
        <v>0</v>
      </c>
      <c r="F15" s="2327"/>
      <c r="G15" s="2330" t="s">
        <v>2433</v>
      </c>
    </row>
    <row r="16" spans="1:25" s="2065" customFormat="1" ht="48">
      <c r="A16" s="2323">
        <v>3</v>
      </c>
      <c r="B16" s="739" t="s">
        <v>609</v>
      </c>
      <c r="C16" s="3272">
        <f t="shared" ref="C16" si="2">ROUND(D16*E16/10000,0)</f>
        <v>0</v>
      </c>
      <c r="D16" s="3270">
        <v>0</v>
      </c>
      <c r="E16" s="3271">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0.92500000000000004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9" customFormat="1">
      <c r="A24" s="3268"/>
      <c r="D24" s="1884"/>
      <c r="E24" s="1884"/>
    </row>
    <row r="25" spans="1:25" s="3269" customFormat="1">
      <c r="A25" s="3268"/>
      <c r="D25" s="1884"/>
      <c r="E25" s="1884"/>
    </row>
    <row r="26" spans="1:25" s="3269" customFormat="1">
      <c r="A26" s="3268"/>
      <c r="D26" s="1884"/>
      <c r="E26" s="1884"/>
    </row>
    <row r="27" spans="1:25" s="3269" customFormat="1">
      <c r="A27" s="3268"/>
      <c r="D27" s="1884"/>
      <c r="E27" s="1884"/>
    </row>
    <row r="28" spans="1:25" s="3269" customFormat="1">
      <c r="A28" s="3268"/>
      <c r="D28" s="1884"/>
      <c r="E28" s="1884"/>
    </row>
    <row r="29" spans="1:25" s="3269" customFormat="1">
      <c r="A29" s="3268"/>
      <c r="D29" s="1884"/>
      <c r="E29" s="1884"/>
    </row>
    <row r="30" spans="1:25" s="3269" customFormat="1">
      <c r="A30" s="3268"/>
      <c r="D30" s="1884"/>
      <c r="E30" s="1884"/>
    </row>
    <row r="31" spans="1:25" s="3269" customFormat="1">
      <c r="A31" s="3268"/>
      <c r="D31" s="1884"/>
      <c r="E31" s="1884"/>
    </row>
    <row r="32" spans="1:25" s="3269" customFormat="1">
      <c r="A32" s="3268"/>
      <c r="D32" s="1884"/>
      <c r="E32" s="1884"/>
    </row>
    <row r="33" spans="1:5" s="3269" customFormat="1">
      <c r="A33" s="3268"/>
      <c r="D33" s="1884"/>
      <c r="E33" s="1884"/>
    </row>
    <row r="34" spans="1:5" s="3269" customFormat="1">
      <c r="A34" s="3268"/>
      <c r="D34" s="1884"/>
      <c r="E34" s="1884"/>
    </row>
    <row r="35" spans="1:5" s="3269" customFormat="1">
      <c r="A35" s="3268"/>
      <c r="D35" s="1884"/>
      <c r="E35" s="1884"/>
    </row>
    <row r="36" spans="1:5" s="3269" customFormat="1">
      <c r="A36" s="3268"/>
      <c r="D36" s="1884"/>
      <c r="E36" s="1884"/>
    </row>
    <row r="37" spans="1:5" s="3269" customFormat="1">
      <c r="A37" s="3268"/>
      <c r="D37" s="1884"/>
      <c r="E37" s="1884"/>
    </row>
    <row r="38" spans="1:5" s="3269" customFormat="1">
      <c r="A38" s="3268"/>
      <c r="D38" s="1884"/>
      <c r="E38" s="1884"/>
    </row>
    <row r="39" spans="1:5" s="3269" customFormat="1">
      <c r="A39" s="3268"/>
      <c r="D39" s="1884"/>
      <c r="E39" s="1884"/>
    </row>
    <row r="40" spans="1:5" s="3269" customFormat="1">
      <c r="A40" s="3268"/>
      <c r="D40" s="1884"/>
      <c r="E40" s="1884"/>
    </row>
    <row r="41" spans="1:5" s="3269" customFormat="1">
      <c r="A41" s="3268"/>
      <c r="D41" s="1884"/>
      <c r="E41" s="1884"/>
    </row>
    <row r="42" spans="1:5" s="3269" customFormat="1">
      <c r="A42" s="3268"/>
      <c r="D42" s="1884"/>
      <c r="E42" s="1884"/>
    </row>
    <row r="43" spans="1:5" s="3269" customFormat="1">
      <c r="A43" s="3268"/>
      <c r="D43" s="1884"/>
      <c r="E43" s="1884"/>
    </row>
    <row r="44" spans="1:5" s="3269" customFormat="1">
      <c r="A44" s="3268"/>
      <c r="D44" s="1884"/>
      <c r="E44" s="1884"/>
    </row>
    <row r="45" spans="1:5" s="3269" customFormat="1">
      <c r="A45" s="3268"/>
      <c r="D45" s="1884"/>
      <c r="E45" s="1884"/>
    </row>
    <row r="46" spans="1:5" s="3269" customFormat="1">
      <c r="A46" s="3268"/>
      <c r="D46" s="1884"/>
      <c r="E46" s="1884"/>
    </row>
    <row r="47" spans="1:5" s="3269" customFormat="1">
      <c r="A47" s="3268"/>
      <c r="D47" s="1884"/>
      <c r="E47" s="1884"/>
    </row>
    <row r="48" spans="1:5" s="3269" customFormat="1">
      <c r="A48" s="3268"/>
      <c r="D48" s="1884"/>
      <c r="E48" s="1884"/>
    </row>
    <row r="49" spans="1:5" s="3269" customFormat="1">
      <c r="A49" s="3268"/>
      <c r="D49" s="1884"/>
      <c r="E49" s="1884"/>
    </row>
    <row r="50" spans="1:5" s="3269" customFormat="1">
      <c r="A50" s="3268"/>
      <c r="D50" s="1884"/>
      <c r="E50" s="1884"/>
    </row>
    <row r="51" spans="1:5" s="3269" customFormat="1">
      <c r="A51" s="3268"/>
      <c r="D51" s="1884"/>
      <c r="E51" s="1884"/>
    </row>
    <row r="52" spans="1:5" s="3269" customFormat="1">
      <c r="A52" s="3268"/>
      <c r="D52" s="1884"/>
      <c r="E52" s="1884"/>
    </row>
    <row r="53" spans="1:5" s="3269" customFormat="1">
      <c r="A53" s="3268"/>
      <c r="D53" s="1884"/>
      <c r="E53" s="1884"/>
    </row>
    <row r="54" spans="1:5" s="3269" customFormat="1">
      <c r="A54" s="3268"/>
      <c r="D54" s="1884"/>
      <c r="E54" s="1884"/>
    </row>
    <row r="55" spans="1:5" s="3269" customFormat="1">
      <c r="A55" s="3268"/>
      <c r="D55" s="1884"/>
      <c r="E55" s="1884"/>
    </row>
    <row r="56" spans="1:5" s="3269" customFormat="1">
      <c r="A56" s="3268"/>
      <c r="D56" s="1884"/>
      <c r="E56" s="1884"/>
    </row>
    <row r="57" spans="1:5" s="3269" customFormat="1">
      <c r="A57" s="3268"/>
      <c r="D57" s="1884"/>
      <c r="E57" s="1884"/>
    </row>
    <row r="58" spans="1:5" s="3269" customFormat="1">
      <c r="A58" s="3268"/>
      <c r="D58" s="1884"/>
      <c r="E58" s="1884"/>
    </row>
    <row r="59" spans="1:5" s="3269" customFormat="1">
      <c r="A59" s="3268"/>
      <c r="D59" s="1884"/>
      <c r="E59" s="1884"/>
    </row>
    <row r="60" spans="1:5" s="3269" customFormat="1">
      <c r="A60" s="3268"/>
      <c r="D60" s="1884"/>
      <c r="E60" s="1884"/>
    </row>
    <row r="61" spans="1:5" s="3269" customFormat="1">
      <c r="A61" s="3268"/>
      <c r="D61" s="1884"/>
      <c r="E61" s="1884"/>
    </row>
    <row r="62" spans="1:5" s="3269" customFormat="1">
      <c r="A62" s="3268"/>
      <c r="D62" s="1884"/>
      <c r="E62" s="1884"/>
    </row>
    <row r="63" spans="1:5" s="3269" customFormat="1">
      <c r="A63" s="3268"/>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I47" sqref="I47:I48"/>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3011</v>
      </c>
      <c r="E1" s="2009"/>
      <c r="F1" s="2524" t="s">
        <v>3373</v>
      </c>
      <c r="G1" s="1531" t="s">
        <v>715</v>
      </c>
      <c r="H1" s="500"/>
      <c r="I1" s="500"/>
      <c r="J1" s="500"/>
      <c r="K1" s="501"/>
      <c r="L1" s="3209"/>
      <c r="M1" s="3210"/>
      <c r="N1" s="3210"/>
      <c r="O1" s="3210"/>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95444</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16777</v>
      </c>
      <c r="C3" s="841" t="s">
        <v>716</v>
      </c>
      <c r="D3" s="840">
        <f>SUMIF('数据-汇总表'!$C19:$C33,D1,'数据-汇总表'!$E19:$E33)</f>
        <v>56890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490" t="s">
        <v>516</v>
      </c>
      <c r="D4" s="3491"/>
      <c r="E4" s="3515" t="s">
        <v>517</v>
      </c>
      <c r="F4" s="3516"/>
      <c r="G4" s="3490" t="s">
        <v>518</v>
      </c>
      <c r="H4" s="3491"/>
      <c r="I4" s="3490" t="s">
        <v>519</v>
      </c>
      <c r="J4" s="3491"/>
      <c r="K4" s="842" t="s">
        <v>520</v>
      </c>
      <c r="L4" s="2015"/>
      <c r="M4" s="2016"/>
      <c r="N4" s="2016"/>
      <c r="O4" s="2016"/>
      <c r="P4" s="3492" t="s">
        <v>521</v>
      </c>
      <c r="Q4" s="3493"/>
      <c r="R4" s="3478" t="s">
        <v>517</v>
      </c>
      <c r="S4" s="3479"/>
      <c r="T4" s="3478" t="s">
        <v>518</v>
      </c>
      <c r="U4" s="3479"/>
      <c r="V4" s="3498" t="s">
        <v>519</v>
      </c>
      <c r="W4" s="3498"/>
      <c r="X4" s="1501"/>
      <c r="Y4" s="3478" t="s">
        <v>521</v>
      </c>
      <c r="Z4" s="3479"/>
      <c r="AA4" s="3473" t="s">
        <v>517</v>
      </c>
      <c r="AB4" s="3473" t="s">
        <v>518</v>
      </c>
      <c r="AC4" s="3473" t="s">
        <v>519</v>
      </c>
    </row>
    <row r="5" spans="1:29" ht="15">
      <c r="A5" s="509"/>
      <c r="B5" s="510"/>
      <c r="C5" s="3501" t="s">
        <v>2897</v>
      </c>
      <c r="D5" s="3502"/>
      <c r="E5" s="3588" t="s">
        <v>3414</v>
      </c>
      <c r="F5" s="3518"/>
      <c r="G5" s="3589" t="s">
        <v>3415</v>
      </c>
      <c r="H5" s="3502"/>
      <c r="I5" s="3589" t="s">
        <v>3416</v>
      </c>
      <c r="J5" s="3502"/>
      <c r="K5" s="843"/>
      <c r="L5" s="2015"/>
      <c r="M5" s="2016"/>
      <c r="N5" s="2016"/>
      <c r="O5" s="2016"/>
      <c r="P5" s="3494"/>
      <c r="Q5" s="3495"/>
      <c r="R5" s="3480"/>
      <c r="S5" s="3481"/>
      <c r="T5" s="3480"/>
      <c r="U5" s="3481"/>
      <c r="V5" s="3498"/>
      <c r="W5" s="3498"/>
      <c r="X5" s="1501"/>
      <c r="Y5" s="3480"/>
      <c r="Z5" s="3481"/>
      <c r="AA5" s="3474"/>
      <c r="AB5" s="3474"/>
      <c r="AC5" s="3474"/>
    </row>
    <row r="6" spans="1:29" ht="15.75" thickBot="1">
      <c r="A6" s="511"/>
      <c r="B6" s="512"/>
      <c r="C6" s="3499" t="s">
        <v>2901</v>
      </c>
      <c r="D6" s="3500"/>
      <c r="E6" s="3519" t="s">
        <v>2901</v>
      </c>
      <c r="F6" s="3520"/>
      <c r="G6" s="3499" t="s">
        <v>2901</v>
      </c>
      <c r="H6" s="3500"/>
      <c r="I6" s="3499" t="s">
        <v>2901</v>
      </c>
      <c r="J6" s="3500"/>
      <c r="K6" s="843" t="s">
        <v>522</v>
      </c>
      <c r="L6" s="2015"/>
      <c r="M6" s="2016"/>
      <c r="N6" s="2016"/>
      <c r="O6" s="2016"/>
      <c r="P6" s="3496"/>
      <c r="Q6" s="3497"/>
      <c r="R6" s="3480"/>
      <c r="S6" s="3481"/>
      <c r="T6" s="3482"/>
      <c r="U6" s="3483"/>
      <c r="V6" s="3498"/>
      <c r="W6" s="3498"/>
      <c r="X6" s="1501"/>
      <c r="Y6" s="3482"/>
      <c r="Z6" s="3483"/>
      <c r="AA6" s="3475"/>
      <c r="AB6" s="3475"/>
      <c r="AC6" s="3475"/>
    </row>
    <row r="7" spans="1:29" s="1202" customFormat="1" ht="15.75" thickBot="1">
      <c r="A7" s="2629"/>
      <c r="B7" s="2636" t="s">
        <v>523</v>
      </c>
      <c r="C7" s="513">
        <f>'数据-取费表'!B2</f>
        <v>44385</v>
      </c>
      <c r="D7" s="514">
        <v>100</v>
      </c>
      <c r="E7" s="515">
        <v>44317</v>
      </c>
      <c r="F7" s="516">
        <f>SUMIF(58:58,YEAR(E7)&amp;"-"&amp;MONTH(E7),59:59)</f>
        <v>100</v>
      </c>
      <c r="G7" s="517">
        <v>44348</v>
      </c>
      <c r="H7" s="514">
        <f>SUMIF(58:58,YEAR(G7)&amp;"-"&amp;MONTH(G7),59:59)</f>
        <v>100</v>
      </c>
      <c r="I7" s="517">
        <v>44348</v>
      </c>
      <c r="J7" s="514">
        <f>SUMIF(58:58,YEAR(I7)&amp;"-"&amp;MONTH(I7),59:59)</f>
        <v>100</v>
      </c>
      <c r="K7" s="844"/>
      <c r="L7" s="2017"/>
      <c r="M7" s="2018"/>
      <c r="N7" s="2018"/>
      <c r="O7" s="2018"/>
      <c r="P7" s="3476" t="s">
        <v>524</v>
      </c>
      <c r="Q7" s="3485"/>
      <c r="R7" s="1502" t="s">
        <v>13</v>
      </c>
      <c r="S7" s="1503">
        <f t="shared" ref="S7:S15" si="0">F7</f>
        <v>100</v>
      </c>
      <c r="T7" s="1502" t="s">
        <v>13</v>
      </c>
      <c r="U7" s="1503">
        <f t="shared" ref="U7:U15" si="1">H7</f>
        <v>100</v>
      </c>
      <c r="V7" s="1502" t="s">
        <v>13</v>
      </c>
      <c r="W7" s="1503">
        <f t="shared" ref="W7:W15" si="2">J7</f>
        <v>100</v>
      </c>
      <c r="X7" s="1504"/>
      <c r="Y7" s="3476" t="s">
        <v>524</v>
      </c>
      <c r="Z7" s="3477"/>
      <c r="AA7" s="1505">
        <f>D7/F7</f>
        <v>1</v>
      </c>
      <c r="AB7" s="1505">
        <f>D7/H7</f>
        <v>1</v>
      </c>
      <c r="AC7" s="1505">
        <f>D7/J7</f>
        <v>1</v>
      </c>
    </row>
    <row r="8" spans="1:29" s="1202" customFormat="1" ht="15.75" thickBot="1">
      <c r="A8" s="2630"/>
      <c r="B8" s="2637" t="s">
        <v>525</v>
      </c>
      <c r="C8" s="519" t="s">
        <v>570</v>
      </c>
      <c r="D8" s="514">
        <v>100</v>
      </c>
      <c r="E8" s="519" t="s">
        <v>570</v>
      </c>
      <c r="F8" s="516">
        <f>SUMIF(61:61,E8,62:62)-SUMIF(61:61,C8,62:62)+100</f>
        <v>100</v>
      </c>
      <c r="G8" s="519" t="s">
        <v>570</v>
      </c>
      <c r="H8" s="514">
        <f>SUMIF(61:61,G8,62:62)-SUMIF(61:61,C8,62:62)+100</f>
        <v>100</v>
      </c>
      <c r="I8" s="519" t="s">
        <v>570</v>
      </c>
      <c r="J8" s="514">
        <f>SUMIF(61:61,I8,62:62)-SUMIF(61:61,C8,62:62)+100</f>
        <v>100</v>
      </c>
      <c r="K8" s="844"/>
      <c r="L8" s="2017"/>
      <c r="M8" s="2018"/>
      <c r="N8" s="2018"/>
      <c r="O8" s="2018"/>
      <c r="P8" s="3476" t="s">
        <v>527</v>
      </c>
      <c r="Q8" s="3477"/>
      <c r="R8" s="1502" t="s">
        <v>13</v>
      </c>
      <c r="S8" s="1503">
        <f t="shared" si="0"/>
        <v>100</v>
      </c>
      <c r="T8" s="1502" t="s">
        <v>13</v>
      </c>
      <c r="U8" s="1503">
        <f t="shared" si="1"/>
        <v>100</v>
      </c>
      <c r="V8" s="1502" t="s">
        <v>13</v>
      </c>
      <c r="W8" s="1503">
        <f t="shared" si="2"/>
        <v>100</v>
      </c>
      <c r="X8" s="1504"/>
      <c r="Y8" s="3476" t="s">
        <v>527</v>
      </c>
      <c r="Z8" s="3477"/>
      <c r="AA8" s="1505">
        <f t="shared" ref="AA8:AA46" si="3">D8/F8</f>
        <v>1</v>
      </c>
      <c r="AB8" s="1505">
        <f t="shared" ref="AB8:AB46" si="4">D8/H8</f>
        <v>1</v>
      </c>
      <c r="AC8" s="1505">
        <f t="shared" ref="AC8:AC46" si="5">D8/J8</f>
        <v>1</v>
      </c>
    </row>
    <row r="9" spans="1:29" s="1202" customFormat="1" ht="15">
      <c r="A9" s="2631"/>
      <c r="B9" s="2638" t="s">
        <v>2736</v>
      </c>
      <c r="C9" s="3294" t="s">
        <v>3413</v>
      </c>
      <c r="D9" s="252">
        <v>100</v>
      </c>
      <c r="E9" s="847" t="s">
        <v>914</v>
      </c>
      <c r="F9" s="848">
        <f>SUMIF(63:63,E9,64:64)-SUMIF(63:63,C9,64:64)+100</f>
        <v>100</v>
      </c>
      <c r="G9" s="847" t="s">
        <v>914</v>
      </c>
      <c r="H9" s="252">
        <f>SUMIF(63:63,G9,64:64)-SUMIF(63:63,C9,64:64)+100</f>
        <v>100</v>
      </c>
      <c r="I9" s="847" t="s">
        <v>914</v>
      </c>
      <c r="J9" s="252">
        <f>SUMIF(63:63,I9,64:64)-SUMIF(63:63,C9,64:64)+100</f>
        <v>100</v>
      </c>
      <c r="K9" s="844"/>
      <c r="L9" s="2017"/>
      <c r="M9" s="2018"/>
      <c r="N9" s="2018"/>
      <c r="O9" s="2019"/>
      <c r="P9" s="3484" t="s">
        <v>529</v>
      </c>
      <c r="Q9" s="1133" t="str">
        <f t="shared" ref="Q9:Q15" si="6">B9</f>
        <v>用途</v>
      </c>
      <c r="R9" s="1502" t="s">
        <v>8</v>
      </c>
      <c r="S9" s="1503">
        <f t="shared" si="0"/>
        <v>100</v>
      </c>
      <c r="T9" s="1502" t="s">
        <v>8</v>
      </c>
      <c r="U9" s="1503">
        <f t="shared" si="1"/>
        <v>100</v>
      </c>
      <c r="V9" s="1502" t="s">
        <v>8</v>
      </c>
      <c r="W9" s="1503">
        <f t="shared" si="2"/>
        <v>100</v>
      </c>
      <c r="X9" s="1504"/>
      <c r="Y9" s="3435"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84"/>
      <c r="Q10" s="1133" t="str">
        <f t="shared" si="6"/>
        <v>土地使用年限（年）</v>
      </c>
      <c r="R10" s="1502" t="s">
        <v>8</v>
      </c>
      <c r="S10" s="1503">
        <f t="shared" si="0"/>
        <v>100</v>
      </c>
      <c r="T10" s="1502" t="s">
        <v>8</v>
      </c>
      <c r="U10" s="1503">
        <f t="shared" si="1"/>
        <v>100</v>
      </c>
      <c r="V10" s="1502" t="s">
        <v>8</v>
      </c>
      <c r="W10" s="1503">
        <f t="shared" si="2"/>
        <v>100</v>
      </c>
      <c r="X10" s="1504"/>
      <c r="Y10" s="3435"/>
      <c r="Z10" s="1132" t="str">
        <f t="shared" si="7"/>
        <v>土地使用年限（年）</v>
      </c>
      <c r="AA10" s="1505">
        <f t="shared" si="3"/>
        <v>1</v>
      </c>
      <c r="AB10" s="1505">
        <f t="shared" si="4"/>
        <v>1</v>
      </c>
      <c r="AC10" s="1505">
        <f t="shared" si="5"/>
        <v>1</v>
      </c>
    </row>
    <row r="11" spans="1:29" ht="15.75" thickBot="1">
      <c r="A11" s="2633"/>
      <c r="B11" s="2637" t="s">
        <v>2738</v>
      </c>
      <c r="C11" s="527">
        <f>'比较法-住宅、综合'!C13</f>
        <v>1.51</v>
      </c>
      <c r="D11" s="253">
        <v>100</v>
      </c>
      <c r="E11" s="528">
        <v>1.5</v>
      </c>
      <c r="F11" s="852">
        <f>LOOKUP(E11,68:68,69:69)-LOOKUP(C11,68:68,69:69)+100</f>
        <v>100</v>
      </c>
      <c r="G11" s="527">
        <v>1.5</v>
      </c>
      <c r="H11" s="253">
        <f>LOOKUP(G11,68:68,69:69)-LOOKUP(C11,68:68,69:69)+100</f>
        <v>100</v>
      </c>
      <c r="I11" s="527">
        <v>1.47</v>
      </c>
      <c r="J11" s="253">
        <f>LOOKUP(I11,68:68,69:69)-LOOKUP(C11,68:68,69:69)+100</f>
        <v>100</v>
      </c>
      <c r="K11" s="853">
        <v>2</v>
      </c>
      <c r="L11" s="2022"/>
      <c r="M11" s="2016"/>
      <c r="N11" s="2016"/>
      <c r="O11" s="2023"/>
      <c r="P11" s="3484"/>
      <c r="Q11" s="1133" t="str">
        <f t="shared" si="6"/>
        <v>容积率</v>
      </c>
      <c r="R11" s="1502" t="s">
        <v>11</v>
      </c>
      <c r="S11" s="1503">
        <f t="shared" si="0"/>
        <v>100</v>
      </c>
      <c r="T11" s="1502" t="s">
        <v>11</v>
      </c>
      <c r="U11" s="1503">
        <f t="shared" si="1"/>
        <v>100</v>
      </c>
      <c r="V11" s="1502" t="s">
        <v>11</v>
      </c>
      <c r="W11" s="1503">
        <f t="shared" si="2"/>
        <v>100</v>
      </c>
      <c r="X11" s="1504"/>
      <c r="Y11" s="3435"/>
      <c r="Z11" s="1132" t="str">
        <f t="shared" si="7"/>
        <v>容积率</v>
      </c>
      <c r="AA11" s="1505">
        <f t="shared" si="3"/>
        <v>1</v>
      </c>
      <c r="AB11" s="1505">
        <f t="shared" si="4"/>
        <v>1</v>
      </c>
      <c r="AC11" s="1505">
        <f t="shared" si="5"/>
        <v>1</v>
      </c>
    </row>
    <row r="12" spans="1:29" s="1202" customFormat="1" ht="15" hidden="1">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84"/>
      <c r="Q12" s="1133">
        <f t="shared" si="6"/>
        <v>111</v>
      </c>
      <c r="R12" s="1502" t="s">
        <v>11</v>
      </c>
      <c r="S12" s="1503">
        <f t="shared" si="0"/>
        <v>100</v>
      </c>
      <c r="T12" s="1502" t="s">
        <v>11</v>
      </c>
      <c r="U12" s="1503">
        <f t="shared" si="1"/>
        <v>100</v>
      </c>
      <c r="V12" s="1502" t="s">
        <v>11</v>
      </c>
      <c r="W12" s="1503">
        <f t="shared" si="2"/>
        <v>100</v>
      </c>
      <c r="X12" s="1504"/>
      <c r="Y12" s="3435"/>
      <c r="Z12" s="1132">
        <f t="shared" si="7"/>
        <v>111</v>
      </c>
      <c r="AA12" s="1505">
        <f>D12/F12</f>
        <v>1</v>
      </c>
      <c r="AB12" s="1505">
        <f>D12/H12</f>
        <v>1</v>
      </c>
      <c r="AC12" s="1505">
        <f>D12/J12</f>
        <v>1</v>
      </c>
    </row>
    <row r="13" spans="1:29" ht="15" hidden="1">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84"/>
      <c r="Q13" s="1133">
        <f t="shared" si="6"/>
        <v>111</v>
      </c>
      <c r="R13" s="1502" t="s">
        <v>11</v>
      </c>
      <c r="S13" s="1503">
        <f t="shared" si="0"/>
        <v>100</v>
      </c>
      <c r="T13" s="1502" t="s">
        <v>11</v>
      </c>
      <c r="U13" s="1503">
        <f t="shared" si="1"/>
        <v>100</v>
      </c>
      <c r="V13" s="1502" t="s">
        <v>11</v>
      </c>
      <c r="W13" s="1503">
        <f t="shared" si="2"/>
        <v>100</v>
      </c>
      <c r="X13" s="1504"/>
      <c r="Y13" s="3435"/>
      <c r="Z13" s="1132">
        <f t="shared" si="7"/>
        <v>111</v>
      </c>
      <c r="AA13" s="1505">
        <f t="shared" si="3"/>
        <v>1</v>
      </c>
      <c r="AB13" s="1505">
        <f t="shared" si="4"/>
        <v>1</v>
      </c>
      <c r="AC13" s="1505">
        <f t="shared" si="5"/>
        <v>1</v>
      </c>
    </row>
    <row r="14" spans="1:29" ht="15.75" hidden="1"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84"/>
      <c r="Q14" s="1133">
        <f t="shared" si="6"/>
        <v>111</v>
      </c>
      <c r="R14" s="1502" t="s">
        <v>11</v>
      </c>
      <c r="S14" s="1503">
        <f t="shared" si="0"/>
        <v>100</v>
      </c>
      <c r="T14" s="1502" t="s">
        <v>11</v>
      </c>
      <c r="U14" s="1503">
        <f t="shared" si="1"/>
        <v>100</v>
      </c>
      <c r="V14" s="1502" t="s">
        <v>11</v>
      </c>
      <c r="W14" s="1503">
        <f t="shared" si="2"/>
        <v>100</v>
      </c>
      <c r="X14" s="1504"/>
      <c r="Y14" s="3435"/>
      <c r="Z14" s="1132">
        <f t="shared" si="7"/>
        <v>111</v>
      </c>
      <c r="AA14" s="1505">
        <f t="shared" si="3"/>
        <v>1</v>
      </c>
      <c r="AB14" s="1505">
        <f t="shared" si="4"/>
        <v>1</v>
      </c>
      <c r="AC14" s="1505">
        <f t="shared" si="5"/>
        <v>1</v>
      </c>
    </row>
    <row r="15" spans="1:29" ht="99.75">
      <c r="A15" s="2627"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v>2</v>
      </c>
      <c r="L15" s="2024"/>
      <c r="M15" s="2016"/>
      <c r="N15" s="2016"/>
      <c r="O15" s="2023"/>
      <c r="P15" s="3486" t="s">
        <v>534</v>
      </c>
      <c r="Q15" s="1506" t="str">
        <f t="shared" si="6"/>
        <v>居住社区成熟度</v>
      </c>
      <c r="R15" s="1507" t="s">
        <v>11</v>
      </c>
      <c r="S15" s="1508">
        <f t="shared" si="0"/>
        <v>100</v>
      </c>
      <c r="T15" s="1507" t="s">
        <v>11</v>
      </c>
      <c r="U15" s="1508">
        <f t="shared" si="1"/>
        <v>100</v>
      </c>
      <c r="V15" s="1507" t="s">
        <v>11</v>
      </c>
      <c r="W15" s="1508">
        <f t="shared" si="2"/>
        <v>100</v>
      </c>
      <c r="X15" s="1501"/>
      <c r="Y15" s="3486" t="s">
        <v>534</v>
      </c>
      <c r="Z15" s="1509" t="str">
        <f t="shared" si="7"/>
        <v>居住社区成熟度</v>
      </c>
      <c r="AA15" s="1510">
        <f t="shared" si="3"/>
        <v>1</v>
      </c>
      <c r="AB15" s="1510">
        <f t="shared" si="4"/>
        <v>1</v>
      </c>
      <c r="AC15" s="1510">
        <f t="shared" si="5"/>
        <v>1</v>
      </c>
    </row>
    <row r="16" spans="1:29" ht="15">
      <c r="A16" s="526"/>
      <c r="B16" s="858"/>
      <c r="C16" s="570" t="s">
        <v>3377</v>
      </c>
      <c r="D16" s="549"/>
      <c r="E16" s="570" t="s">
        <v>3377</v>
      </c>
      <c r="F16" s="551"/>
      <c r="G16" s="570" t="s">
        <v>3377</v>
      </c>
      <c r="H16" s="553"/>
      <c r="I16" s="570" t="s">
        <v>3377</v>
      </c>
      <c r="J16" s="549"/>
      <c r="K16" s="859"/>
      <c r="L16" s="2024"/>
      <c r="M16" s="2016"/>
      <c r="N16" s="2016"/>
      <c r="O16" s="2023"/>
      <c r="P16" s="3487"/>
      <c r="Q16" s="1506"/>
      <c r="R16" s="1507"/>
      <c r="S16" s="1508"/>
      <c r="T16" s="1507"/>
      <c r="U16" s="1508"/>
      <c r="V16" s="1507"/>
      <c r="W16" s="1508"/>
      <c r="X16" s="1501"/>
      <c r="Y16" s="3487"/>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v>2</v>
      </c>
      <c r="L17" s="2024"/>
      <c r="M17" s="2016"/>
      <c r="N17" s="2016"/>
      <c r="O17" s="2023"/>
      <c r="P17" s="3487"/>
      <c r="Q17" s="1506" t="str">
        <f>B17</f>
        <v>交通便捷度</v>
      </c>
      <c r="R17" s="1507" t="s">
        <v>11</v>
      </c>
      <c r="S17" s="1508">
        <f>F17</f>
        <v>100</v>
      </c>
      <c r="T17" s="1507" t="s">
        <v>11</v>
      </c>
      <c r="U17" s="1508">
        <f>H17</f>
        <v>100</v>
      </c>
      <c r="V17" s="1507" t="s">
        <v>11</v>
      </c>
      <c r="W17" s="1508">
        <f>J17</f>
        <v>100</v>
      </c>
      <c r="X17" s="1501"/>
      <c r="Y17" s="3487"/>
      <c r="Z17" s="1509" t="str">
        <f>Q17</f>
        <v>交通便捷度</v>
      </c>
      <c r="AA17" s="1510">
        <f t="shared" si="3"/>
        <v>1</v>
      </c>
      <c r="AB17" s="1510">
        <f t="shared" si="4"/>
        <v>1</v>
      </c>
      <c r="AC17" s="1510">
        <f t="shared" si="5"/>
        <v>1</v>
      </c>
    </row>
    <row r="18" spans="1:29" ht="15">
      <c r="A18" s="526"/>
      <c r="B18" s="589"/>
      <c r="C18" s="862" t="s">
        <v>3377</v>
      </c>
      <c r="D18" s="553"/>
      <c r="E18" s="570" t="s">
        <v>3377</v>
      </c>
      <c r="F18" s="557"/>
      <c r="G18" s="570" t="s">
        <v>3377</v>
      </c>
      <c r="H18" s="549"/>
      <c r="I18" s="570" t="s">
        <v>3377</v>
      </c>
      <c r="J18" s="549"/>
      <c r="K18" s="859"/>
      <c r="L18" s="2024"/>
      <c r="M18" s="2016"/>
      <c r="N18" s="2016"/>
      <c r="O18" s="2023"/>
      <c r="P18" s="3487"/>
      <c r="Q18" s="1506"/>
      <c r="R18" s="1507"/>
      <c r="S18" s="1508"/>
      <c r="T18" s="1507"/>
      <c r="U18" s="1508"/>
      <c r="V18" s="1507"/>
      <c r="W18" s="1508"/>
      <c r="X18" s="1501"/>
      <c r="Y18" s="3487"/>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v>2</v>
      </c>
      <c r="L19" s="2024"/>
      <c r="M19" s="2016"/>
      <c r="N19" s="2016"/>
      <c r="O19" s="2023"/>
      <c r="P19" s="3487"/>
      <c r="Q19" s="1506" t="str">
        <f>B19</f>
        <v>公共配套设施</v>
      </c>
      <c r="R19" s="1507" t="s">
        <v>11</v>
      </c>
      <c r="S19" s="1508">
        <f>F19</f>
        <v>100</v>
      </c>
      <c r="T19" s="1507" t="s">
        <v>11</v>
      </c>
      <c r="U19" s="1508">
        <f>H19</f>
        <v>100</v>
      </c>
      <c r="V19" s="1507" t="s">
        <v>11</v>
      </c>
      <c r="W19" s="1508">
        <f>J19</f>
        <v>100</v>
      </c>
      <c r="X19" s="1501"/>
      <c r="Y19" s="3487"/>
      <c r="Z19" s="1509" t="str">
        <f>Q19</f>
        <v>公共配套设施</v>
      </c>
      <c r="AA19" s="1510">
        <f t="shared" si="3"/>
        <v>1</v>
      </c>
      <c r="AB19" s="1510">
        <f t="shared" si="4"/>
        <v>1</v>
      </c>
      <c r="AC19" s="1510">
        <f t="shared" si="5"/>
        <v>1</v>
      </c>
    </row>
    <row r="20" spans="1:29" ht="15">
      <c r="A20" s="526"/>
      <c r="B20" s="589"/>
      <c r="C20" s="570" t="s">
        <v>3377</v>
      </c>
      <c r="D20" s="549"/>
      <c r="E20" s="570" t="s">
        <v>3377</v>
      </c>
      <c r="F20" s="551"/>
      <c r="G20" s="570" t="s">
        <v>3377</v>
      </c>
      <c r="H20" s="549"/>
      <c r="I20" s="570" t="s">
        <v>3377</v>
      </c>
      <c r="J20" s="549"/>
      <c r="K20" s="859"/>
      <c r="L20" s="2024"/>
      <c r="M20" s="2016"/>
      <c r="N20" s="2016"/>
      <c r="O20" s="2023"/>
      <c r="P20" s="3487"/>
      <c r="Q20" s="1506"/>
      <c r="R20" s="1507"/>
      <c r="S20" s="1508"/>
      <c r="T20" s="1507"/>
      <c r="U20" s="1508"/>
      <c r="V20" s="1507"/>
      <c r="W20" s="1508"/>
      <c r="X20" s="1501"/>
      <c r="Y20" s="3487"/>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487"/>
      <c r="Q21" s="2429" t="str">
        <f>B21</f>
        <v>基础设施水平</v>
      </c>
      <c r="R21" s="1507" t="s">
        <v>11</v>
      </c>
      <c r="S21" s="1508">
        <f>F21</f>
        <v>100</v>
      </c>
      <c r="T21" s="1507" t="s">
        <v>11</v>
      </c>
      <c r="U21" s="1508">
        <f>H21</f>
        <v>100</v>
      </c>
      <c r="V21" s="1507" t="s">
        <v>11</v>
      </c>
      <c r="W21" s="1508">
        <f>J21</f>
        <v>100</v>
      </c>
      <c r="X21" s="2431"/>
      <c r="Y21" s="3487"/>
      <c r="Z21" s="2430" t="str">
        <f>Q21</f>
        <v>基础设施水平</v>
      </c>
      <c r="AA21" s="1510">
        <f t="shared" ref="AA21" si="8">D21/F21</f>
        <v>1</v>
      </c>
      <c r="AB21" s="1510">
        <f t="shared" ref="AB21" si="9">D21/H21</f>
        <v>1</v>
      </c>
      <c r="AC21" s="1510">
        <f t="shared" ref="AC21" si="10">D21/J21</f>
        <v>1</v>
      </c>
    </row>
    <row r="22" spans="1:29" ht="15">
      <c r="A22" s="526"/>
      <c r="B22" s="910"/>
      <c r="C22" s="862" t="s">
        <v>3394</v>
      </c>
      <c r="D22" s="549"/>
      <c r="E22" s="862" t="s">
        <v>3394</v>
      </c>
      <c r="F22" s="551"/>
      <c r="G22" s="862" t="s">
        <v>3394</v>
      </c>
      <c r="H22" s="549"/>
      <c r="I22" s="862" t="s">
        <v>3394</v>
      </c>
      <c r="J22" s="549"/>
      <c r="K22" s="2443"/>
      <c r="L22" s="2024"/>
      <c r="M22" s="2016"/>
      <c r="N22" s="2016"/>
      <c r="O22" s="2023"/>
      <c r="P22" s="3487"/>
      <c r="Q22" s="2429"/>
      <c r="R22" s="1507"/>
      <c r="S22" s="1508"/>
      <c r="T22" s="1507"/>
      <c r="U22" s="1508"/>
      <c r="V22" s="1507"/>
      <c r="W22" s="1508"/>
      <c r="X22" s="2431"/>
      <c r="Y22" s="3487"/>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101</v>
      </c>
      <c r="G23" s="558"/>
      <c r="H23" s="553">
        <f>SUMIF(84:84,G24,85:85)-SUMIF(84:84,C24,85:85)+100</f>
        <v>101</v>
      </c>
      <c r="I23" s="556"/>
      <c r="J23" s="553">
        <f>SUMIF(84:84,I24,85:85)-SUMIF(84:84,C24,85:85)+100</f>
        <v>100</v>
      </c>
      <c r="K23" s="857">
        <v>1</v>
      </c>
      <c r="L23" s="2024"/>
      <c r="M23" s="2016"/>
      <c r="N23" s="2016"/>
      <c r="O23" s="2023"/>
      <c r="P23" s="3487"/>
      <c r="Q23" s="1506" t="str">
        <f>B23</f>
        <v>自然及人文环境</v>
      </c>
      <c r="R23" s="1507" t="s">
        <v>11</v>
      </c>
      <c r="S23" s="1508">
        <f>F23</f>
        <v>101</v>
      </c>
      <c r="T23" s="1507" t="s">
        <v>11</v>
      </c>
      <c r="U23" s="1508">
        <f>H23</f>
        <v>101</v>
      </c>
      <c r="V23" s="1507" t="s">
        <v>11</v>
      </c>
      <c r="W23" s="1508">
        <f>J23</f>
        <v>100</v>
      </c>
      <c r="X23" s="1501"/>
      <c r="Y23" s="3487"/>
      <c r="Z23" s="1509" t="str">
        <f>Q23</f>
        <v>自然及人文环境</v>
      </c>
      <c r="AA23" s="1510">
        <f t="shared" si="3"/>
        <v>0.99009900990099009</v>
      </c>
      <c r="AB23" s="1510">
        <f t="shared" si="4"/>
        <v>0.99009900990099009</v>
      </c>
      <c r="AC23" s="1510">
        <f t="shared" si="5"/>
        <v>1</v>
      </c>
    </row>
    <row r="24" spans="1:29" ht="15.75" thickBot="1">
      <c r="A24" s="526"/>
      <c r="B24" s="589"/>
      <c r="C24" s="570" t="s">
        <v>3393</v>
      </c>
      <c r="D24" s="549"/>
      <c r="E24" s="550" t="s">
        <v>3377</v>
      </c>
      <c r="F24" s="551"/>
      <c r="G24" s="550" t="s">
        <v>3377</v>
      </c>
      <c r="H24" s="549"/>
      <c r="I24" s="570" t="s">
        <v>3393</v>
      </c>
      <c r="J24" s="549"/>
      <c r="K24" s="859"/>
      <c r="L24" s="2024"/>
      <c r="M24" s="2016"/>
      <c r="N24" s="2016"/>
      <c r="O24" s="2023"/>
      <c r="P24" s="3487"/>
      <c r="Q24" s="1506"/>
      <c r="R24" s="1507"/>
      <c r="S24" s="1508"/>
      <c r="T24" s="1507"/>
      <c r="U24" s="1508"/>
      <c r="V24" s="1507"/>
      <c r="W24" s="1508"/>
      <c r="X24" s="1501"/>
      <c r="Y24" s="3487"/>
      <c r="Z24" s="1509"/>
      <c r="AA24" s="1510">
        <v>1</v>
      </c>
      <c r="AB24" s="1510">
        <v>1</v>
      </c>
      <c r="AC24" s="1510">
        <v>1</v>
      </c>
    </row>
    <row r="25" spans="1:29" ht="15" hidden="1">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87"/>
      <c r="Q25" s="1506" t="str">
        <f t="shared" ref="Q25:Q46" si="11">B25</f>
        <v>楼层-1</v>
      </c>
      <c r="R25" s="1507" t="s">
        <v>11</v>
      </c>
      <c r="S25" s="1508">
        <f>F25</f>
        <v>100</v>
      </c>
      <c r="T25" s="1507" t="s">
        <v>11</v>
      </c>
      <c r="U25" s="1508">
        <f>H25</f>
        <v>100</v>
      </c>
      <c r="V25" s="1507" t="s">
        <v>11</v>
      </c>
      <c r="W25" s="1508">
        <f>J25</f>
        <v>100</v>
      </c>
      <c r="X25" s="1501"/>
      <c r="Y25" s="3487"/>
      <c r="Z25" s="1509" t="str">
        <f>Q25</f>
        <v>楼层-1</v>
      </c>
      <c r="AA25" s="1510">
        <f t="shared" si="3"/>
        <v>1</v>
      </c>
      <c r="AB25" s="1510">
        <f t="shared" si="4"/>
        <v>1</v>
      </c>
      <c r="AC25" s="1510">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87"/>
      <c r="Q26" s="1506" t="str">
        <f t="shared" si="11"/>
        <v>朝向</v>
      </c>
      <c r="R26" s="1507" t="s">
        <v>11</v>
      </c>
      <c r="S26" s="1508">
        <f>F26</f>
        <v>100</v>
      </c>
      <c r="T26" s="1507" t="s">
        <v>11</v>
      </c>
      <c r="U26" s="1508">
        <f>H26</f>
        <v>100</v>
      </c>
      <c r="V26" s="1507" t="s">
        <v>11</v>
      </c>
      <c r="W26" s="1508">
        <f>J26</f>
        <v>100</v>
      </c>
      <c r="X26" s="1501"/>
      <c r="Y26" s="3487"/>
      <c r="Z26" s="1509" t="str">
        <f>Q26</f>
        <v>朝向</v>
      </c>
      <c r="AA26" s="1510">
        <f t="shared" si="3"/>
        <v>1</v>
      </c>
      <c r="AB26" s="1510">
        <f t="shared" si="4"/>
        <v>1</v>
      </c>
      <c r="AC26" s="1510">
        <f t="shared" si="5"/>
        <v>1</v>
      </c>
    </row>
    <row r="27" spans="1:29" s="1202"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87"/>
      <c r="Q27" s="1133" t="str">
        <f t="shared" si="11"/>
        <v>道路级别</v>
      </c>
      <c r="R27" s="1502" t="s">
        <v>11</v>
      </c>
      <c r="S27" s="1503">
        <f>F27</f>
        <v>100</v>
      </c>
      <c r="T27" s="1502" t="s">
        <v>11</v>
      </c>
      <c r="U27" s="1503">
        <f>H27</f>
        <v>100</v>
      </c>
      <c r="V27" s="1502" t="s">
        <v>11</v>
      </c>
      <c r="W27" s="1503">
        <f>J27</f>
        <v>100</v>
      </c>
      <c r="X27" s="1504"/>
      <c r="Y27" s="3487"/>
      <c r="Z27" s="1132" t="str">
        <f>Q27</f>
        <v>道路级别</v>
      </c>
      <c r="AA27" s="1510">
        <f>D27/F27</f>
        <v>1</v>
      </c>
      <c r="AB27" s="1510">
        <f>D27/H27</f>
        <v>1</v>
      </c>
      <c r="AC27" s="1510">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87"/>
      <c r="Q28" s="1506">
        <f t="shared" si="11"/>
        <v>111</v>
      </c>
      <c r="R28" s="1507" t="s">
        <v>11</v>
      </c>
      <c r="S28" s="1508">
        <f t="shared" ref="S28:S46" si="12">F28</f>
        <v>100</v>
      </c>
      <c r="T28" s="1507" t="s">
        <v>11</v>
      </c>
      <c r="U28" s="1508">
        <f t="shared" ref="U28:U46" si="13">H28</f>
        <v>100</v>
      </c>
      <c r="V28" s="1507" t="s">
        <v>11</v>
      </c>
      <c r="W28" s="1508">
        <f t="shared" ref="W28:W46" si="14">J28</f>
        <v>100</v>
      </c>
      <c r="X28" s="1501"/>
      <c r="Y28" s="3487"/>
      <c r="Z28" s="1509">
        <f t="shared" ref="Z28:Z46" si="15">Q28</f>
        <v>111</v>
      </c>
      <c r="AA28" s="1510">
        <f t="shared" si="3"/>
        <v>1</v>
      </c>
      <c r="AB28" s="1510">
        <f t="shared" si="4"/>
        <v>1</v>
      </c>
      <c r="AC28" s="1510">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87"/>
      <c r="Q29" s="1506">
        <f t="shared" si="11"/>
        <v>111</v>
      </c>
      <c r="R29" s="1507" t="s">
        <v>11</v>
      </c>
      <c r="S29" s="1508">
        <f t="shared" si="12"/>
        <v>100</v>
      </c>
      <c r="T29" s="1507" t="s">
        <v>11</v>
      </c>
      <c r="U29" s="1508">
        <f t="shared" si="13"/>
        <v>100</v>
      </c>
      <c r="V29" s="1507" t="s">
        <v>11</v>
      </c>
      <c r="W29" s="1508">
        <f t="shared" si="14"/>
        <v>100</v>
      </c>
      <c r="X29" s="1501"/>
      <c r="Y29" s="3487"/>
      <c r="Z29" s="1509">
        <f t="shared" si="15"/>
        <v>111</v>
      </c>
      <c r="AA29" s="1510">
        <f t="shared" si="3"/>
        <v>1</v>
      </c>
      <c r="AB29" s="1510">
        <f t="shared" si="4"/>
        <v>1</v>
      </c>
      <c r="AC29" s="1510">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87"/>
      <c r="Q30" s="1506">
        <f t="shared" si="11"/>
        <v>111</v>
      </c>
      <c r="R30" s="1507" t="s">
        <v>11</v>
      </c>
      <c r="S30" s="1508">
        <f t="shared" si="12"/>
        <v>100</v>
      </c>
      <c r="T30" s="1507" t="s">
        <v>11</v>
      </c>
      <c r="U30" s="1508">
        <f t="shared" si="13"/>
        <v>100</v>
      </c>
      <c r="V30" s="1507" t="s">
        <v>11</v>
      </c>
      <c r="W30" s="1508">
        <f t="shared" si="14"/>
        <v>100</v>
      </c>
      <c r="X30" s="1501"/>
      <c r="Y30" s="3487"/>
      <c r="Z30" s="1509">
        <f t="shared" si="15"/>
        <v>111</v>
      </c>
      <c r="AA30" s="1510">
        <f t="shared" si="3"/>
        <v>1</v>
      </c>
      <c r="AB30" s="1510">
        <f t="shared" si="4"/>
        <v>1</v>
      </c>
      <c r="AC30" s="1510">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87"/>
      <c r="Q31" s="1506">
        <f t="shared" si="11"/>
        <v>111</v>
      </c>
      <c r="R31" s="1507" t="s">
        <v>11</v>
      </c>
      <c r="S31" s="1508">
        <f t="shared" si="12"/>
        <v>100</v>
      </c>
      <c r="T31" s="1507" t="s">
        <v>11</v>
      </c>
      <c r="U31" s="1508">
        <f t="shared" si="13"/>
        <v>100</v>
      </c>
      <c r="V31" s="1507" t="s">
        <v>11</v>
      </c>
      <c r="W31" s="1508">
        <f t="shared" si="14"/>
        <v>100</v>
      </c>
      <c r="X31" s="1501"/>
      <c r="Y31" s="3487"/>
      <c r="Z31" s="1509">
        <f t="shared" si="15"/>
        <v>111</v>
      </c>
      <c r="AA31" s="1510">
        <f t="shared" si="3"/>
        <v>1</v>
      </c>
      <c r="AB31" s="1510">
        <f t="shared" si="4"/>
        <v>1</v>
      </c>
      <c r="AC31" s="1510">
        <f t="shared" si="5"/>
        <v>1</v>
      </c>
    </row>
    <row r="32" spans="1:29" ht="15">
      <c r="A32" s="2624" t="s">
        <v>2735</v>
      </c>
      <c r="B32" s="170" t="s">
        <v>719</v>
      </c>
      <c r="C32" s="867" t="s">
        <v>3011</v>
      </c>
      <c r="D32" s="591">
        <v>100</v>
      </c>
      <c r="E32" s="867" t="s">
        <v>3011</v>
      </c>
      <c r="F32" s="569">
        <f>SUMIF(100:100,E32,101:101)-SUMIF(100:100,C32,101:101)+100</f>
        <v>100</v>
      </c>
      <c r="G32" s="867" t="s">
        <v>3011</v>
      </c>
      <c r="H32" s="591">
        <f>SUMIF(100:100,G32,101:101)-SUMIF(100:100,C32,101:101)+100</f>
        <v>100</v>
      </c>
      <c r="I32" s="867" t="s">
        <v>3011</v>
      </c>
      <c r="J32" s="534">
        <f>SUMIF(100:100,I32,101:101)-SUMIF(100:100,C32,101:101)+100</f>
        <v>100</v>
      </c>
      <c r="K32" s="853"/>
      <c r="L32" s="2024"/>
      <c r="M32" s="2016"/>
      <c r="N32" s="2016"/>
      <c r="O32" s="2023"/>
      <c r="P32" s="3488" t="s">
        <v>544</v>
      </c>
      <c r="Q32" s="1506" t="str">
        <f t="shared" si="11"/>
        <v>建筑类型</v>
      </c>
      <c r="R32" s="1507" t="s">
        <v>11</v>
      </c>
      <c r="S32" s="1508">
        <f t="shared" si="12"/>
        <v>100</v>
      </c>
      <c r="T32" s="1507" t="s">
        <v>11</v>
      </c>
      <c r="U32" s="1508">
        <f t="shared" si="13"/>
        <v>100</v>
      </c>
      <c r="V32" s="1507" t="s">
        <v>11</v>
      </c>
      <c r="W32" s="1508">
        <f t="shared" si="14"/>
        <v>100</v>
      </c>
      <c r="X32" s="1501"/>
      <c r="Y32" s="3489" t="s">
        <v>544</v>
      </c>
      <c r="Z32" s="1509" t="str">
        <f t="shared" si="15"/>
        <v>建筑类型</v>
      </c>
      <c r="AA32" s="1510">
        <f t="shared" si="3"/>
        <v>1</v>
      </c>
      <c r="AB32" s="1510">
        <f t="shared" si="4"/>
        <v>1</v>
      </c>
      <c r="AC32" s="1510">
        <f t="shared" si="5"/>
        <v>1</v>
      </c>
    </row>
    <row r="33" spans="1:29" s="1292" customFormat="1" ht="15">
      <c r="A33" s="597"/>
      <c r="B33" s="521" t="s">
        <v>720</v>
      </c>
      <c r="C33" s="868">
        <f>'数据-基础表'!B3</f>
        <v>88976</v>
      </c>
      <c r="D33" s="253">
        <v>100</v>
      </c>
      <c r="E33" s="528">
        <v>146000</v>
      </c>
      <c r="F33" s="852">
        <f>LOOKUP(E33,103:103,104:104)-LOOKUP(C33,103:103,104:104)+100</f>
        <v>101</v>
      </c>
      <c r="G33" s="527">
        <v>85000</v>
      </c>
      <c r="H33" s="253">
        <f>LOOKUP(G33,103:103,104:104)-LOOKUP(C33,103:103,104:104)+100</f>
        <v>100</v>
      </c>
      <c r="I33" s="528">
        <v>184348</v>
      </c>
      <c r="J33" s="253">
        <f>LOOKUP(I33,103:103,104:104)-LOOKUP(C33,103:103,104:104)+100</f>
        <v>102</v>
      </c>
      <c r="K33" s="854"/>
      <c r="L33" s="2022"/>
      <c r="M33" s="2052"/>
      <c r="N33" s="2052"/>
      <c r="O33" s="2025"/>
      <c r="P33" s="3489"/>
      <c r="Q33" s="1535" t="str">
        <f t="shared" si="11"/>
        <v>项目建筑规模</v>
      </c>
      <c r="R33" s="1511" t="s">
        <v>11</v>
      </c>
      <c r="S33" s="1512">
        <f t="shared" si="12"/>
        <v>101</v>
      </c>
      <c r="T33" s="1511" t="s">
        <v>11</v>
      </c>
      <c r="U33" s="1512">
        <f t="shared" si="13"/>
        <v>100</v>
      </c>
      <c r="V33" s="1511" t="s">
        <v>11</v>
      </c>
      <c r="W33" s="1512">
        <f t="shared" si="14"/>
        <v>102</v>
      </c>
      <c r="X33" s="1513"/>
      <c r="Y33" s="3489"/>
      <c r="Z33" s="1514" t="str">
        <f t="shared" si="15"/>
        <v>项目建筑规模</v>
      </c>
      <c r="AA33" s="1510">
        <f t="shared" si="3"/>
        <v>0.99009900990099009</v>
      </c>
      <c r="AB33" s="1510">
        <f t="shared" si="4"/>
        <v>1</v>
      </c>
      <c r="AC33" s="1510">
        <f t="shared" si="5"/>
        <v>0.98039215686274506</v>
      </c>
    </row>
    <row r="34" spans="1:29" ht="15">
      <c r="A34" s="588"/>
      <c r="B34" s="521" t="s">
        <v>721</v>
      </c>
      <c r="C34" s="869"/>
      <c r="D34" s="534">
        <v>100</v>
      </c>
      <c r="E34" s="870"/>
      <c r="F34" s="569">
        <f>SUMIF(105:105,E34,106:106)-SUMIF(105:105,C34,106:106)+100</f>
        <v>100</v>
      </c>
      <c r="G34" s="869"/>
      <c r="H34" s="534">
        <f>SUMIF(105:105,G34,106:106)-SUMIF(105:105,C34,106:106)+100</f>
        <v>100</v>
      </c>
      <c r="I34" s="870"/>
      <c r="J34" s="534">
        <f>SUMIF(105:105,I34,106:106)-SUMIF(105:105,C34,106:106)+100</f>
        <v>100</v>
      </c>
      <c r="K34" s="853"/>
      <c r="L34" s="2024"/>
      <c r="M34" s="2016"/>
      <c r="N34" s="2016"/>
      <c r="O34" s="2023"/>
      <c r="P34" s="3489"/>
      <c r="Q34" s="1506" t="str">
        <f t="shared" si="11"/>
        <v>建筑结构</v>
      </c>
      <c r="R34" s="1507" t="s">
        <v>11</v>
      </c>
      <c r="S34" s="1508">
        <f t="shared" si="12"/>
        <v>100</v>
      </c>
      <c r="T34" s="1507" t="s">
        <v>11</v>
      </c>
      <c r="U34" s="1508">
        <f t="shared" si="13"/>
        <v>100</v>
      </c>
      <c r="V34" s="1507" t="s">
        <v>11</v>
      </c>
      <c r="W34" s="1508">
        <f t="shared" si="14"/>
        <v>100</v>
      </c>
      <c r="X34" s="1501"/>
      <c r="Y34" s="3489"/>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89"/>
      <c r="Q35" s="1506" t="str">
        <f t="shared" si="11"/>
        <v>建筑品质</v>
      </c>
      <c r="R35" s="1507" t="s">
        <v>11</v>
      </c>
      <c r="S35" s="1508">
        <f t="shared" si="12"/>
        <v>100</v>
      </c>
      <c r="T35" s="1507" t="s">
        <v>11</v>
      </c>
      <c r="U35" s="1508">
        <f t="shared" si="13"/>
        <v>100</v>
      </c>
      <c r="V35" s="1507" t="s">
        <v>11</v>
      </c>
      <c r="W35" s="1508">
        <f t="shared" si="14"/>
        <v>100</v>
      </c>
      <c r="X35" s="1501"/>
      <c r="Y35" s="3489"/>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89"/>
      <c r="Q36" s="1506" t="str">
        <f t="shared" si="11"/>
        <v>公共部分装修</v>
      </c>
      <c r="R36" s="1507" t="s">
        <v>11</v>
      </c>
      <c r="S36" s="1508">
        <f t="shared" si="12"/>
        <v>100</v>
      </c>
      <c r="T36" s="1507" t="s">
        <v>11</v>
      </c>
      <c r="U36" s="1508">
        <f t="shared" si="13"/>
        <v>100</v>
      </c>
      <c r="V36" s="1507" t="s">
        <v>11</v>
      </c>
      <c r="W36" s="1508">
        <f t="shared" si="14"/>
        <v>100</v>
      </c>
      <c r="X36" s="1501"/>
      <c r="Y36" s="3489"/>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c r="L37" s="2017"/>
      <c r="M37" s="2018"/>
      <c r="N37" s="2018"/>
      <c r="O37" s="2019"/>
      <c r="P37" s="3489"/>
      <c r="Q37" s="1133" t="str">
        <f t="shared" si="11"/>
        <v>成新度</v>
      </c>
      <c r="R37" s="1502" t="s">
        <v>11</v>
      </c>
      <c r="S37" s="1503">
        <f t="shared" si="12"/>
        <v>100</v>
      </c>
      <c r="T37" s="1502" t="s">
        <v>11</v>
      </c>
      <c r="U37" s="1503">
        <f t="shared" si="13"/>
        <v>100</v>
      </c>
      <c r="V37" s="1502" t="s">
        <v>11</v>
      </c>
      <c r="W37" s="1503">
        <f t="shared" si="14"/>
        <v>100</v>
      </c>
      <c r="X37" s="1504"/>
      <c r="Y37" s="3489"/>
      <c r="Z37" s="1132" t="str">
        <f t="shared" si="15"/>
        <v>成新度</v>
      </c>
      <c r="AA37" s="1505">
        <f t="shared" si="3"/>
        <v>1</v>
      </c>
      <c r="AB37" s="1505">
        <f t="shared" si="4"/>
        <v>1</v>
      </c>
      <c r="AC37" s="1505">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89" t="s">
        <v>544</v>
      </c>
      <c r="Q38" s="1506" t="str">
        <f t="shared" si="11"/>
        <v>物业管理</v>
      </c>
      <c r="R38" s="1507" t="s">
        <v>11</v>
      </c>
      <c r="S38" s="1508">
        <f t="shared" si="12"/>
        <v>100</v>
      </c>
      <c r="T38" s="1507" t="s">
        <v>11</v>
      </c>
      <c r="U38" s="1508">
        <f t="shared" si="13"/>
        <v>100</v>
      </c>
      <c r="V38" s="1507" t="s">
        <v>11</v>
      </c>
      <c r="W38" s="1508">
        <f t="shared" si="14"/>
        <v>100</v>
      </c>
      <c r="X38" s="1501"/>
      <c r="Y38" s="3489" t="s">
        <v>544</v>
      </c>
      <c r="Z38" s="1509" t="str">
        <f t="shared" si="15"/>
        <v>物业管理</v>
      </c>
      <c r="AA38" s="1510">
        <f t="shared" si="3"/>
        <v>1</v>
      </c>
      <c r="AB38" s="1510">
        <f t="shared" si="4"/>
        <v>1</v>
      </c>
      <c r="AC38" s="1510">
        <f t="shared" si="5"/>
        <v>1</v>
      </c>
    </row>
    <row r="39" spans="1:29" ht="15">
      <c r="A39" s="588"/>
      <c r="B39" s="1809"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89"/>
      <c r="Q39" s="1506" t="str">
        <f t="shared" si="11"/>
        <v>市政基础设施</v>
      </c>
      <c r="R39" s="1507" t="s">
        <v>11</v>
      </c>
      <c r="S39" s="1508">
        <f t="shared" si="12"/>
        <v>100</v>
      </c>
      <c r="T39" s="1507" t="s">
        <v>11</v>
      </c>
      <c r="U39" s="1508">
        <f t="shared" si="13"/>
        <v>100</v>
      </c>
      <c r="V39" s="1507" t="s">
        <v>11</v>
      </c>
      <c r="W39" s="1508">
        <f t="shared" si="14"/>
        <v>100</v>
      </c>
      <c r="X39" s="1501"/>
      <c r="Y39" s="3489"/>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89"/>
      <c r="Q40" s="1506" t="str">
        <f t="shared" si="11"/>
        <v>房型</v>
      </c>
      <c r="R40" s="1507" t="s">
        <v>11</v>
      </c>
      <c r="S40" s="1508">
        <f t="shared" si="12"/>
        <v>100</v>
      </c>
      <c r="T40" s="1507" t="s">
        <v>11</v>
      </c>
      <c r="U40" s="1508">
        <f t="shared" si="13"/>
        <v>100</v>
      </c>
      <c r="V40" s="1507" t="s">
        <v>11</v>
      </c>
      <c r="W40" s="1508">
        <f t="shared" si="14"/>
        <v>100</v>
      </c>
      <c r="X40" s="1501"/>
      <c r="Y40" s="3489"/>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89"/>
      <c r="Q41" s="1535" t="str">
        <f t="shared" si="11"/>
        <v>单套/主力户型建筑面积</v>
      </c>
      <c r="R41" s="1511" t="s">
        <v>11</v>
      </c>
      <c r="S41" s="1512">
        <f t="shared" si="12"/>
        <v>100</v>
      </c>
      <c r="T41" s="1511" t="s">
        <v>11</v>
      </c>
      <c r="U41" s="1512">
        <f t="shared" si="13"/>
        <v>100</v>
      </c>
      <c r="V41" s="1511" t="s">
        <v>11</v>
      </c>
      <c r="W41" s="1512">
        <f t="shared" si="14"/>
        <v>100</v>
      </c>
      <c r="X41" s="1513"/>
      <c r="Y41" s="3489"/>
      <c r="Z41" s="1514" t="str">
        <f t="shared" si="15"/>
        <v>单套/主力户型建筑面积</v>
      </c>
      <c r="AA41" s="1510">
        <f t="shared" si="3"/>
        <v>1</v>
      </c>
      <c r="AB41" s="1510">
        <f t="shared" si="4"/>
        <v>1</v>
      </c>
      <c r="AC41" s="1510">
        <f t="shared" si="5"/>
        <v>1</v>
      </c>
    </row>
    <row r="42" spans="1:29" ht="15.75" thickBot="1">
      <c r="A42" s="588"/>
      <c r="B42" s="521" t="s">
        <v>728</v>
      </c>
      <c r="C42" s="593" t="s">
        <v>3378</v>
      </c>
      <c r="D42" s="534">
        <v>100</v>
      </c>
      <c r="E42" s="863" t="s">
        <v>3382</v>
      </c>
      <c r="F42" s="569">
        <f>SUMIF(122:122,E42,123:123)-SUMIF(122:122,C42,123:123)+100</f>
        <v>89.5</v>
      </c>
      <c r="G42" s="863" t="s">
        <v>3382</v>
      </c>
      <c r="H42" s="534">
        <f>SUMIF(122:122,G42,123:123)-SUMIF(122:122,C42,123:123)+100</f>
        <v>89.5</v>
      </c>
      <c r="I42" s="863" t="s">
        <v>3382</v>
      </c>
      <c r="J42" s="534">
        <f>SUMIF(122:122,I42,123:123)-SUMIF(122:122,C42,123:123)+100</f>
        <v>89.5</v>
      </c>
      <c r="K42" s="853">
        <v>3.5</v>
      </c>
      <c r="L42" s="2024"/>
      <c r="M42" s="2016"/>
      <c r="N42" s="2016"/>
      <c r="O42" s="2023"/>
      <c r="P42" s="3489"/>
      <c r="Q42" s="1506" t="str">
        <f t="shared" si="11"/>
        <v>内部装修</v>
      </c>
      <c r="R42" s="1507" t="s">
        <v>11</v>
      </c>
      <c r="S42" s="1508">
        <f t="shared" si="12"/>
        <v>89.5</v>
      </c>
      <c r="T42" s="1507" t="s">
        <v>11</v>
      </c>
      <c r="U42" s="1508">
        <f t="shared" si="13"/>
        <v>89.5</v>
      </c>
      <c r="V42" s="1507" t="s">
        <v>11</v>
      </c>
      <c r="W42" s="1508">
        <f t="shared" si="14"/>
        <v>89.5</v>
      </c>
      <c r="X42" s="1501"/>
      <c r="Y42" s="3489"/>
      <c r="Z42" s="1509" t="str">
        <f t="shared" si="15"/>
        <v>内部装修</v>
      </c>
      <c r="AA42" s="1510">
        <f t="shared" si="3"/>
        <v>1.1173184357541899</v>
      </c>
      <c r="AB42" s="1510">
        <f t="shared" si="4"/>
        <v>1.1173184357541899</v>
      </c>
      <c r="AC42" s="1510">
        <f t="shared" si="5"/>
        <v>1.1173184357541899</v>
      </c>
    </row>
    <row r="43" spans="1:29" ht="27" hidden="1">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89"/>
      <c r="Q43" s="1506" t="str">
        <f t="shared" si="11"/>
        <v>内部装修维护情况</v>
      </c>
      <c r="R43" s="1507" t="s">
        <v>11</v>
      </c>
      <c r="S43" s="1508">
        <f t="shared" si="12"/>
        <v>100</v>
      </c>
      <c r="T43" s="1507" t="s">
        <v>11</v>
      </c>
      <c r="U43" s="1508">
        <f t="shared" si="13"/>
        <v>100</v>
      </c>
      <c r="V43" s="1507" t="s">
        <v>11</v>
      </c>
      <c r="W43" s="1508">
        <f t="shared" si="14"/>
        <v>100</v>
      </c>
      <c r="X43" s="1501"/>
      <c r="Y43" s="3489"/>
      <c r="Z43" s="1509" t="str">
        <f t="shared" si="15"/>
        <v>内部装修维护情况</v>
      </c>
      <c r="AA43" s="1510">
        <f t="shared" si="3"/>
        <v>1</v>
      </c>
      <c r="AB43" s="1510">
        <f t="shared" si="4"/>
        <v>1</v>
      </c>
      <c r="AC43" s="1510">
        <f t="shared" si="5"/>
        <v>1</v>
      </c>
    </row>
    <row r="44" spans="1:29" s="1202" customFormat="1" ht="15" hidden="1">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7"/>
      <c r="M44" s="2018"/>
      <c r="N44" s="2018"/>
      <c r="O44" s="2019"/>
      <c r="P44" s="3489"/>
      <c r="Q44" s="1133">
        <f t="shared" si="11"/>
        <v>111</v>
      </c>
      <c r="R44" s="1502" t="s">
        <v>11</v>
      </c>
      <c r="S44" s="1503">
        <f t="shared" si="12"/>
        <v>100</v>
      </c>
      <c r="T44" s="1502" t="s">
        <v>11</v>
      </c>
      <c r="U44" s="1503">
        <f t="shared" si="13"/>
        <v>100</v>
      </c>
      <c r="V44" s="1502" t="s">
        <v>11</v>
      </c>
      <c r="W44" s="1503">
        <f t="shared" si="14"/>
        <v>100</v>
      </c>
      <c r="X44" s="1504"/>
      <c r="Y44" s="3489"/>
      <c r="Z44" s="1132">
        <f t="shared" si="15"/>
        <v>111</v>
      </c>
      <c r="AA44" s="1505">
        <f t="shared" si="3"/>
        <v>1</v>
      </c>
      <c r="AB44" s="1505">
        <f t="shared" si="4"/>
        <v>1</v>
      </c>
      <c r="AC44" s="1505">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89"/>
      <c r="Q45" s="1506">
        <f t="shared" si="11"/>
        <v>111</v>
      </c>
      <c r="R45" s="1507" t="s">
        <v>11</v>
      </c>
      <c r="S45" s="1508">
        <f t="shared" si="12"/>
        <v>100</v>
      </c>
      <c r="T45" s="1507" t="s">
        <v>11</v>
      </c>
      <c r="U45" s="1508">
        <f t="shared" si="13"/>
        <v>100</v>
      </c>
      <c r="V45" s="1507" t="s">
        <v>11</v>
      </c>
      <c r="W45" s="1508">
        <f t="shared" si="14"/>
        <v>100</v>
      </c>
      <c r="X45" s="1501"/>
      <c r="Y45" s="3489"/>
      <c r="Z45" s="1509">
        <f t="shared" si="15"/>
        <v>111</v>
      </c>
      <c r="AA45" s="1510">
        <f t="shared" si="3"/>
        <v>1</v>
      </c>
      <c r="AB45" s="1510">
        <f t="shared" si="4"/>
        <v>1</v>
      </c>
      <c r="AC45" s="1510">
        <f t="shared" si="5"/>
        <v>1</v>
      </c>
    </row>
    <row r="46" spans="1:29" ht="15.75" hidden="1"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92"/>
      <c r="Q46" s="1506">
        <f t="shared" si="11"/>
        <v>111</v>
      </c>
      <c r="R46" s="1507" t="s">
        <v>10</v>
      </c>
      <c r="S46" s="1508">
        <f t="shared" si="12"/>
        <v>100</v>
      </c>
      <c r="T46" s="1507" t="s">
        <v>10</v>
      </c>
      <c r="U46" s="1508">
        <f t="shared" si="13"/>
        <v>100</v>
      </c>
      <c r="V46" s="1507" t="s">
        <v>10</v>
      </c>
      <c r="W46" s="1508">
        <f t="shared" si="14"/>
        <v>100</v>
      </c>
      <c r="X46" s="1501"/>
      <c r="Y46" s="3592"/>
      <c r="Z46" s="1509">
        <f t="shared" si="15"/>
        <v>111</v>
      </c>
      <c r="AA46" s="1510">
        <f t="shared" si="3"/>
        <v>1</v>
      </c>
      <c r="AB46" s="1510">
        <f t="shared" si="4"/>
        <v>1</v>
      </c>
      <c r="AC46" s="1510">
        <f t="shared" si="5"/>
        <v>1</v>
      </c>
    </row>
    <row r="47" spans="1:29" ht="15">
      <c r="A47" s="601" t="s">
        <v>730</v>
      </c>
      <c r="B47" s="875"/>
      <c r="C47" s="2470" t="s">
        <v>9</v>
      </c>
      <c r="D47" s="2471"/>
      <c r="E47" s="2472">
        <v>15355</v>
      </c>
      <c r="F47" s="2473"/>
      <c r="G47" s="2474">
        <v>15800</v>
      </c>
      <c r="H47" s="2475"/>
      <c r="I47" s="2472">
        <v>14638</v>
      </c>
      <c r="J47" s="2475"/>
      <c r="K47" s="1536"/>
      <c r="L47" s="2026"/>
      <c r="M47" s="2027"/>
      <c r="N47" s="2016"/>
      <c r="O47" s="2027"/>
      <c r="P47" s="3484" t="str">
        <f>A47</f>
        <v>成交单价（元/平方米）</v>
      </c>
      <c r="Q47" s="3484"/>
      <c r="R47" s="3591">
        <f>E47</f>
        <v>15355</v>
      </c>
      <c r="S47" s="3591"/>
      <c r="T47" s="3591">
        <f>G47</f>
        <v>15800</v>
      </c>
      <c r="U47" s="3591"/>
      <c r="V47" s="3591">
        <f>I47</f>
        <v>14638</v>
      </c>
      <c r="W47" s="3591"/>
      <c r="X47" s="1496"/>
      <c r="Y47" s="1515"/>
      <c r="Z47" s="1496"/>
      <c r="AA47" s="1496"/>
      <c r="AB47" s="1496"/>
      <c r="AC47" s="1496"/>
    </row>
    <row r="48" spans="1:29" ht="15.75" thickBot="1">
      <c r="A48" s="609" t="s">
        <v>2740</v>
      </c>
      <c r="B48" s="876"/>
      <c r="C48" s="2476">
        <f>R49</f>
        <v>16777</v>
      </c>
      <c r="D48" s="3013" t="s">
        <v>2971</v>
      </c>
      <c r="E48" s="2477">
        <f>R48</f>
        <v>16818</v>
      </c>
      <c r="F48" s="3014"/>
      <c r="G48" s="2476">
        <f>T48</f>
        <v>17479</v>
      </c>
      <c r="H48" s="3014"/>
      <c r="I48" s="2477">
        <f>V48</f>
        <v>16035</v>
      </c>
      <c r="J48" s="3014"/>
      <c r="K48" s="3022">
        <f>F48+H48+J48</f>
        <v>0</v>
      </c>
      <c r="L48" s="2026"/>
      <c r="M48" s="2027"/>
      <c r="N48" s="2027"/>
      <c r="O48" s="2027"/>
      <c r="P48" s="3484" t="str">
        <f>A48</f>
        <v>比较价格（元/平方米）</v>
      </c>
      <c r="Q48" s="3484"/>
      <c r="R48" s="3591">
        <f>IF(F1="售价",ROUND(PRODUCT(R47,AA7:AA46),0),ROUND(PRODUCT(R47,AA7:AA46),1))</f>
        <v>16818</v>
      </c>
      <c r="S48" s="3591"/>
      <c r="T48" s="3591">
        <f>IF(F1="售价",ROUND(PRODUCT(T47,AB7:AB46),0),ROUND(PRODUCT(T47,AB7:AB46),1))</f>
        <v>17479</v>
      </c>
      <c r="U48" s="3591"/>
      <c r="V48" s="3591">
        <f>IF(F1="售价",ROUND(PRODUCT(V47,AC7:AC46),0),ROUND(PRODUCT(V47,AC7:AC46),1))</f>
        <v>16035</v>
      </c>
      <c r="W48" s="3591"/>
      <c r="X48" s="1496"/>
      <c r="Y48" s="1496"/>
      <c r="Z48" s="1496"/>
      <c r="AA48" s="1496"/>
      <c r="AB48" s="1496"/>
      <c r="AC48" s="1496"/>
    </row>
    <row r="49" spans="1:29" ht="15.75" thickBot="1">
      <c r="A49" s="613" t="s">
        <v>2903</v>
      </c>
      <c r="B49" s="614"/>
      <c r="C49" s="2478">
        <f>R49</f>
        <v>16777</v>
      </c>
      <c r="D49" s="2478"/>
      <c r="E49" s="2478"/>
      <c r="F49" s="2478"/>
      <c r="G49" s="2478"/>
      <c r="H49" s="2478"/>
      <c r="I49" s="2478"/>
      <c r="J49" s="2478"/>
      <c r="K49" s="1537"/>
      <c r="L49" s="2026"/>
      <c r="M49" s="2027"/>
      <c r="N49" s="2027"/>
      <c r="O49" s="2027"/>
      <c r="P49" s="3505" t="str">
        <f>A49</f>
        <v>估价对象XX用房的比较价格（楼面单价，元/平方米）</v>
      </c>
      <c r="Q49" s="3506"/>
      <c r="R49" s="3590">
        <f>IF(F1="售价",ROUND(IF(D48="简单平均",AVERAGE(R48:V48),R48*F48+T48*H48+V48*J48),0),ROUND(IF(D48="简单平均",AVERAGE(R48:V48),R48*F48+T48*H48+V48*J48),1))</f>
        <v>16777</v>
      </c>
      <c r="S49" s="3590"/>
      <c r="T49" s="3590"/>
      <c r="U49" s="3590"/>
      <c r="V49" s="3590"/>
      <c r="W49" s="3590"/>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f>IF(E47&lt;E48,E48/E47-1,E47/E48-1)</f>
        <v>9.5278410941061598E-2</v>
      </c>
      <c r="F52" s="619" t="str">
        <f>IF(OR(E52&gt;=0.3,E52&lt;=-0.3),"超过30%","")</f>
        <v/>
      </c>
      <c r="G52" s="618">
        <f>IF(G47&lt;G48,G48/G47-1,G47/G48-1)</f>
        <v>0.10626582278481012</v>
      </c>
      <c r="H52" s="619" t="str">
        <f>IF(OR(G52&gt;=0.3,G52&lt;=-0.3),"超过30%","")</f>
        <v/>
      </c>
      <c r="I52" s="618">
        <f>IF(I47&lt;I48,I48/I47-1,I47/I48-1)</f>
        <v>9.543653504577132E-2</v>
      </c>
      <c r="J52" s="619" t="str">
        <f>IF(OR(I52&gt;=0.3,I52&lt;=-0.3),"超过30%","")</f>
        <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f>IF(E48&lt;G48,G48/E48-1,E48/G48-1)</f>
        <v>3.9303127601379551E-2</v>
      </c>
      <c r="F53" s="619" t="str">
        <f>IF(OR(E53&gt;=0.2,E53&lt;=-0.2),"超过20%","")</f>
        <v/>
      </c>
      <c r="G53" s="618">
        <f>IF(G48&lt;I48,I48/G48-1,G48/I48-1)</f>
        <v>9.0053009042718957E-2</v>
      </c>
      <c r="H53" s="619" t="str">
        <f>IF(OR(G53&gt;=0.2,G53&lt;=-0.2),"超过20%","")</f>
        <v/>
      </c>
      <c r="I53" s="618">
        <f>IF(I48&lt;E48,E48/I48-1,I48/E48-1)</f>
        <v>4.8830682881197296E-2</v>
      </c>
      <c r="J53" s="619" t="str">
        <f>IF(OR(I53&gt;=0.2,I53&lt;=-0.2),"超过20%","")</f>
        <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f>IF(E47&lt;G47,G47/E47-1,E47/G47-1)</f>
        <v>2.8980788016932602E-2</v>
      </c>
      <c r="F54" s="619" t="str">
        <f>IF(OR(E54&gt;=0.3,E54&lt;=-0.3),"超过30%","")</f>
        <v/>
      </c>
      <c r="G54" s="618">
        <f>IF(G47&lt;I47,I47/G47-1,G47/I47-1)</f>
        <v>7.9382429293619383E-2</v>
      </c>
      <c r="H54" s="619" t="str">
        <f>IF(OR(G54&gt;=0.3,G54&lt;=-0.3),"超过30%","")</f>
        <v/>
      </c>
      <c r="I54" s="618">
        <f>IF(I47&lt;E47,E47/I47-1,I47/E47-1)</f>
        <v>4.8982101379969833E-2</v>
      </c>
      <c r="J54" s="619" t="str">
        <f>IF(OR(I54&gt;=0.3,I54&lt;=-0.3),"超过30%","")</f>
        <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2021-7</v>
      </c>
      <c r="D58" s="2521">
        <f>EDATE(C58,-1)</f>
        <v>44348</v>
      </c>
      <c r="E58" s="2521">
        <f t="shared" ref="E58:O58" si="16">EDATE(D58,-1)</f>
        <v>44317</v>
      </c>
      <c r="F58" s="2521">
        <f t="shared" si="16"/>
        <v>44287</v>
      </c>
      <c r="G58" s="2521">
        <f t="shared" si="16"/>
        <v>44256</v>
      </c>
      <c r="H58" s="2521">
        <f t="shared" si="16"/>
        <v>44228</v>
      </c>
      <c r="I58" s="2521">
        <f t="shared" si="16"/>
        <v>44197</v>
      </c>
      <c r="J58" s="2521">
        <f t="shared" si="16"/>
        <v>44166</v>
      </c>
      <c r="K58" s="2521">
        <f t="shared" si="16"/>
        <v>44136</v>
      </c>
      <c r="L58" s="2521">
        <f t="shared" si="16"/>
        <v>44105</v>
      </c>
      <c r="M58" s="2521">
        <f t="shared" si="16"/>
        <v>44075</v>
      </c>
      <c r="N58" s="2521">
        <f t="shared" si="16"/>
        <v>44044</v>
      </c>
      <c r="O58" s="2521">
        <f t="shared" si="16"/>
        <v>44013</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v>100</v>
      </c>
      <c r="E59" s="642">
        <v>100</v>
      </c>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98</v>
      </c>
      <c r="E79" s="671">
        <f>D79-$K17</f>
        <v>96</v>
      </c>
      <c r="F79" s="671">
        <f>E79-$K17</f>
        <v>94</v>
      </c>
      <c r="G79" s="671">
        <f>F79-$K17</f>
        <v>92</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99</v>
      </c>
      <c r="E85" s="671">
        <f>D85-$K23</f>
        <v>98</v>
      </c>
      <c r="F85" s="671">
        <f>E85-$K23</f>
        <v>97</v>
      </c>
      <c r="G85" s="671">
        <f>F85-$K23</f>
        <v>96</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2246</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289" t="s">
        <v>3372</v>
      </c>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0(含)-50000</v>
      </c>
      <c r="D102" s="700" t="str">
        <f t="shared" ref="D102:L102" si="23">D103&amp;"(含)"&amp;"-"&amp;E103</f>
        <v>50000(含)-100000</v>
      </c>
      <c r="E102" s="700" t="str">
        <f t="shared" si="23"/>
        <v>100000(含)-150000</v>
      </c>
      <c r="F102" s="700" t="str">
        <f t="shared" si="23"/>
        <v>150000(含)-200000</v>
      </c>
      <c r="G102" s="700" t="str">
        <f t="shared" si="23"/>
        <v>200000(含)-250000</v>
      </c>
      <c r="H102" s="700" t="str">
        <f t="shared" si="23"/>
        <v>250000(含)-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f>C103+50000</f>
        <v>50000</v>
      </c>
      <c r="E103" s="722">
        <f t="shared" ref="E103:H103" si="24">D103+50000</f>
        <v>100000</v>
      </c>
      <c r="F103" s="722">
        <f t="shared" si="24"/>
        <v>150000</v>
      </c>
      <c r="G103" s="722">
        <f t="shared" si="24"/>
        <v>200000</v>
      </c>
      <c r="H103" s="722">
        <f t="shared" si="24"/>
        <v>250000</v>
      </c>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v>100</v>
      </c>
      <c r="D104" s="663">
        <f>C104+1</f>
        <v>101</v>
      </c>
      <c r="E104" s="663">
        <f t="shared" ref="E104:H104" si="25">D104+1</f>
        <v>102</v>
      </c>
      <c r="F104" s="663">
        <f t="shared" si="25"/>
        <v>103</v>
      </c>
      <c r="G104" s="663">
        <f t="shared" si="25"/>
        <v>104</v>
      </c>
      <c r="H104" s="663">
        <f t="shared" si="25"/>
        <v>105</v>
      </c>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6">C106-$K34</f>
        <v>100</v>
      </c>
      <c r="E106" s="671">
        <f t="shared" si="26"/>
        <v>100</v>
      </c>
      <c r="F106" s="671">
        <f t="shared" si="26"/>
        <v>100</v>
      </c>
      <c r="G106" s="671">
        <f t="shared" si="26"/>
        <v>100</v>
      </c>
      <c r="H106" s="671">
        <f t="shared" si="26"/>
        <v>100</v>
      </c>
      <c r="I106" s="671">
        <f t="shared" si="26"/>
        <v>100</v>
      </c>
      <c r="J106" s="671">
        <f t="shared" si="26"/>
        <v>100</v>
      </c>
      <c r="K106" s="671">
        <f t="shared" si="26"/>
        <v>100</v>
      </c>
      <c r="L106" s="671">
        <f t="shared" si="26"/>
        <v>100</v>
      </c>
      <c r="M106" s="671">
        <f t="shared" si="26"/>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7">C108-$K35</f>
        <v>100</v>
      </c>
      <c r="E108" s="671">
        <f t="shared" si="27"/>
        <v>100</v>
      </c>
      <c r="F108" s="671">
        <f t="shared" si="27"/>
        <v>100</v>
      </c>
      <c r="G108" s="671">
        <f t="shared" si="27"/>
        <v>100</v>
      </c>
      <c r="H108" s="671">
        <f t="shared" si="27"/>
        <v>100</v>
      </c>
      <c r="I108" s="671">
        <f t="shared" si="27"/>
        <v>100</v>
      </c>
      <c r="J108" s="671">
        <f t="shared" si="27"/>
        <v>100</v>
      </c>
      <c r="K108" s="671">
        <f t="shared" si="27"/>
        <v>100</v>
      </c>
      <c r="L108" s="671">
        <f t="shared" si="27"/>
        <v>100</v>
      </c>
      <c r="M108" s="671">
        <f t="shared" si="27"/>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8">C110-$K36</f>
        <v>100</v>
      </c>
      <c r="E110" s="671">
        <f t="shared" si="28"/>
        <v>100</v>
      </c>
      <c r="F110" s="671">
        <f t="shared" si="28"/>
        <v>100</v>
      </c>
      <c r="G110" s="671">
        <f t="shared" si="28"/>
        <v>100</v>
      </c>
      <c r="H110" s="671">
        <f t="shared" si="28"/>
        <v>100</v>
      </c>
      <c r="I110" s="671">
        <f t="shared" si="28"/>
        <v>100</v>
      </c>
      <c r="J110" s="671">
        <f t="shared" si="28"/>
        <v>100</v>
      </c>
      <c r="K110" s="671">
        <f t="shared" si="28"/>
        <v>100</v>
      </c>
      <c r="L110" s="671">
        <f t="shared" si="28"/>
        <v>100</v>
      </c>
      <c r="M110" s="671">
        <f t="shared" si="28"/>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9">C115-$K38</f>
        <v>100</v>
      </c>
      <c r="E115" s="671">
        <f t="shared" si="29"/>
        <v>100</v>
      </c>
      <c r="F115" s="671">
        <f t="shared" si="29"/>
        <v>100</v>
      </c>
      <c r="G115" s="671">
        <f t="shared" si="29"/>
        <v>100</v>
      </c>
      <c r="H115" s="671">
        <f t="shared" si="29"/>
        <v>100</v>
      </c>
      <c r="I115" s="671">
        <f t="shared" si="29"/>
        <v>100</v>
      </c>
      <c r="J115" s="671">
        <f t="shared" si="29"/>
        <v>100</v>
      </c>
      <c r="K115" s="671">
        <f t="shared" si="29"/>
        <v>100</v>
      </c>
      <c r="L115" s="671">
        <f t="shared" si="29"/>
        <v>100</v>
      </c>
      <c r="M115" s="671">
        <f t="shared" si="29"/>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30">C119-$K40</f>
        <v>100</v>
      </c>
      <c r="E119" s="671">
        <f t="shared" si="30"/>
        <v>100</v>
      </c>
      <c r="F119" s="671">
        <f t="shared" si="30"/>
        <v>100</v>
      </c>
      <c r="G119" s="671">
        <f t="shared" si="30"/>
        <v>100</v>
      </c>
      <c r="H119" s="671">
        <f t="shared" si="30"/>
        <v>100</v>
      </c>
      <c r="I119" s="671">
        <f t="shared" si="30"/>
        <v>100</v>
      </c>
      <c r="J119" s="671">
        <f t="shared" si="30"/>
        <v>100</v>
      </c>
      <c r="K119" s="671">
        <f t="shared" si="30"/>
        <v>100</v>
      </c>
      <c r="L119" s="671">
        <f t="shared" si="30"/>
        <v>100</v>
      </c>
      <c r="M119" s="671">
        <f t="shared" si="30"/>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292" t="s">
        <v>3379</v>
      </c>
      <c r="D122" s="3292" t="s">
        <v>3380</v>
      </c>
      <c r="E122" s="3292" t="s">
        <v>3381</v>
      </c>
      <c r="F122" s="3293" t="s">
        <v>3383</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31">C123-$K42</f>
        <v>96.5</v>
      </c>
      <c r="E123" s="671">
        <f t="shared" si="31"/>
        <v>93</v>
      </c>
      <c r="F123" s="671">
        <f t="shared" si="31"/>
        <v>89.5</v>
      </c>
      <c r="G123" s="671">
        <f t="shared" si="31"/>
        <v>86</v>
      </c>
      <c r="H123" s="671">
        <f t="shared" si="31"/>
        <v>82.5</v>
      </c>
      <c r="I123" s="671">
        <f t="shared" si="31"/>
        <v>79</v>
      </c>
      <c r="J123" s="671">
        <f t="shared" si="31"/>
        <v>75.5</v>
      </c>
      <c r="K123" s="671">
        <f t="shared" si="31"/>
        <v>72</v>
      </c>
      <c r="L123" s="671">
        <f t="shared" si="31"/>
        <v>68.5</v>
      </c>
      <c r="M123" s="671">
        <f t="shared" si="31"/>
        <v>65</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90" t="s">
        <v>516</v>
      </c>
      <c r="D4" s="3491"/>
      <c r="E4" s="3515" t="s">
        <v>517</v>
      </c>
      <c r="F4" s="3516"/>
      <c r="G4" s="3490" t="s">
        <v>518</v>
      </c>
      <c r="H4" s="3491"/>
      <c r="I4" s="3490" t="s">
        <v>519</v>
      </c>
      <c r="J4" s="3491"/>
      <c r="K4" s="508" t="s">
        <v>520</v>
      </c>
      <c r="L4" s="2015"/>
      <c r="M4" s="2016"/>
      <c r="N4" s="2016"/>
      <c r="O4" s="2016"/>
      <c r="P4" s="3492" t="s">
        <v>521</v>
      </c>
      <c r="Q4" s="3493"/>
      <c r="R4" s="3478" t="s">
        <v>517</v>
      </c>
      <c r="S4" s="3479"/>
      <c r="T4" s="3478" t="s">
        <v>518</v>
      </c>
      <c r="U4" s="3479"/>
      <c r="V4" s="3498" t="s">
        <v>519</v>
      </c>
      <c r="W4" s="3498"/>
      <c r="X4" s="1501"/>
      <c r="Y4" s="3478" t="s">
        <v>521</v>
      </c>
      <c r="Z4" s="3479"/>
      <c r="AA4" s="3473" t="s">
        <v>517</v>
      </c>
      <c r="AB4" s="3498" t="s">
        <v>518</v>
      </c>
      <c r="AC4" s="3473" t="s">
        <v>519</v>
      </c>
    </row>
    <row r="5" spans="1:29" ht="15">
      <c r="A5" s="509"/>
      <c r="B5" s="510"/>
      <c r="C5" s="3501" t="s">
        <v>2897</v>
      </c>
      <c r="D5" s="3502"/>
      <c r="E5" s="3517" t="s">
        <v>2898</v>
      </c>
      <c r="F5" s="3518"/>
      <c r="G5" s="3501" t="s">
        <v>2899</v>
      </c>
      <c r="H5" s="3502"/>
      <c r="I5" s="3501" t="s">
        <v>2900</v>
      </c>
      <c r="J5" s="3502"/>
      <c r="K5" s="508"/>
      <c r="L5" s="2015"/>
      <c r="M5" s="2016"/>
      <c r="N5" s="2016"/>
      <c r="O5" s="2016"/>
      <c r="P5" s="3494"/>
      <c r="Q5" s="3495"/>
      <c r="R5" s="3480"/>
      <c r="S5" s="3481"/>
      <c r="T5" s="3480"/>
      <c r="U5" s="3481"/>
      <c r="V5" s="3498"/>
      <c r="W5" s="3498"/>
      <c r="X5" s="1501"/>
      <c r="Y5" s="3480"/>
      <c r="Z5" s="3481"/>
      <c r="AA5" s="3474"/>
      <c r="AB5" s="3498"/>
      <c r="AC5" s="3474"/>
    </row>
    <row r="6" spans="1:29" ht="15.75" thickBot="1">
      <c r="A6" s="511"/>
      <c r="B6" s="512"/>
      <c r="C6" s="3499" t="s">
        <v>2901</v>
      </c>
      <c r="D6" s="3500"/>
      <c r="E6" s="3519" t="s">
        <v>2901</v>
      </c>
      <c r="F6" s="3520"/>
      <c r="G6" s="3499" t="s">
        <v>2901</v>
      </c>
      <c r="H6" s="3500"/>
      <c r="I6" s="3499" t="s">
        <v>2901</v>
      </c>
      <c r="J6" s="3500"/>
      <c r="K6" s="508" t="s">
        <v>522</v>
      </c>
      <c r="L6" s="2015"/>
      <c r="M6" s="2016"/>
      <c r="N6" s="2016"/>
      <c r="O6" s="2016"/>
      <c r="P6" s="3496"/>
      <c r="Q6" s="3497"/>
      <c r="R6" s="3480"/>
      <c r="S6" s="3481"/>
      <c r="T6" s="3482"/>
      <c r="U6" s="3483"/>
      <c r="V6" s="3498"/>
      <c r="W6" s="3498"/>
      <c r="X6" s="1501"/>
      <c r="Y6" s="3482"/>
      <c r="Z6" s="3483"/>
      <c r="AA6" s="3475"/>
      <c r="AB6" s="3498"/>
      <c r="AC6" s="3475"/>
    </row>
    <row r="7" spans="1:29" s="1202" customFormat="1" ht="15.75" thickBot="1">
      <c r="A7" s="2629"/>
      <c r="B7" s="2636" t="s">
        <v>523</v>
      </c>
      <c r="C7" s="513">
        <f>'数据-取费表'!B2</f>
        <v>44385</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76" t="s">
        <v>524</v>
      </c>
      <c r="Q7" s="3485"/>
      <c r="R7" s="1502" t="s">
        <v>8</v>
      </c>
      <c r="S7" s="1503">
        <f t="shared" ref="S7:S15" si="0">F7</f>
        <v>0</v>
      </c>
      <c r="T7" s="1502" t="s">
        <v>8</v>
      </c>
      <c r="U7" s="1503">
        <f t="shared" ref="U7:U15" si="1">H7</f>
        <v>0</v>
      </c>
      <c r="V7" s="1502" t="s">
        <v>8</v>
      </c>
      <c r="W7" s="1503">
        <f t="shared" ref="W7:W15" si="2">J7</f>
        <v>0</v>
      </c>
      <c r="X7" s="1504"/>
      <c r="Y7" s="3476" t="s">
        <v>524</v>
      </c>
      <c r="Z7" s="3477"/>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76" t="s">
        <v>527</v>
      </c>
      <c r="Q8" s="3477"/>
      <c r="R8" s="1502" t="s">
        <v>8</v>
      </c>
      <c r="S8" s="1503">
        <f t="shared" si="0"/>
        <v>0</v>
      </c>
      <c r="T8" s="1502" t="s">
        <v>8</v>
      </c>
      <c r="U8" s="1503">
        <f t="shared" si="1"/>
        <v>0</v>
      </c>
      <c r="V8" s="1502" t="s">
        <v>8</v>
      </c>
      <c r="W8" s="1503">
        <f t="shared" si="2"/>
        <v>0</v>
      </c>
      <c r="X8" s="1504"/>
      <c r="Y8" s="3476" t="s">
        <v>527</v>
      </c>
      <c r="Z8" s="3477"/>
      <c r="AA8" s="1505" t="e">
        <f t="shared" ref="AA8:AA46" si="3">D8/F8</f>
        <v>#DIV/0!</v>
      </c>
      <c r="AB8" s="1505" t="e">
        <f t="shared" ref="AB8:AB46" si="4">D8/H8</f>
        <v>#DIV/0!</v>
      </c>
      <c r="AC8" s="1505" t="e">
        <f t="shared" ref="AC8:AC46" si="5">D8/J8</f>
        <v>#DIV/0!</v>
      </c>
    </row>
    <row r="9" spans="1:29" s="1202" customFormat="1" ht="15">
      <c r="A9" s="2631"/>
      <c r="B9" s="2638" t="s">
        <v>2736</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84" t="s">
        <v>529</v>
      </c>
      <c r="Q9" s="1133" t="str">
        <f t="shared" ref="Q9:Q15" si="6">B9</f>
        <v>用途</v>
      </c>
      <c r="R9" s="1502" t="s">
        <v>8</v>
      </c>
      <c r="S9" s="1503">
        <f t="shared" si="0"/>
        <v>100</v>
      </c>
      <c r="T9" s="1502" t="s">
        <v>8</v>
      </c>
      <c r="U9" s="1503">
        <f t="shared" si="1"/>
        <v>100</v>
      </c>
      <c r="V9" s="1502" t="s">
        <v>8</v>
      </c>
      <c r="W9" s="1503">
        <f t="shared" si="2"/>
        <v>100</v>
      </c>
      <c r="X9" s="1504"/>
      <c r="Y9" s="3435"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84"/>
      <c r="Q10" s="1133" t="str">
        <f t="shared" si="6"/>
        <v>土地使用年限（年）</v>
      </c>
      <c r="R10" s="1502" t="s">
        <v>8</v>
      </c>
      <c r="S10" s="1503">
        <f t="shared" si="0"/>
        <v>100</v>
      </c>
      <c r="T10" s="1502" t="s">
        <v>8</v>
      </c>
      <c r="U10" s="1503">
        <f t="shared" si="1"/>
        <v>100</v>
      </c>
      <c r="V10" s="1502" t="s">
        <v>8</v>
      </c>
      <c r="W10" s="1503">
        <f t="shared" si="2"/>
        <v>100</v>
      </c>
      <c r="X10" s="1504"/>
      <c r="Y10" s="3435"/>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84"/>
      <c r="Q11" s="1133" t="str">
        <f t="shared" si="6"/>
        <v>容积率</v>
      </c>
      <c r="R11" s="1502" t="s">
        <v>8</v>
      </c>
      <c r="S11" s="1503" t="e">
        <f t="shared" si="0"/>
        <v>#N/A</v>
      </c>
      <c r="T11" s="1502" t="s">
        <v>8</v>
      </c>
      <c r="U11" s="1503" t="e">
        <f t="shared" si="1"/>
        <v>#N/A</v>
      </c>
      <c r="V11" s="1502" t="s">
        <v>8</v>
      </c>
      <c r="W11" s="1503" t="e">
        <f t="shared" si="2"/>
        <v>#N/A</v>
      </c>
      <c r="X11" s="1504"/>
      <c r="Y11" s="343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484"/>
      <c r="Q12" s="1133">
        <f t="shared" si="6"/>
        <v>111</v>
      </c>
      <c r="R12" s="1502" t="s">
        <v>8</v>
      </c>
      <c r="S12" s="1503">
        <f t="shared" si="0"/>
        <v>100</v>
      </c>
      <c r="T12" s="1502" t="s">
        <v>8</v>
      </c>
      <c r="U12" s="1503">
        <f t="shared" si="1"/>
        <v>100</v>
      </c>
      <c r="V12" s="1502" t="s">
        <v>8</v>
      </c>
      <c r="W12" s="1503">
        <f t="shared" si="2"/>
        <v>100</v>
      </c>
      <c r="X12" s="1504"/>
      <c r="Y12" s="3435"/>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484"/>
      <c r="Q13" s="1133">
        <f t="shared" si="6"/>
        <v>111</v>
      </c>
      <c r="R13" s="1502" t="s">
        <v>8</v>
      </c>
      <c r="S13" s="1503">
        <f t="shared" si="0"/>
        <v>100</v>
      </c>
      <c r="T13" s="1502" t="s">
        <v>8</v>
      </c>
      <c r="U13" s="1503">
        <f t="shared" si="1"/>
        <v>100</v>
      </c>
      <c r="V13" s="1502" t="s">
        <v>8</v>
      </c>
      <c r="W13" s="1503">
        <f t="shared" si="2"/>
        <v>100</v>
      </c>
      <c r="X13" s="1504"/>
      <c r="Y13" s="3435"/>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484"/>
      <c r="Q14" s="1133">
        <f t="shared" si="6"/>
        <v>111</v>
      </c>
      <c r="R14" s="1502" t="s">
        <v>8</v>
      </c>
      <c r="S14" s="1503">
        <f t="shared" si="0"/>
        <v>100</v>
      </c>
      <c r="T14" s="1502" t="s">
        <v>8</v>
      </c>
      <c r="U14" s="1503">
        <f t="shared" si="1"/>
        <v>100</v>
      </c>
      <c r="V14" s="1502" t="s">
        <v>8</v>
      </c>
      <c r="W14" s="1503">
        <f t="shared" si="2"/>
        <v>100</v>
      </c>
      <c r="X14" s="1504"/>
      <c r="Y14" s="3435"/>
      <c r="Z14" s="1132">
        <f t="shared" si="7"/>
        <v>111</v>
      </c>
      <c r="AA14" s="1505">
        <f t="shared" si="3"/>
        <v>1</v>
      </c>
      <c r="AB14" s="1505">
        <f t="shared" si="4"/>
        <v>1</v>
      </c>
      <c r="AC14" s="1505">
        <f t="shared" si="5"/>
        <v>1</v>
      </c>
    </row>
    <row r="15" spans="1:29" ht="71.25">
      <c r="A15" s="2627"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486" t="s">
        <v>534</v>
      </c>
      <c r="Q15" s="1506" t="str">
        <f t="shared" si="6"/>
        <v>商业繁华度</v>
      </c>
      <c r="R15" s="1507" t="s">
        <v>8</v>
      </c>
      <c r="S15" s="1508">
        <f t="shared" si="0"/>
        <v>100</v>
      </c>
      <c r="T15" s="1507" t="s">
        <v>8</v>
      </c>
      <c r="U15" s="1508">
        <f t="shared" si="1"/>
        <v>100</v>
      </c>
      <c r="V15" s="1507" t="s">
        <v>8</v>
      </c>
      <c r="W15" s="1508">
        <f t="shared" si="2"/>
        <v>100</v>
      </c>
      <c r="X15" s="1501"/>
      <c r="Y15" s="3486"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487"/>
      <c r="Q16" s="1506"/>
      <c r="R16" s="1507"/>
      <c r="S16" s="1508"/>
      <c r="T16" s="1507"/>
      <c r="U16" s="1508"/>
      <c r="V16" s="1507"/>
      <c r="W16" s="1508"/>
      <c r="X16" s="1501"/>
      <c r="Y16" s="3487"/>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487"/>
      <c r="Q17" s="1506" t="str">
        <f>B17</f>
        <v>交通便捷度</v>
      </c>
      <c r="R17" s="1507" t="s">
        <v>8</v>
      </c>
      <c r="S17" s="1508">
        <f>F17</f>
        <v>100</v>
      </c>
      <c r="T17" s="1507" t="s">
        <v>8</v>
      </c>
      <c r="U17" s="1508">
        <f>H17</f>
        <v>100</v>
      </c>
      <c r="V17" s="1507" t="s">
        <v>8</v>
      </c>
      <c r="W17" s="1508">
        <f>J17</f>
        <v>100</v>
      </c>
      <c r="X17" s="1501"/>
      <c r="Y17" s="3487"/>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487"/>
      <c r="Q18" s="1506"/>
      <c r="R18" s="1507"/>
      <c r="S18" s="1508"/>
      <c r="T18" s="1507"/>
      <c r="U18" s="1508"/>
      <c r="V18" s="1507"/>
      <c r="W18" s="1508"/>
      <c r="X18" s="1501"/>
      <c r="Y18" s="3487"/>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487"/>
      <c r="Q19" s="1506" t="str">
        <f>B19</f>
        <v>公共配套设施</v>
      </c>
      <c r="R19" s="1507" t="s">
        <v>8</v>
      </c>
      <c r="S19" s="1508">
        <f>F19</f>
        <v>100</v>
      </c>
      <c r="T19" s="1507" t="s">
        <v>8</v>
      </c>
      <c r="U19" s="1508">
        <f>H19</f>
        <v>100</v>
      </c>
      <c r="V19" s="1507" t="s">
        <v>8</v>
      </c>
      <c r="W19" s="1508">
        <f>J19</f>
        <v>100</v>
      </c>
      <c r="X19" s="1501"/>
      <c r="Y19" s="3487"/>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487"/>
      <c r="Q20" s="1506"/>
      <c r="R20" s="1507"/>
      <c r="S20" s="1508"/>
      <c r="T20" s="1507"/>
      <c r="U20" s="1508"/>
      <c r="V20" s="1507"/>
      <c r="W20" s="1508"/>
      <c r="X20" s="1501"/>
      <c r="Y20" s="3487"/>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487"/>
      <c r="Q21" s="2429" t="str">
        <f>B21</f>
        <v>基础设施水平</v>
      </c>
      <c r="R21" s="1507" t="s">
        <v>8</v>
      </c>
      <c r="S21" s="1508">
        <f>F21</f>
        <v>100</v>
      </c>
      <c r="T21" s="1507" t="s">
        <v>8</v>
      </c>
      <c r="U21" s="1508">
        <f>H21</f>
        <v>100</v>
      </c>
      <c r="V21" s="1507" t="s">
        <v>8</v>
      </c>
      <c r="W21" s="1508">
        <f>J21</f>
        <v>100</v>
      </c>
      <c r="X21" s="2431"/>
      <c r="Y21" s="3487"/>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487"/>
      <c r="Q22" s="2429"/>
      <c r="R22" s="1507"/>
      <c r="S22" s="1508"/>
      <c r="T22" s="1507"/>
      <c r="U22" s="1508"/>
      <c r="V22" s="1507"/>
      <c r="W22" s="1508"/>
      <c r="X22" s="2431"/>
      <c r="Y22" s="3487"/>
      <c r="Z22" s="2430"/>
      <c r="AA22" s="1510">
        <v>1</v>
      </c>
      <c r="AB22" s="1510">
        <v>1</v>
      </c>
      <c r="AC22" s="1510">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487"/>
      <c r="Q23" s="1506" t="str">
        <f>B23</f>
        <v>自然及人文环境</v>
      </c>
      <c r="R23" s="1507" t="s">
        <v>8</v>
      </c>
      <c r="S23" s="1508">
        <f>F23</f>
        <v>100</v>
      </c>
      <c r="T23" s="1507" t="s">
        <v>8</v>
      </c>
      <c r="U23" s="1508">
        <f>H23</f>
        <v>100</v>
      </c>
      <c r="V23" s="1507" t="s">
        <v>8</v>
      </c>
      <c r="W23" s="1508">
        <f>J23</f>
        <v>100</v>
      </c>
      <c r="X23" s="1501"/>
      <c r="Y23" s="3487"/>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487"/>
      <c r="Q24" s="1506"/>
      <c r="R24" s="1507"/>
      <c r="S24" s="1508"/>
      <c r="T24" s="1507"/>
      <c r="U24" s="1508"/>
      <c r="V24" s="1507"/>
      <c r="W24" s="1508"/>
      <c r="X24" s="1501"/>
      <c r="Y24" s="3487"/>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87"/>
      <c r="Q25" s="1506" t="str">
        <f t="shared" ref="Q25:Q46" si="11">B25</f>
        <v>临街状况</v>
      </c>
      <c r="R25" s="1507" t="s">
        <v>8</v>
      </c>
      <c r="S25" s="1508">
        <f>F25</f>
        <v>100</v>
      </c>
      <c r="T25" s="1507" t="s">
        <v>8</v>
      </c>
      <c r="U25" s="1508">
        <f>H25</f>
        <v>100</v>
      </c>
      <c r="V25" s="1507" t="s">
        <v>8</v>
      </c>
      <c r="W25" s="1508">
        <f>J25</f>
        <v>100</v>
      </c>
      <c r="X25" s="1501"/>
      <c r="Y25" s="3487"/>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87"/>
      <c r="Q26" s="1506" t="str">
        <f t="shared" si="11"/>
        <v>平面位置/可视性</v>
      </c>
      <c r="R26" s="1507" t="s">
        <v>8</v>
      </c>
      <c r="S26" s="1508">
        <f>F26</f>
        <v>100</v>
      </c>
      <c r="T26" s="1507" t="s">
        <v>8</v>
      </c>
      <c r="U26" s="1508">
        <f>H26</f>
        <v>100</v>
      </c>
      <c r="V26" s="1507" t="s">
        <v>8</v>
      </c>
      <c r="W26" s="1508">
        <f>J26</f>
        <v>100</v>
      </c>
      <c r="X26" s="1501"/>
      <c r="Y26" s="3487"/>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487"/>
      <c r="Q27" s="1133" t="str">
        <f t="shared" si="11"/>
        <v>人流量</v>
      </c>
      <c r="R27" s="1502" t="s">
        <v>8</v>
      </c>
      <c r="S27" s="1503">
        <f>F27</f>
        <v>100</v>
      </c>
      <c r="T27" s="1502" t="s">
        <v>8</v>
      </c>
      <c r="U27" s="1503">
        <f>H27</f>
        <v>100</v>
      </c>
      <c r="V27" s="1502" t="s">
        <v>8</v>
      </c>
      <c r="W27" s="1503">
        <f>J27</f>
        <v>100</v>
      </c>
      <c r="X27" s="1504"/>
      <c r="Y27" s="3487"/>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87"/>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487"/>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87"/>
      <c r="Q29" s="1506">
        <f t="shared" si="11"/>
        <v>111</v>
      </c>
      <c r="R29" s="1507" t="s">
        <v>8</v>
      </c>
      <c r="S29" s="1508">
        <f t="shared" si="12"/>
        <v>100</v>
      </c>
      <c r="T29" s="1507" t="s">
        <v>8</v>
      </c>
      <c r="U29" s="1508">
        <f t="shared" si="13"/>
        <v>100</v>
      </c>
      <c r="V29" s="1507" t="s">
        <v>8</v>
      </c>
      <c r="W29" s="1508">
        <f t="shared" si="14"/>
        <v>100</v>
      </c>
      <c r="X29" s="1501"/>
      <c r="Y29" s="3487"/>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87"/>
      <c r="Q30" s="1506">
        <f t="shared" si="11"/>
        <v>111</v>
      </c>
      <c r="R30" s="1507" t="s">
        <v>8</v>
      </c>
      <c r="S30" s="1508">
        <f t="shared" si="12"/>
        <v>100</v>
      </c>
      <c r="T30" s="1507" t="s">
        <v>8</v>
      </c>
      <c r="U30" s="1508">
        <f t="shared" si="13"/>
        <v>100</v>
      </c>
      <c r="V30" s="1507" t="s">
        <v>8</v>
      </c>
      <c r="W30" s="1508">
        <f t="shared" si="14"/>
        <v>100</v>
      </c>
      <c r="X30" s="1501"/>
      <c r="Y30" s="3487"/>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87"/>
      <c r="Q31" s="1506">
        <f t="shared" si="11"/>
        <v>111</v>
      </c>
      <c r="R31" s="1507" t="s">
        <v>8</v>
      </c>
      <c r="S31" s="1508">
        <f t="shared" si="12"/>
        <v>100</v>
      </c>
      <c r="T31" s="1507" t="s">
        <v>8</v>
      </c>
      <c r="U31" s="1508">
        <f t="shared" si="13"/>
        <v>100</v>
      </c>
      <c r="V31" s="1507" t="s">
        <v>8</v>
      </c>
      <c r="W31" s="1508">
        <f t="shared" si="14"/>
        <v>100</v>
      </c>
      <c r="X31" s="1501"/>
      <c r="Y31" s="3487"/>
      <c r="Z31" s="1509">
        <f t="shared" si="15"/>
        <v>111</v>
      </c>
      <c r="AA31" s="1510">
        <f t="shared" si="3"/>
        <v>1</v>
      </c>
      <c r="AB31" s="1510">
        <f t="shared" si="4"/>
        <v>1</v>
      </c>
      <c r="AC31" s="1510">
        <f t="shared" si="5"/>
        <v>1</v>
      </c>
    </row>
    <row r="32" spans="1:29" ht="15">
      <c r="A32" s="2624"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88" t="s">
        <v>544</v>
      </c>
      <c r="Q32" s="1506" t="str">
        <f t="shared" si="11"/>
        <v>商业类型</v>
      </c>
      <c r="R32" s="1507" t="s">
        <v>8</v>
      </c>
      <c r="S32" s="1508">
        <f t="shared" si="12"/>
        <v>100</v>
      </c>
      <c r="T32" s="1507" t="s">
        <v>8</v>
      </c>
      <c r="U32" s="1508">
        <f t="shared" si="13"/>
        <v>100</v>
      </c>
      <c r="V32" s="1507" t="s">
        <v>8</v>
      </c>
      <c r="W32" s="1508">
        <f t="shared" si="14"/>
        <v>100</v>
      </c>
      <c r="X32" s="1501"/>
      <c r="Y32" s="3489"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89"/>
      <c r="Q33" s="1535" t="str">
        <f t="shared" si="11"/>
        <v>项目建筑规模</v>
      </c>
      <c r="R33" s="1511" t="s">
        <v>8</v>
      </c>
      <c r="S33" s="1512" t="e">
        <f t="shared" si="12"/>
        <v>#N/A</v>
      </c>
      <c r="T33" s="1511" t="s">
        <v>8</v>
      </c>
      <c r="U33" s="1512" t="e">
        <f t="shared" si="13"/>
        <v>#N/A</v>
      </c>
      <c r="V33" s="1511" t="s">
        <v>8</v>
      </c>
      <c r="W33" s="1512" t="e">
        <f t="shared" si="14"/>
        <v>#N/A</v>
      </c>
      <c r="X33" s="1513"/>
      <c r="Y33" s="3489"/>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489"/>
      <c r="Q34" s="1506" t="str">
        <f t="shared" si="11"/>
        <v>建筑结构</v>
      </c>
      <c r="R34" s="1507" t="s">
        <v>8</v>
      </c>
      <c r="S34" s="1508">
        <f t="shared" si="12"/>
        <v>100</v>
      </c>
      <c r="T34" s="1507" t="s">
        <v>8</v>
      </c>
      <c r="U34" s="1508">
        <f t="shared" si="13"/>
        <v>100</v>
      </c>
      <c r="V34" s="1507" t="s">
        <v>8</v>
      </c>
      <c r="W34" s="1508">
        <f t="shared" si="14"/>
        <v>100</v>
      </c>
      <c r="X34" s="1501"/>
      <c r="Y34" s="3489"/>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89"/>
      <c r="Q35" s="1506" t="str">
        <f t="shared" si="11"/>
        <v>公共部分装修</v>
      </c>
      <c r="R35" s="1507" t="s">
        <v>8</v>
      </c>
      <c r="S35" s="1508">
        <f t="shared" si="12"/>
        <v>100</v>
      </c>
      <c r="T35" s="1507" t="s">
        <v>8</v>
      </c>
      <c r="U35" s="1508">
        <f t="shared" si="13"/>
        <v>100</v>
      </c>
      <c r="V35" s="1507" t="s">
        <v>8</v>
      </c>
      <c r="W35" s="1508">
        <f t="shared" si="14"/>
        <v>100</v>
      </c>
      <c r="X35" s="1501"/>
      <c r="Y35" s="3489"/>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489"/>
      <c r="Q36" s="1506" t="str">
        <f t="shared" si="11"/>
        <v>成新度</v>
      </c>
      <c r="R36" s="1507" t="s">
        <v>8</v>
      </c>
      <c r="S36" s="1508" t="e">
        <f t="shared" si="12"/>
        <v>#N/A</v>
      </c>
      <c r="T36" s="1507" t="s">
        <v>8</v>
      </c>
      <c r="U36" s="1508" t="e">
        <f t="shared" si="13"/>
        <v>#N/A</v>
      </c>
      <c r="V36" s="1507" t="s">
        <v>8</v>
      </c>
      <c r="W36" s="1508" t="e">
        <f t="shared" si="14"/>
        <v>#N/A</v>
      </c>
      <c r="X36" s="1501"/>
      <c r="Y36" s="3489"/>
      <c r="Z36" s="1509" t="str">
        <f t="shared" si="15"/>
        <v>成新度</v>
      </c>
      <c r="AA36" s="1510" t="e">
        <f t="shared" si="3"/>
        <v>#N/A</v>
      </c>
      <c r="AB36" s="1510" t="e">
        <f t="shared" si="4"/>
        <v>#N/A</v>
      </c>
      <c r="AC36" s="1510" t="e">
        <f t="shared" si="5"/>
        <v>#N/A</v>
      </c>
    </row>
    <row r="37" spans="1:29" s="1202"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89"/>
      <c r="Q37" s="1133" t="str">
        <f t="shared" si="11"/>
        <v>市政基础设施</v>
      </c>
      <c r="R37" s="1502" t="s">
        <v>8</v>
      </c>
      <c r="S37" s="1503">
        <f t="shared" si="12"/>
        <v>100</v>
      </c>
      <c r="T37" s="1502" t="s">
        <v>8</v>
      </c>
      <c r="U37" s="1503">
        <f t="shared" si="13"/>
        <v>100</v>
      </c>
      <c r="V37" s="1502" t="s">
        <v>8</v>
      </c>
      <c r="W37" s="1503">
        <f t="shared" si="14"/>
        <v>100</v>
      </c>
      <c r="X37" s="1504"/>
      <c r="Y37" s="3489"/>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89" t="s">
        <v>760</v>
      </c>
      <c r="Q38" s="1506" t="str">
        <f t="shared" si="11"/>
        <v>业态</v>
      </c>
      <c r="R38" s="1507" t="s">
        <v>8</v>
      </c>
      <c r="S38" s="1508">
        <f t="shared" si="12"/>
        <v>100</v>
      </c>
      <c r="T38" s="1507" t="s">
        <v>8</v>
      </c>
      <c r="U38" s="1508">
        <f t="shared" si="13"/>
        <v>100</v>
      </c>
      <c r="V38" s="1507" t="s">
        <v>8</v>
      </c>
      <c r="W38" s="1508">
        <f t="shared" si="14"/>
        <v>100</v>
      </c>
      <c r="X38" s="1501"/>
      <c r="Y38" s="3489"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89"/>
      <c r="Q39" s="1506" t="str">
        <f t="shared" si="11"/>
        <v>层高</v>
      </c>
      <c r="R39" s="1507" t="s">
        <v>8</v>
      </c>
      <c r="S39" s="1508">
        <f t="shared" si="12"/>
        <v>100</v>
      </c>
      <c r="T39" s="1507" t="s">
        <v>8</v>
      </c>
      <c r="U39" s="1508">
        <f t="shared" si="13"/>
        <v>100</v>
      </c>
      <c r="V39" s="1507" t="s">
        <v>8</v>
      </c>
      <c r="W39" s="1508">
        <f t="shared" si="14"/>
        <v>100</v>
      </c>
      <c r="X39" s="1501"/>
      <c r="Y39" s="3489"/>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489"/>
      <c r="Q40" s="1506" t="str">
        <f t="shared" si="11"/>
        <v>单套建筑面积</v>
      </c>
      <c r="R40" s="1507" t="s">
        <v>8</v>
      </c>
      <c r="S40" s="1508">
        <f t="shared" si="12"/>
        <v>100</v>
      </c>
      <c r="T40" s="1507" t="s">
        <v>8</v>
      </c>
      <c r="U40" s="1508">
        <f t="shared" si="13"/>
        <v>100</v>
      </c>
      <c r="V40" s="1507" t="s">
        <v>8</v>
      </c>
      <c r="W40" s="1508">
        <f t="shared" si="14"/>
        <v>100</v>
      </c>
      <c r="X40" s="1501"/>
      <c r="Y40" s="3489"/>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89"/>
      <c r="Q41" s="1535" t="str">
        <f t="shared" si="11"/>
        <v>进深比</v>
      </c>
      <c r="R41" s="1511" t="s">
        <v>8</v>
      </c>
      <c r="S41" s="1512">
        <f t="shared" si="12"/>
        <v>100</v>
      </c>
      <c r="T41" s="1511" t="s">
        <v>8</v>
      </c>
      <c r="U41" s="1512">
        <f t="shared" si="13"/>
        <v>100</v>
      </c>
      <c r="V41" s="1511" t="s">
        <v>8</v>
      </c>
      <c r="W41" s="1512">
        <f t="shared" si="14"/>
        <v>100</v>
      </c>
      <c r="X41" s="1513"/>
      <c r="Y41" s="3489"/>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89"/>
      <c r="Q42" s="1506" t="str">
        <f t="shared" si="11"/>
        <v>内部装修</v>
      </c>
      <c r="R42" s="1507" t="s">
        <v>8</v>
      </c>
      <c r="S42" s="1508">
        <f t="shared" si="12"/>
        <v>100</v>
      </c>
      <c r="T42" s="1507" t="s">
        <v>8</v>
      </c>
      <c r="U42" s="1508">
        <f t="shared" si="13"/>
        <v>100</v>
      </c>
      <c r="V42" s="1507" t="s">
        <v>8</v>
      </c>
      <c r="W42" s="1508">
        <f t="shared" si="14"/>
        <v>100</v>
      </c>
      <c r="X42" s="1501"/>
      <c r="Y42" s="3489"/>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89"/>
      <c r="Q43" s="1506" t="str">
        <f t="shared" si="11"/>
        <v>内部装修维护情况</v>
      </c>
      <c r="R43" s="1507" t="s">
        <v>8</v>
      </c>
      <c r="S43" s="1508">
        <f t="shared" si="12"/>
        <v>100</v>
      </c>
      <c r="T43" s="1507" t="s">
        <v>8</v>
      </c>
      <c r="U43" s="1508">
        <f t="shared" si="13"/>
        <v>100</v>
      </c>
      <c r="V43" s="1507" t="s">
        <v>8</v>
      </c>
      <c r="W43" s="1508">
        <f t="shared" si="14"/>
        <v>100</v>
      </c>
      <c r="X43" s="1501"/>
      <c r="Y43" s="3489"/>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89"/>
      <c r="Q44" s="1133">
        <f t="shared" si="11"/>
        <v>111</v>
      </c>
      <c r="R44" s="1502" t="s">
        <v>8</v>
      </c>
      <c r="S44" s="1503">
        <f t="shared" si="12"/>
        <v>100</v>
      </c>
      <c r="T44" s="1502" t="s">
        <v>8</v>
      </c>
      <c r="U44" s="1503">
        <f t="shared" si="13"/>
        <v>100</v>
      </c>
      <c r="V44" s="1502" t="s">
        <v>8</v>
      </c>
      <c r="W44" s="1503">
        <f t="shared" si="14"/>
        <v>100</v>
      </c>
      <c r="X44" s="1504"/>
      <c r="Y44" s="3489"/>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89"/>
      <c r="Q45" s="1506">
        <f t="shared" si="11"/>
        <v>111</v>
      </c>
      <c r="R45" s="1507" t="s">
        <v>8</v>
      </c>
      <c r="S45" s="1508">
        <f t="shared" si="12"/>
        <v>100</v>
      </c>
      <c r="T45" s="1507" t="s">
        <v>8</v>
      </c>
      <c r="U45" s="1508">
        <f t="shared" si="13"/>
        <v>100</v>
      </c>
      <c r="V45" s="1507" t="s">
        <v>8</v>
      </c>
      <c r="W45" s="1508">
        <f t="shared" si="14"/>
        <v>100</v>
      </c>
      <c r="X45" s="1501"/>
      <c r="Y45" s="3489"/>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92"/>
      <c r="Q46" s="1506">
        <f t="shared" si="11"/>
        <v>111</v>
      </c>
      <c r="R46" s="1507" t="s">
        <v>8</v>
      </c>
      <c r="S46" s="1508">
        <f t="shared" si="12"/>
        <v>100</v>
      </c>
      <c r="T46" s="1507" t="s">
        <v>8</v>
      </c>
      <c r="U46" s="1508">
        <f t="shared" si="13"/>
        <v>100</v>
      </c>
      <c r="V46" s="1507" t="s">
        <v>8</v>
      </c>
      <c r="W46" s="1508">
        <f t="shared" si="14"/>
        <v>100</v>
      </c>
      <c r="X46" s="1501"/>
      <c r="Y46" s="3592"/>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484" t="str">
        <f>A47</f>
        <v>成交单价（元/平方米）</v>
      </c>
      <c r="Q47" s="3484"/>
      <c r="R47" s="3591">
        <f>E47</f>
        <v>0</v>
      </c>
      <c r="S47" s="3591"/>
      <c r="T47" s="3591">
        <f>G47</f>
        <v>0</v>
      </c>
      <c r="U47" s="3591"/>
      <c r="V47" s="3591">
        <f>I47</f>
        <v>0</v>
      </c>
      <c r="W47" s="3591"/>
      <c r="X47" s="1496"/>
      <c r="Y47" s="1515"/>
      <c r="Z47" s="1496"/>
      <c r="AA47" s="1496"/>
      <c r="AB47" s="1496"/>
      <c r="AC47" s="1496"/>
    </row>
    <row r="48" spans="1:29" ht="15.75" thickBot="1">
      <c r="A48" s="609" t="s">
        <v>2740</v>
      </c>
      <c r="B48" s="876"/>
      <c r="C48" s="2476" t="e">
        <f>R49</f>
        <v>#DIV/0!</v>
      </c>
      <c r="D48" s="3013" t="s">
        <v>2971</v>
      </c>
      <c r="E48" s="2477" t="e">
        <f>R48</f>
        <v>#DIV/0!</v>
      </c>
      <c r="F48" s="3014"/>
      <c r="G48" s="2476" t="e">
        <f>T48</f>
        <v>#DIV/0!</v>
      </c>
      <c r="H48" s="3014"/>
      <c r="I48" s="2477" t="e">
        <f>V48</f>
        <v>#DIV/0!</v>
      </c>
      <c r="J48" s="3014"/>
      <c r="K48" s="3022">
        <f>F48+H48+J48</f>
        <v>0</v>
      </c>
      <c r="L48" s="2026"/>
      <c r="M48" s="2027"/>
      <c r="N48" s="2016"/>
      <c r="O48" s="2027"/>
      <c r="P48" s="3484" t="str">
        <f>A48</f>
        <v>比较价格（元/平方米）</v>
      </c>
      <c r="Q48" s="3484"/>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1496"/>
      <c r="Y48" s="1496"/>
      <c r="Z48" s="1496"/>
      <c r="AA48" s="1496"/>
      <c r="AB48" s="1496"/>
      <c r="AC48" s="1496"/>
    </row>
    <row r="49" spans="1:29" ht="15.75" thickBot="1">
      <c r="A49" s="613" t="s">
        <v>2903</v>
      </c>
      <c r="B49" s="614"/>
      <c r="C49" s="2478" t="e">
        <f>R49</f>
        <v>#DIV/0!</v>
      </c>
      <c r="D49" s="2478"/>
      <c r="E49" s="2478"/>
      <c r="F49" s="2478"/>
      <c r="G49" s="2478"/>
      <c r="H49" s="2478"/>
      <c r="I49" s="2478"/>
      <c r="J49" s="2478"/>
      <c r="K49" s="1541"/>
      <c r="L49" s="2026"/>
      <c r="M49" s="2027"/>
      <c r="N49" s="2016"/>
      <c r="O49" s="2027"/>
      <c r="P49" s="3505" t="str">
        <f>A49</f>
        <v>估价对象XX用房的比较价格（楼面单价，元/平方米）</v>
      </c>
      <c r="Q49" s="3506"/>
      <c r="R49" s="3590" t="e">
        <f>IF(F1="售价",ROUND(IF(D48="简单平均",AVERAGE(R48:V48),R48*F48+T48*H48+V48*J48),0),ROUND(IF(D48="简单平均",AVERAGE(R48:V48),R48*F48+T48*H48+V48*J48),1))</f>
        <v>#DIV/0!</v>
      </c>
      <c r="S49" s="3590"/>
      <c r="T49" s="3590"/>
      <c r="U49" s="3590"/>
      <c r="V49" s="3590"/>
      <c r="W49" s="3590"/>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2021-7</v>
      </c>
      <c r="D58" s="2521">
        <f>EDATE(C58,-1)</f>
        <v>44348</v>
      </c>
      <c r="E58" s="2521">
        <f t="shared" ref="E58:O58" si="16">EDATE(D58,-1)</f>
        <v>44317</v>
      </c>
      <c r="F58" s="2521">
        <f t="shared" si="16"/>
        <v>44287</v>
      </c>
      <c r="G58" s="2521">
        <f t="shared" si="16"/>
        <v>44256</v>
      </c>
      <c r="H58" s="2521">
        <f t="shared" si="16"/>
        <v>44228</v>
      </c>
      <c r="I58" s="2521">
        <f t="shared" si="16"/>
        <v>44197</v>
      </c>
      <c r="J58" s="2521">
        <f t="shared" si="16"/>
        <v>44166</v>
      </c>
      <c r="K58" s="2521">
        <f t="shared" si="16"/>
        <v>44136</v>
      </c>
      <c r="L58" s="2521">
        <f t="shared" si="16"/>
        <v>44105</v>
      </c>
      <c r="M58" s="2521">
        <f t="shared" si="16"/>
        <v>44075</v>
      </c>
      <c r="N58" s="2521">
        <f t="shared" si="16"/>
        <v>44044</v>
      </c>
      <c r="O58" s="2521">
        <f t="shared" si="16"/>
        <v>44013</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9"/>
      <c r="M1" s="3210"/>
      <c r="N1" s="3210"/>
      <c r="O1" s="3210"/>
      <c r="P1" s="3273"/>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3"/>
      <c r="Q2" s="2014"/>
      <c r="R2" s="2014"/>
      <c r="S2" s="2014"/>
      <c r="T2" s="2014"/>
      <c r="U2" s="2014"/>
      <c r="V2" s="2014"/>
      <c r="W2" s="2014"/>
      <c r="X2" s="2014"/>
      <c r="Y2" s="2014"/>
      <c r="Z2" s="2014"/>
      <c r="AA2" s="2014"/>
      <c r="AB2" s="2014"/>
      <c r="AC2" s="3211"/>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3"/>
      <c r="Q3" s="2014"/>
      <c r="R3" s="2014"/>
      <c r="S3" s="2014"/>
      <c r="T3" s="2014"/>
      <c r="U3" s="2014"/>
      <c r="V3" s="2014"/>
      <c r="W3" s="2014"/>
      <c r="X3" s="2014"/>
      <c r="Y3" s="2014"/>
      <c r="Z3" s="2014"/>
      <c r="AA3" s="2014"/>
      <c r="AB3" s="2014"/>
      <c r="AC3" s="3211"/>
    </row>
    <row r="4" spans="1:29" ht="15">
      <c r="A4" s="506" t="s">
        <v>515</v>
      </c>
      <c r="B4" s="507"/>
      <c r="C4" s="3490" t="s">
        <v>516</v>
      </c>
      <c r="D4" s="3491"/>
      <c r="E4" s="3515" t="s">
        <v>517</v>
      </c>
      <c r="F4" s="3516"/>
      <c r="G4" s="3490" t="s">
        <v>518</v>
      </c>
      <c r="H4" s="3491"/>
      <c r="I4" s="3490" t="s">
        <v>519</v>
      </c>
      <c r="J4" s="3491"/>
      <c r="K4" s="508" t="s">
        <v>520</v>
      </c>
      <c r="L4" s="2015"/>
      <c r="M4" s="2016"/>
      <c r="N4" s="2016"/>
      <c r="O4" s="2016"/>
      <c r="P4" s="3593" t="s">
        <v>521</v>
      </c>
      <c r="Q4" s="3493"/>
      <c r="R4" s="3478" t="s">
        <v>517</v>
      </c>
      <c r="S4" s="3479"/>
      <c r="T4" s="3478" t="s">
        <v>518</v>
      </c>
      <c r="U4" s="3479"/>
      <c r="V4" s="3498" t="s">
        <v>519</v>
      </c>
      <c r="W4" s="3498"/>
      <c r="X4" s="1501"/>
      <c r="Y4" s="3478" t="s">
        <v>521</v>
      </c>
      <c r="Z4" s="3479"/>
      <c r="AA4" s="3473" t="s">
        <v>517</v>
      </c>
      <c r="AB4" s="3473" t="s">
        <v>518</v>
      </c>
      <c r="AC4" s="3473" t="s">
        <v>519</v>
      </c>
    </row>
    <row r="5" spans="1:29" ht="15">
      <c r="A5" s="509"/>
      <c r="B5" s="510"/>
      <c r="C5" s="3501" t="s">
        <v>2897</v>
      </c>
      <c r="D5" s="3502"/>
      <c r="E5" s="3517" t="s">
        <v>2898</v>
      </c>
      <c r="F5" s="3518"/>
      <c r="G5" s="3501" t="s">
        <v>2899</v>
      </c>
      <c r="H5" s="3502"/>
      <c r="I5" s="3501" t="s">
        <v>2900</v>
      </c>
      <c r="J5" s="3502"/>
      <c r="K5" s="508"/>
      <c r="L5" s="2015"/>
      <c r="M5" s="2016"/>
      <c r="N5" s="2016"/>
      <c r="O5" s="2016"/>
      <c r="P5" s="3594"/>
      <c r="Q5" s="3495"/>
      <c r="R5" s="3480"/>
      <c r="S5" s="3481"/>
      <c r="T5" s="3480"/>
      <c r="U5" s="3481"/>
      <c r="V5" s="3498"/>
      <c r="W5" s="3498"/>
      <c r="X5" s="1501"/>
      <c r="Y5" s="3480"/>
      <c r="Z5" s="3481"/>
      <c r="AA5" s="3474"/>
      <c r="AB5" s="3474"/>
      <c r="AC5" s="3474"/>
    </row>
    <row r="6" spans="1:29" ht="15.75" thickBot="1">
      <c r="A6" s="511"/>
      <c r="B6" s="512"/>
      <c r="C6" s="3499" t="s">
        <v>2901</v>
      </c>
      <c r="D6" s="3500"/>
      <c r="E6" s="3519" t="s">
        <v>2901</v>
      </c>
      <c r="F6" s="3520"/>
      <c r="G6" s="3499" t="s">
        <v>2901</v>
      </c>
      <c r="H6" s="3500"/>
      <c r="I6" s="3499" t="s">
        <v>2901</v>
      </c>
      <c r="J6" s="3500"/>
      <c r="K6" s="508" t="s">
        <v>522</v>
      </c>
      <c r="L6" s="2015"/>
      <c r="M6" s="2016"/>
      <c r="N6" s="2016"/>
      <c r="O6" s="2016"/>
      <c r="P6" s="3595"/>
      <c r="Q6" s="3497"/>
      <c r="R6" s="3480"/>
      <c r="S6" s="3481"/>
      <c r="T6" s="3482"/>
      <c r="U6" s="3483"/>
      <c r="V6" s="3498"/>
      <c r="W6" s="3498"/>
      <c r="X6" s="1501"/>
      <c r="Y6" s="3482"/>
      <c r="Z6" s="3483"/>
      <c r="AA6" s="3475"/>
      <c r="AB6" s="3475"/>
      <c r="AC6" s="3475"/>
    </row>
    <row r="7" spans="1:29" s="1202" customFormat="1" ht="15.75" thickBot="1">
      <c r="A7" s="2629"/>
      <c r="B7" s="2636" t="s">
        <v>523</v>
      </c>
      <c r="C7" s="513">
        <f>'数据-取费表'!B2</f>
        <v>44385</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85" t="s">
        <v>524</v>
      </c>
      <c r="Q7" s="3485"/>
      <c r="R7" s="1502" t="s">
        <v>8</v>
      </c>
      <c r="S7" s="1503">
        <f t="shared" ref="S7:S15" si="0">F7</f>
        <v>0</v>
      </c>
      <c r="T7" s="1502" t="s">
        <v>8</v>
      </c>
      <c r="U7" s="1503">
        <f t="shared" ref="U7:U15" si="1">H7</f>
        <v>0</v>
      </c>
      <c r="V7" s="1502" t="s">
        <v>8</v>
      </c>
      <c r="W7" s="1503">
        <f t="shared" ref="W7:W15" si="2">J7</f>
        <v>0</v>
      </c>
      <c r="X7" s="1504"/>
      <c r="Y7" s="3476" t="s">
        <v>524</v>
      </c>
      <c r="Z7" s="3477"/>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85" t="s">
        <v>527</v>
      </c>
      <c r="Q8" s="3477"/>
      <c r="R8" s="1502" t="s">
        <v>8</v>
      </c>
      <c r="S8" s="1503">
        <f t="shared" si="0"/>
        <v>0</v>
      </c>
      <c r="T8" s="1502" t="s">
        <v>8</v>
      </c>
      <c r="U8" s="1503">
        <f t="shared" si="1"/>
        <v>0</v>
      </c>
      <c r="V8" s="1502" t="s">
        <v>8</v>
      </c>
      <c r="W8" s="1503">
        <f t="shared" si="2"/>
        <v>0</v>
      </c>
      <c r="X8" s="1504"/>
      <c r="Y8" s="3476" t="s">
        <v>527</v>
      </c>
      <c r="Z8" s="3477"/>
      <c r="AA8" s="1505" t="e">
        <f t="shared" ref="AA8:AA47" si="3">D8/F8</f>
        <v>#DIV/0!</v>
      </c>
      <c r="AB8" s="1505" t="e">
        <f t="shared" ref="AB8:AB47" si="4">D8/H8</f>
        <v>#DIV/0!</v>
      </c>
      <c r="AC8" s="1505" t="e">
        <f t="shared" ref="AC8:AC47" si="5">D8/J8</f>
        <v>#DIV/0!</v>
      </c>
    </row>
    <row r="9" spans="1:29" s="1202" customFormat="1" ht="15">
      <c r="A9" s="2631"/>
      <c r="B9" s="2638" t="s">
        <v>2736</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84" t="s">
        <v>529</v>
      </c>
      <c r="Q9" s="1133" t="str">
        <f t="shared" ref="Q9:Q15" si="6">B9</f>
        <v>用途</v>
      </c>
      <c r="R9" s="1502" t="s">
        <v>8</v>
      </c>
      <c r="S9" s="1503">
        <f t="shared" si="0"/>
        <v>100</v>
      </c>
      <c r="T9" s="1502" t="s">
        <v>8</v>
      </c>
      <c r="U9" s="1503">
        <f t="shared" si="1"/>
        <v>100</v>
      </c>
      <c r="V9" s="1502" t="s">
        <v>8</v>
      </c>
      <c r="W9" s="1503">
        <f t="shared" si="2"/>
        <v>100</v>
      </c>
      <c r="X9" s="1504"/>
      <c r="Y9" s="3435"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84"/>
      <c r="Q10" s="1133" t="str">
        <f t="shared" si="6"/>
        <v>土地使用年限（年）</v>
      </c>
      <c r="R10" s="1502" t="s">
        <v>8</v>
      </c>
      <c r="S10" s="1503">
        <f t="shared" si="0"/>
        <v>100</v>
      </c>
      <c r="T10" s="1502" t="s">
        <v>8</v>
      </c>
      <c r="U10" s="1503">
        <f t="shared" si="1"/>
        <v>100</v>
      </c>
      <c r="V10" s="1502" t="s">
        <v>8</v>
      </c>
      <c r="W10" s="1503">
        <f t="shared" si="2"/>
        <v>100</v>
      </c>
      <c r="X10" s="1504"/>
      <c r="Y10" s="3435"/>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84"/>
      <c r="Q11" s="1133" t="str">
        <f t="shared" si="6"/>
        <v>容积率</v>
      </c>
      <c r="R11" s="1502" t="s">
        <v>8</v>
      </c>
      <c r="S11" s="1503" t="e">
        <f t="shared" si="0"/>
        <v>#N/A</v>
      </c>
      <c r="T11" s="1502" t="s">
        <v>8</v>
      </c>
      <c r="U11" s="1503" t="e">
        <f t="shared" si="1"/>
        <v>#N/A</v>
      </c>
      <c r="V11" s="1502" t="s">
        <v>8</v>
      </c>
      <c r="W11" s="1503" t="e">
        <f t="shared" si="2"/>
        <v>#N/A</v>
      </c>
      <c r="X11" s="1504"/>
      <c r="Y11" s="343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484"/>
      <c r="Q12" s="1133">
        <f t="shared" si="6"/>
        <v>111</v>
      </c>
      <c r="R12" s="1502" t="s">
        <v>8</v>
      </c>
      <c r="S12" s="1503">
        <f t="shared" si="0"/>
        <v>100</v>
      </c>
      <c r="T12" s="1502" t="s">
        <v>8</v>
      </c>
      <c r="U12" s="1503">
        <f t="shared" si="1"/>
        <v>100</v>
      </c>
      <c r="V12" s="1502" t="s">
        <v>8</v>
      </c>
      <c r="W12" s="1503">
        <f t="shared" si="2"/>
        <v>100</v>
      </c>
      <c r="X12" s="1504"/>
      <c r="Y12" s="3435"/>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484"/>
      <c r="Q13" s="1133">
        <f t="shared" si="6"/>
        <v>111</v>
      </c>
      <c r="R13" s="1502" t="s">
        <v>8</v>
      </c>
      <c r="S13" s="1503">
        <f t="shared" si="0"/>
        <v>100</v>
      </c>
      <c r="T13" s="1502" t="s">
        <v>8</v>
      </c>
      <c r="U13" s="1503">
        <f t="shared" si="1"/>
        <v>100</v>
      </c>
      <c r="V13" s="1502" t="s">
        <v>8</v>
      </c>
      <c r="W13" s="1503">
        <f t="shared" si="2"/>
        <v>100</v>
      </c>
      <c r="X13" s="1504"/>
      <c r="Y13" s="3435"/>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484"/>
      <c r="Q14" s="1133">
        <f t="shared" si="6"/>
        <v>111</v>
      </c>
      <c r="R14" s="1502" t="s">
        <v>8</v>
      </c>
      <c r="S14" s="1503">
        <f t="shared" si="0"/>
        <v>100</v>
      </c>
      <c r="T14" s="1502" t="s">
        <v>8</v>
      </c>
      <c r="U14" s="1503">
        <f t="shared" si="1"/>
        <v>100</v>
      </c>
      <c r="V14" s="1502" t="s">
        <v>8</v>
      </c>
      <c r="W14" s="1503">
        <f t="shared" si="2"/>
        <v>100</v>
      </c>
      <c r="X14" s="1504"/>
      <c r="Y14" s="3435"/>
      <c r="Z14" s="1132">
        <f t="shared" si="7"/>
        <v>111</v>
      </c>
      <c r="AA14" s="1505">
        <f t="shared" si="3"/>
        <v>1</v>
      </c>
      <c r="AB14" s="1505">
        <f t="shared" si="4"/>
        <v>1</v>
      </c>
      <c r="AC14" s="1505">
        <f t="shared" si="5"/>
        <v>1</v>
      </c>
    </row>
    <row r="15" spans="1:29" ht="71.25">
      <c r="A15" s="2627"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486" t="s">
        <v>534</v>
      </c>
      <c r="Q15" s="1506" t="str">
        <f t="shared" si="6"/>
        <v>办公集聚程度</v>
      </c>
      <c r="R15" s="1507" t="s">
        <v>8</v>
      </c>
      <c r="S15" s="1508">
        <f t="shared" si="0"/>
        <v>100</v>
      </c>
      <c r="T15" s="1507" t="s">
        <v>8</v>
      </c>
      <c r="U15" s="1508">
        <f t="shared" si="1"/>
        <v>100</v>
      </c>
      <c r="V15" s="1507" t="s">
        <v>8</v>
      </c>
      <c r="W15" s="1508">
        <f t="shared" si="2"/>
        <v>100</v>
      </c>
      <c r="X15" s="1501"/>
      <c r="Y15" s="3486"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487"/>
      <c r="Q16" s="1506"/>
      <c r="R16" s="1507"/>
      <c r="S16" s="1508"/>
      <c r="T16" s="1507"/>
      <c r="U16" s="1508"/>
      <c r="V16" s="1507"/>
      <c r="W16" s="1508"/>
      <c r="X16" s="1501"/>
      <c r="Y16" s="3487"/>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487"/>
      <c r="Q17" s="1506" t="str">
        <f>B17</f>
        <v>交通便捷度</v>
      </c>
      <c r="R17" s="1507" t="s">
        <v>8</v>
      </c>
      <c r="S17" s="1508">
        <f>F17</f>
        <v>100</v>
      </c>
      <c r="T17" s="1507" t="s">
        <v>8</v>
      </c>
      <c r="U17" s="1508">
        <f>H17</f>
        <v>100</v>
      </c>
      <c r="V17" s="1507" t="s">
        <v>8</v>
      </c>
      <c r="W17" s="1508">
        <f>J17</f>
        <v>100</v>
      </c>
      <c r="X17" s="1501"/>
      <c r="Y17" s="3487"/>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487"/>
      <c r="Q18" s="1506"/>
      <c r="R18" s="1507"/>
      <c r="S18" s="1508"/>
      <c r="T18" s="1507"/>
      <c r="U18" s="1508"/>
      <c r="V18" s="1507"/>
      <c r="W18" s="1508"/>
      <c r="X18" s="1501"/>
      <c r="Y18" s="3487"/>
      <c r="Z18" s="1509"/>
      <c r="AA18" s="1510">
        <v>1</v>
      </c>
      <c r="AB18" s="1510">
        <v>1</v>
      </c>
      <c r="AC18" s="1510">
        <v>1</v>
      </c>
    </row>
    <row r="19" spans="1:29" ht="42.75">
      <c r="A19" s="526"/>
      <c r="B19" s="2447"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487"/>
      <c r="Q19" s="1506" t="str">
        <f>B19</f>
        <v>公共配套设施</v>
      </c>
      <c r="R19" s="1507" t="s">
        <v>8</v>
      </c>
      <c r="S19" s="1508">
        <f>F19</f>
        <v>100</v>
      </c>
      <c r="T19" s="1507" t="s">
        <v>8</v>
      </c>
      <c r="U19" s="1508">
        <f>H19</f>
        <v>100</v>
      </c>
      <c r="V19" s="1507" t="s">
        <v>8</v>
      </c>
      <c r="W19" s="1508">
        <f>J19</f>
        <v>100</v>
      </c>
      <c r="X19" s="1501"/>
      <c r="Y19" s="3487"/>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487"/>
      <c r="Q20" s="1506"/>
      <c r="R20" s="1507"/>
      <c r="S20" s="1508"/>
      <c r="T20" s="1507"/>
      <c r="U20" s="1508"/>
      <c r="V20" s="1507"/>
      <c r="W20" s="1508"/>
      <c r="X20" s="1501"/>
      <c r="Y20" s="3487"/>
      <c r="Z20" s="1509"/>
      <c r="AA20" s="1510">
        <v>1</v>
      </c>
      <c r="AB20" s="1510">
        <v>1</v>
      </c>
      <c r="AC20" s="1510">
        <v>1</v>
      </c>
    </row>
    <row r="21" spans="1:29" ht="28.5">
      <c r="A21" s="526"/>
      <c r="B21" s="2435"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487"/>
      <c r="Q21" s="2429" t="str">
        <f>B21</f>
        <v>基础设施水平</v>
      </c>
      <c r="R21" s="1507" t="s">
        <v>8</v>
      </c>
      <c r="S21" s="1508">
        <f>F21</f>
        <v>100</v>
      </c>
      <c r="T21" s="1507" t="s">
        <v>8</v>
      </c>
      <c r="U21" s="1508">
        <f>H21</f>
        <v>100</v>
      </c>
      <c r="V21" s="1507" t="s">
        <v>8</v>
      </c>
      <c r="W21" s="1508">
        <f>J21</f>
        <v>100</v>
      </c>
      <c r="X21" s="2431"/>
      <c r="Y21" s="3487"/>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487"/>
      <c r="Q22" s="2429"/>
      <c r="R22" s="1507"/>
      <c r="S22" s="1508"/>
      <c r="T22" s="1507"/>
      <c r="U22" s="1508"/>
      <c r="V22" s="1507"/>
      <c r="W22" s="1508"/>
      <c r="X22" s="2431"/>
      <c r="Y22" s="3487"/>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487"/>
      <c r="Q23" s="1506" t="str">
        <f>B23</f>
        <v>环境质量</v>
      </c>
      <c r="R23" s="1507" t="s">
        <v>8</v>
      </c>
      <c r="S23" s="1508">
        <f>F23</f>
        <v>100</v>
      </c>
      <c r="T23" s="1507" t="s">
        <v>8</v>
      </c>
      <c r="U23" s="1508">
        <f>H23</f>
        <v>100</v>
      </c>
      <c r="V23" s="1507" t="s">
        <v>8</v>
      </c>
      <c r="W23" s="1508">
        <f>J23</f>
        <v>100</v>
      </c>
      <c r="X23" s="1501"/>
      <c r="Y23" s="3487"/>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487"/>
      <c r="Q24" s="1506"/>
      <c r="R24" s="1507"/>
      <c r="S24" s="1508"/>
      <c r="T24" s="1507"/>
      <c r="U24" s="1508"/>
      <c r="V24" s="1507"/>
      <c r="W24" s="1508"/>
      <c r="X24" s="1501"/>
      <c r="Y24" s="3487"/>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487"/>
      <c r="Q25" s="1506" t="str">
        <f>B25</f>
        <v>毗邻道路的类型与等级</v>
      </c>
      <c r="R25" s="1507" t="s">
        <v>8</v>
      </c>
      <c r="S25" s="1508">
        <f>F25</f>
        <v>100</v>
      </c>
      <c r="T25" s="1507" t="s">
        <v>8</v>
      </c>
      <c r="U25" s="1508">
        <f>H25</f>
        <v>100</v>
      </c>
      <c r="V25" s="1507" t="s">
        <v>8</v>
      </c>
      <c r="W25" s="1508">
        <f>J25</f>
        <v>100</v>
      </c>
      <c r="X25" s="1501"/>
      <c r="Y25" s="3487"/>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487"/>
      <c r="Q26" s="1506"/>
      <c r="R26" s="1507"/>
      <c r="S26" s="1508"/>
      <c r="T26" s="1507"/>
      <c r="U26" s="1508"/>
      <c r="V26" s="1507"/>
      <c r="W26" s="1508"/>
      <c r="X26" s="1501"/>
      <c r="Y26" s="3487"/>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87"/>
      <c r="Q27" s="1506" t="str">
        <f t="shared" ref="Q27:Q47" si="11">B27</f>
        <v>楼层</v>
      </c>
      <c r="R27" s="1507" t="s">
        <v>8</v>
      </c>
      <c r="S27" s="1508">
        <f>F27</f>
        <v>100</v>
      </c>
      <c r="T27" s="1507" t="s">
        <v>8</v>
      </c>
      <c r="U27" s="1508">
        <f>H27</f>
        <v>100</v>
      </c>
      <c r="V27" s="1507" t="s">
        <v>8</v>
      </c>
      <c r="W27" s="1508">
        <f>J27</f>
        <v>100</v>
      </c>
      <c r="X27" s="1501"/>
      <c r="Y27" s="3487"/>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487"/>
      <c r="Q28" s="1133" t="str">
        <f t="shared" si="11"/>
        <v>朝向</v>
      </c>
      <c r="R28" s="1502" t="s">
        <v>8</v>
      </c>
      <c r="S28" s="1503">
        <f>F28</f>
        <v>100</v>
      </c>
      <c r="T28" s="1502" t="s">
        <v>8</v>
      </c>
      <c r="U28" s="1503">
        <f>H28</f>
        <v>100</v>
      </c>
      <c r="V28" s="1502" t="s">
        <v>8</v>
      </c>
      <c r="W28" s="1503">
        <f>J28</f>
        <v>100</v>
      </c>
      <c r="X28" s="1504"/>
      <c r="Y28" s="3487"/>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487"/>
      <c r="Q29" s="1506">
        <f t="shared" si="11"/>
        <v>111</v>
      </c>
      <c r="R29" s="1507" t="s">
        <v>8</v>
      </c>
      <c r="S29" s="1508">
        <f t="shared" ref="S29:S47" si="12">F29</f>
        <v>100</v>
      </c>
      <c r="T29" s="1507" t="s">
        <v>8</v>
      </c>
      <c r="U29" s="1508">
        <f t="shared" ref="U29:U47" si="13">H29</f>
        <v>100</v>
      </c>
      <c r="V29" s="1507" t="s">
        <v>8</v>
      </c>
      <c r="W29" s="1508">
        <f t="shared" ref="W29:W47" si="14">J29</f>
        <v>100</v>
      </c>
      <c r="X29" s="1501"/>
      <c r="Y29" s="3487"/>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487"/>
      <c r="Q30" s="1506">
        <f t="shared" si="11"/>
        <v>111</v>
      </c>
      <c r="R30" s="1507" t="s">
        <v>8</v>
      </c>
      <c r="S30" s="1508">
        <f t="shared" si="12"/>
        <v>100</v>
      </c>
      <c r="T30" s="1507" t="s">
        <v>8</v>
      </c>
      <c r="U30" s="1508">
        <f t="shared" si="13"/>
        <v>100</v>
      </c>
      <c r="V30" s="1507" t="s">
        <v>8</v>
      </c>
      <c r="W30" s="1508">
        <f t="shared" si="14"/>
        <v>100</v>
      </c>
      <c r="X30" s="1501"/>
      <c r="Y30" s="3487"/>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487"/>
      <c r="Q31" s="1506">
        <f t="shared" si="11"/>
        <v>111</v>
      </c>
      <c r="R31" s="1507" t="s">
        <v>8</v>
      </c>
      <c r="S31" s="1508">
        <f t="shared" si="12"/>
        <v>100</v>
      </c>
      <c r="T31" s="1507" t="s">
        <v>8</v>
      </c>
      <c r="U31" s="1508">
        <f t="shared" si="13"/>
        <v>100</v>
      </c>
      <c r="V31" s="1507" t="s">
        <v>8</v>
      </c>
      <c r="W31" s="1508">
        <f t="shared" si="14"/>
        <v>100</v>
      </c>
      <c r="X31" s="1501"/>
      <c r="Y31" s="3487"/>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487"/>
      <c r="Q32" s="1506">
        <f t="shared" si="11"/>
        <v>111</v>
      </c>
      <c r="R32" s="1507" t="s">
        <v>8</v>
      </c>
      <c r="S32" s="1508">
        <f t="shared" si="12"/>
        <v>100</v>
      </c>
      <c r="T32" s="1507" t="s">
        <v>8</v>
      </c>
      <c r="U32" s="1508">
        <f t="shared" si="13"/>
        <v>100</v>
      </c>
      <c r="V32" s="1507" t="s">
        <v>8</v>
      </c>
      <c r="W32" s="1508">
        <f t="shared" si="14"/>
        <v>100</v>
      </c>
      <c r="X32" s="1501"/>
      <c r="Y32" s="3487"/>
      <c r="Z32" s="1509">
        <f t="shared" si="15"/>
        <v>111</v>
      </c>
      <c r="AA32" s="1510">
        <f t="shared" si="3"/>
        <v>1</v>
      </c>
      <c r="AB32" s="1510">
        <f t="shared" si="4"/>
        <v>1</v>
      </c>
      <c r="AC32" s="1510">
        <f t="shared" si="5"/>
        <v>1</v>
      </c>
    </row>
    <row r="33" spans="1:29" ht="15">
      <c r="A33" s="2624" t="s">
        <v>2735</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488" t="s">
        <v>544</v>
      </c>
      <c r="Q33" s="1506" t="str">
        <f t="shared" si="11"/>
        <v>建筑类型</v>
      </c>
      <c r="R33" s="1507" t="s">
        <v>8</v>
      </c>
      <c r="S33" s="1508">
        <f t="shared" si="12"/>
        <v>100</v>
      </c>
      <c r="T33" s="1507" t="s">
        <v>8</v>
      </c>
      <c r="U33" s="1508">
        <f t="shared" si="13"/>
        <v>100</v>
      </c>
      <c r="V33" s="1507" t="s">
        <v>8</v>
      </c>
      <c r="W33" s="1508">
        <f t="shared" si="14"/>
        <v>100</v>
      </c>
      <c r="X33" s="1501"/>
      <c r="Y33" s="3489"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89"/>
      <c r="Q34" s="1535" t="str">
        <f t="shared" si="11"/>
        <v>项目建筑规模</v>
      </c>
      <c r="R34" s="1511" t="s">
        <v>8</v>
      </c>
      <c r="S34" s="1512" t="e">
        <f t="shared" si="12"/>
        <v>#N/A</v>
      </c>
      <c r="T34" s="1511" t="s">
        <v>8</v>
      </c>
      <c r="U34" s="1512" t="e">
        <f t="shared" si="13"/>
        <v>#N/A</v>
      </c>
      <c r="V34" s="1511" t="s">
        <v>8</v>
      </c>
      <c r="W34" s="1512" t="e">
        <f t="shared" si="14"/>
        <v>#N/A</v>
      </c>
      <c r="X34" s="1513"/>
      <c r="Y34" s="3489"/>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89"/>
      <c r="Q35" s="1506" t="str">
        <f t="shared" si="11"/>
        <v>建筑结构</v>
      </c>
      <c r="R35" s="1507" t="s">
        <v>8</v>
      </c>
      <c r="S35" s="1508">
        <f t="shared" si="12"/>
        <v>100</v>
      </c>
      <c r="T35" s="1507" t="s">
        <v>8</v>
      </c>
      <c r="U35" s="1508">
        <f t="shared" si="13"/>
        <v>100</v>
      </c>
      <c r="V35" s="1507" t="s">
        <v>8</v>
      </c>
      <c r="W35" s="1508">
        <f t="shared" si="14"/>
        <v>100</v>
      </c>
      <c r="X35" s="1501"/>
      <c r="Y35" s="3489"/>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89"/>
      <c r="Q36" s="1506" t="str">
        <f t="shared" si="11"/>
        <v>公共部分装修</v>
      </c>
      <c r="R36" s="1507" t="s">
        <v>8</v>
      </c>
      <c r="S36" s="1508">
        <f t="shared" si="12"/>
        <v>100</v>
      </c>
      <c r="T36" s="1507" t="s">
        <v>8</v>
      </c>
      <c r="U36" s="1508">
        <f t="shared" si="13"/>
        <v>100</v>
      </c>
      <c r="V36" s="1507" t="s">
        <v>8</v>
      </c>
      <c r="W36" s="1508">
        <f t="shared" si="14"/>
        <v>100</v>
      </c>
      <c r="X36" s="1501"/>
      <c r="Y36" s="3489"/>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489"/>
      <c r="Q37" s="1506" t="str">
        <f t="shared" si="11"/>
        <v>成新度</v>
      </c>
      <c r="R37" s="1507" t="s">
        <v>8</v>
      </c>
      <c r="S37" s="1508" t="e">
        <f t="shared" si="12"/>
        <v>#N/A</v>
      </c>
      <c r="T37" s="1507" t="s">
        <v>8</v>
      </c>
      <c r="U37" s="1508" t="e">
        <f t="shared" si="13"/>
        <v>#N/A</v>
      </c>
      <c r="V37" s="1507" t="s">
        <v>8</v>
      </c>
      <c r="W37" s="1508" t="e">
        <f t="shared" si="14"/>
        <v>#N/A</v>
      </c>
      <c r="X37" s="1501"/>
      <c r="Y37" s="3489"/>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89"/>
      <c r="Q38" s="1133" t="str">
        <f t="shared" si="11"/>
        <v>写字楼等级</v>
      </c>
      <c r="R38" s="1502" t="s">
        <v>8</v>
      </c>
      <c r="S38" s="1503">
        <f t="shared" si="12"/>
        <v>100</v>
      </c>
      <c r="T38" s="1502" t="s">
        <v>8</v>
      </c>
      <c r="U38" s="1503">
        <f t="shared" si="13"/>
        <v>100</v>
      </c>
      <c r="V38" s="1502" t="s">
        <v>8</v>
      </c>
      <c r="W38" s="1503">
        <f t="shared" si="14"/>
        <v>100</v>
      </c>
      <c r="X38" s="1504"/>
      <c r="Y38" s="3489"/>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89" t="s">
        <v>544</v>
      </c>
      <c r="Q39" s="1506" t="str">
        <f t="shared" si="11"/>
        <v>物业管理</v>
      </c>
      <c r="R39" s="1507" t="s">
        <v>8</v>
      </c>
      <c r="S39" s="1508">
        <f t="shared" si="12"/>
        <v>100</v>
      </c>
      <c r="T39" s="1507" t="s">
        <v>8</v>
      </c>
      <c r="U39" s="1508">
        <f t="shared" si="13"/>
        <v>100</v>
      </c>
      <c r="V39" s="1507" t="s">
        <v>8</v>
      </c>
      <c r="W39" s="1508">
        <f t="shared" si="14"/>
        <v>100</v>
      </c>
      <c r="X39" s="1501"/>
      <c r="Y39" s="3489" t="s">
        <v>544</v>
      </c>
      <c r="Z39" s="1509" t="str">
        <f t="shared" si="15"/>
        <v>物业管理</v>
      </c>
      <c r="AA39" s="1510">
        <f t="shared" si="3"/>
        <v>1</v>
      </c>
      <c r="AB39" s="1510">
        <f t="shared" si="4"/>
        <v>1</v>
      </c>
      <c r="AC39" s="1510">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89"/>
      <c r="Q40" s="1506" t="str">
        <f t="shared" si="11"/>
        <v>市政基础设施</v>
      </c>
      <c r="R40" s="1507" t="s">
        <v>8</v>
      </c>
      <c r="S40" s="1508">
        <f t="shared" si="12"/>
        <v>100</v>
      </c>
      <c r="T40" s="1507" t="s">
        <v>8</v>
      </c>
      <c r="U40" s="1508">
        <f t="shared" si="13"/>
        <v>100</v>
      </c>
      <c r="V40" s="1507" t="s">
        <v>8</v>
      </c>
      <c r="W40" s="1508">
        <f t="shared" si="14"/>
        <v>100</v>
      </c>
      <c r="X40" s="1501"/>
      <c r="Y40" s="3489"/>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89"/>
      <c r="Q41" s="1506" t="str">
        <f t="shared" si="11"/>
        <v>层高</v>
      </c>
      <c r="R41" s="1507" t="s">
        <v>8</v>
      </c>
      <c r="S41" s="1508">
        <f t="shared" si="12"/>
        <v>100</v>
      </c>
      <c r="T41" s="1507" t="s">
        <v>8</v>
      </c>
      <c r="U41" s="1508">
        <f t="shared" si="13"/>
        <v>100</v>
      </c>
      <c r="V41" s="1507" t="s">
        <v>8</v>
      </c>
      <c r="W41" s="1508">
        <f t="shared" si="14"/>
        <v>100</v>
      </c>
      <c r="X41" s="1501"/>
      <c r="Y41" s="3489"/>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89"/>
      <c r="Q42" s="1535" t="str">
        <f t="shared" si="11"/>
        <v>单套建筑面积</v>
      </c>
      <c r="R42" s="1511" t="s">
        <v>8</v>
      </c>
      <c r="S42" s="1512">
        <f t="shared" si="12"/>
        <v>100</v>
      </c>
      <c r="T42" s="1511" t="s">
        <v>8</v>
      </c>
      <c r="U42" s="1512">
        <f t="shared" si="13"/>
        <v>100</v>
      </c>
      <c r="V42" s="1511" t="s">
        <v>8</v>
      </c>
      <c r="W42" s="1512">
        <f t="shared" si="14"/>
        <v>100</v>
      </c>
      <c r="X42" s="1513"/>
      <c r="Y42" s="3489"/>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89"/>
      <c r="Q43" s="1506" t="str">
        <f t="shared" si="11"/>
        <v>内部装修</v>
      </c>
      <c r="R43" s="1507" t="s">
        <v>8</v>
      </c>
      <c r="S43" s="1508">
        <f t="shared" si="12"/>
        <v>100</v>
      </c>
      <c r="T43" s="1507" t="s">
        <v>8</v>
      </c>
      <c r="U43" s="1508">
        <f t="shared" si="13"/>
        <v>100</v>
      </c>
      <c r="V43" s="1507" t="s">
        <v>8</v>
      </c>
      <c r="W43" s="1508">
        <f t="shared" si="14"/>
        <v>100</v>
      </c>
      <c r="X43" s="1501"/>
      <c r="Y43" s="3489"/>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89"/>
      <c r="Q44" s="1506" t="str">
        <f t="shared" si="11"/>
        <v>内部装修维护情况</v>
      </c>
      <c r="R44" s="1507" t="s">
        <v>8</v>
      </c>
      <c r="S44" s="1508">
        <f t="shared" si="12"/>
        <v>100</v>
      </c>
      <c r="T44" s="1507" t="s">
        <v>8</v>
      </c>
      <c r="U44" s="1508">
        <f t="shared" si="13"/>
        <v>100</v>
      </c>
      <c r="V44" s="1507" t="s">
        <v>8</v>
      </c>
      <c r="W44" s="1508">
        <f t="shared" si="14"/>
        <v>100</v>
      </c>
      <c r="X44" s="1501"/>
      <c r="Y44" s="3489"/>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89"/>
      <c r="Q45" s="1133">
        <f t="shared" si="11"/>
        <v>111</v>
      </c>
      <c r="R45" s="1502" t="s">
        <v>8</v>
      </c>
      <c r="S45" s="1503">
        <f t="shared" si="12"/>
        <v>100</v>
      </c>
      <c r="T45" s="1502" t="s">
        <v>8</v>
      </c>
      <c r="U45" s="1503">
        <f t="shared" si="13"/>
        <v>100</v>
      </c>
      <c r="V45" s="1502" t="s">
        <v>8</v>
      </c>
      <c r="W45" s="1503">
        <f t="shared" si="14"/>
        <v>100</v>
      </c>
      <c r="X45" s="1504"/>
      <c r="Y45" s="3489"/>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89"/>
      <c r="Q46" s="1506">
        <f t="shared" si="11"/>
        <v>111</v>
      </c>
      <c r="R46" s="1507" t="s">
        <v>8</v>
      </c>
      <c r="S46" s="1508">
        <f t="shared" si="12"/>
        <v>100</v>
      </c>
      <c r="T46" s="1507" t="s">
        <v>8</v>
      </c>
      <c r="U46" s="1508">
        <f t="shared" si="13"/>
        <v>100</v>
      </c>
      <c r="V46" s="1507" t="s">
        <v>8</v>
      </c>
      <c r="W46" s="1508">
        <f t="shared" si="14"/>
        <v>100</v>
      </c>
      <c r="X46" s="1501"/>
      <c r="Y46" s="3489"/>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92"/>
      <c r="Q47" s="1506">
        <f t="shared" si="11"/>
        <v>111</v>
      </c>
      <c r="R47" s="1507" t="s">
        <v>8</v>
      </c>
      <c r="S47" s="1508">
        <f t="shared" si="12"/>
        <v>100</v>
      </c>
      <c r="T47" s="1507" t="s">
        <v>8</v>
      </c>
      <c r="U47" s="1508">
        <f t="shared" si="13"/>
        <v>100</v>
      </c>
      <c r="V47" s="1507" t="s">
        <v>8</v>
      </c>
      <c r="W47" s="1508">
        <f t="shared" si="14"/>
        <v>100</v>
      </c>
      <c r="X47" s="1501"/>
      <c r="Y47" s="3592"/>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06" t="str">
        <f>A48</f>
        <v>成交单价（元/平方米）</v>
      </c>
      <c r="Q48" s="3484"/>
      <c r="R48" s="3591">
        <f>E48</f>
        <v>0</v>
      </c>
      <c r="S48" s="3591"/>
      <c r="T48" s="3591">
        <f>G48</f>
        <v>0</v>
      </c>
      <c r="U48" s="3591"/>
      <c r="V48" s="3591">
        <f>I48</f>
        <v>0</v>
      </c>
      <c r="W48" s="3591"/>
      <c r="X48" s="1496"/>
      <c r="Y48" s="1515"/>
      <c r="Z48" s="1496"/>
      <c r="AA48" s="1496"/>
      <c r="AB48" s="1496"/>
      <c r="AC48" s="1496"/>
    </row>
    <row r="49" spans="1:29" ht="15.75" thickBot="1">
      <c r="A49" s="609" t="s">
        <v>2740</v>
      </c>
      <c r="B49" s="876"/>
      <c r="C49" s="2476" t="e">
        <f>R50</f>
        <v>#DIV/0!</v>
      </c>
      <c r="D49" s="3013" t="s">
        <v>2971</v>
      </c>
      <c r="E49" s="2477" t="e">
        <f>R49</f>
        <v>#DIV/0!</v>
      </c>
      <c r="F49" s="3014"/>
      <c r="G49" s="2476" t="e">
        <f>T49</f>
        <v>#DIV/0!</v>
      </c>
      <c r="H49" s="3014"/>
      <c r="I49" s="2477" t="e">
        <f>V49</f>
        <v>#DIV/0!</v>
      </c>
      <c r="J49" s="3014"/>
      <c r="K49" s="3022">
        <f>F49+H49+J49</f>
        <v>0</v>
      </c>
      <c r="L49" s="2026"/>
      <c r="M49" s="2016"/>
      <c r="N49" s="2016"/>
      <c r="O49" s="2016"/>
      <c r="P49" s="3506" t="str">
        <f>A49</f>
        <v>比较价格（元/平方米）</v>
      </c>
      <c r="Q49" s="3484"/>
      <c r="R49" s="3591" t="e">
        <f>IF(F1="售价",ROUND(PRODUCT(R48,AA7:AA47),0),ROUND(PRODUCT(R48,AA7:AA47),1))</f>
        <v>#DIV/0!</v>
      </c>
      <c r="S49" s="3591"/>
      <c r="T49" s="3591" t="e">
        <f>IF(F1="售价",ROUND(PRODUCT(T48,AB7:AB47),0),ROUND(PRODUCT(T48,AB7:AB47),1))</f>
        <v>#DIV/0!</v>
      </c>
      <c r="U49" s="3591"/>
      <c r="V49" s="3591" t="e">
        <f>IF(F1="售价",ROUND(PRODUCT(V48,AC7:AC47),0),ROUND(PRODUCT(V48,AC7:AC47),1))</f>
        <v>#DIV/0!</v>
      </c>
      <c r="W49" s="3591"/>
      <c r="X49" s="1496"/>
      <c r="Y49" s="1496"/>
      <c r="Z49" s="1496"/>
      <c r="AA49" s="1496"/>
      <c r="AB49" s="1496"/>
      <c r="AC49" s="1496"/>
    </row>
    <row r="50" spans="1:29" ht="15.75" thickBot="1">
      <c r="A50" s="613" t="s">
        <v>2903</v>
      </c>
      <c r="B50" s="614"/>
      <c r="C50" s="2478" t="e">
        <f>R50</f>
        <v>#DIV/0!</v>
      </c>
      <c r="D50" s="2478"/>
      <c r="E50" s="2478"/>
      <c r="F50" s="2478"/>
      <c r="G50" s="2478"/>
      <c r="H50" s="2478"/>
      <c r="I50" s="2478"/>
      <c r="J50" s="2478"/>
      <c r="K50" s="1541"/>
      <c r="L50" s="2026"/>
      <c r="M50" s="2016"/>
      <c r="N50" s="2016"/>
      <c r="O50" s="2016"/>
      <c r="P50" s="3596" t="str">
        <f>A50</f>
        <v>估价对象XX用房的比较价格（楼面单价，元/平方米）</v>
      </c>
      <c r="Q50" s="3506"/>
      <c r="R50" s="3590" t="e">
        <f>IF(F1="售价",ROUND(IF(D49="简单平均",AVERAGE(R49:V49),R49*F49+T49*H49+V49*J49),0),ROUND(IF(D49="简单平均",AVERAGE(R49:V49),R49*F49+T49*H49+V49*J49),1))</f>
        <v>#DIV/0!</v>
      </c>
      <c r="S50" s="3590"/>
      <c r="T50" s="3590"/>
      <c r="U50" s="3590"/>
      <c r="V50" s="3590"/>
      <c r="W50" s="3590"/>
      <c r="X50" s="1496"/>
      <c r="Y50" s="1496"/>
      <c r="Z50" s="1496"/>
      <c r="AA50" s="1496"/>
      <c r="AB50" s="1496"/>
      <c r="AC50" s="1496"/>
    </row>
    <row r="51" spans="1:29">
      <c r="A51" s="3213"/>
      <c r="B51" s="3213"/>
      <c r="C51" s="3213"/>
      <c r="D51" s="3213"/>
      <c r="E51" s="3213"/>
      <c r="F51" s="3213"/>
      <c r="G51" s="3215"/>
      <c r="H51" s="3213"/>
      <c r="I51" s="3213"/>
      <c r="J51" s="3213"/>
      <c r="K51" s="3216"/>
      <c r="L51" s="2031"/>
      <c r="M51" s="2027"/>
      <c r="N51" s="2027"/>
      <c r="O51" s="2027"/>
      <c r="P51" s="2088"/>
      <c r="Q51" s="2027"/>
      <c r="R51" s="2027"/>
      <c r="S51" s="2027"/>
      <c r="T51" s="2027"/>
      <c r="U51" s="2027"/>
      <c r="V51" s="2027"/>
      <c r="W51" s="2027"/>
      <c r="X51" s="2027"/>
      <c r="Y51" s="2027"/>
      <c r="Z51" s="2027"/>
      <c r="AA51" s="2027"/>
      <c r="AB51" s="2027"/>
      <c r="AC51" s="2027"/>
    </row>
    <row r="52" spans="1:29">
      <c r="A52" s="3213"/>
      <c r="B52" s="3213"/>
      <c r="C52" s="3213"/>
      <c r="D52" s="3213"/>
      <c r="E52" s="3213"/>
      <c r="F52" s="3213"/>
      <c r="G52" s="3213"/>
      <c r="H52" s="3213"/>
      <c r="I52" s="3213"/>
      <c r="J52" s="3213"/>
      <c r="K52" s="3216"/>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2021-7</v>
      </c>
      <c r="D59" s="2521">
        <f>EDATE(C59,-1)</f>
        <v>44348</v>
      </c>
      <c r="E59" s="2521">
        <f t="shared" ref="E59:O59" si="16">EDATE(D59,-1)</f>
        <v>44317</v>
      </c>
      <c r="F59" s="2521">
        <f t="shared" si="16"/>
        <v>44287</v>
      </c>
      <c r="G59" s="2521">
        <f t="shared" si="16"/>
        <v>44256</v>
      </c>
      <c r="H59" s="2521">
        <f t="shared" si="16"/>
        <v>44228</v>
      </c>
      <c r="I59" s="2521">
        <f t="shared" si="16"/>
        <v>44197</v>
      </c>
      <c r="J59" s="2521">
        <f t="shared" si="16"/>
        <v>44166</v>
      </c>
      <c r="K59" s="2521">
        <f t="shared" si="16"/>
        <v>44136</v>
      </c>
      <c r="L59" s="2521">
        <f t="shared" si="16"/>
        <v>44105</v>
      </c>
      <c r="M59" s="2521">
        <f t="shared" si="16"/>
        <v>44075</v>
      </c>
      <c r="N59" s="2521">
        <f t="shared" si="16"/>
        <v>44044</v>
      </c>
      <c r="O59" s="2521">
        <f t="shared" si="16"/>
        <v>44013</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C24" sqref="C24:C52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515</v>
      </c>
      <c r="B4" s="507"/>
      <c r="C4" s="3490" t="s">
        <v>516</v>
      </c>
      <c r="D4" s="3491"/>
      <c r="E4" s="3515" t="s">
        <v>517</v>
      </c>
      <c r="F4" s="3516"/>
      <c r="G4" s="3490" t="s">
        <v>518</v>
      </c>
      <c r="H4" s="3491"/>
      <c r="I4" s="3490" t="s">
        <v>519</v>
      </c>
      <c r="J4" s="3491"/>
      <c r="K4" s="508" t="s">
        <v>520</v>
      </c>
      <c r="L4" s="2015"/>
      <c r="M4" s="2016"/>
      <c r="N4" s="2016"/>
      <c r="O4" s="2016"/>
      <c r="P4" s="3492" t="s">
        <v>521</v>
      </c>
      <c r="Q4" s="3493"/>
      <c r="R4" s="3478" t="s">
        <v>517</v>
      </c>
      <c r="S4" s="3479"/>
      <c r="T4" s="3478" t="s">
        <v>518</v>
      </c>
      <c r="U4" s="3479"/>
      <c r="V4" s="3498" t="s">
        <v>519</v>
      </c>
      <c r="W4" s="3498"/>
      <c r="X4" s="1501"/>
      <c r="Y4" s="3478" t="s">
        <v>521</v>
      </c>
      <c r="Z4" s="3479"/>
      <c r="AA4" s="3473" t="s">
        <v>517</v>
      </c>
      <c r="AB4" s="3474" t="s">
        <v>518</v>
      </c>
      <c r="AC4" s="3473" t="s">
        <v>519</v>
      </c>
    </row>
    <row r="5" spans="1:29" ht="15">
      <c r="A5" s="509"/>
      <c r="B5" s="510"/>
      <c r="C5" s="3501" t="s">
        <v>2897</v>
      </c>
      <c r="D5" s="3502"/>
      <c r="E5" s="3517" t="s">
        <v>2898</v>
      </c>
      <c r="F5" s="3518"/>
      <c r="G5" s="3501" t="s">
        <v>2899</v>
      </c>
      <c r="H5" s="3502"/>
      <c r="I5" s="3501" t="s">
        <v>2900</v>
      </c>
      <c r="J5" s="3502"/>
      <c r="K5" s="508"/>
      <c r="L5" s="2015"/>
      <c r="M5" s="2016"/>
      <c r="N5" s="2016"/>
      <c r="O5" s="2016"/>
      <c r="P5" s="3494"/>
      <c r="Q5" s="3495"/>
      <c r="R5" s="3480"/>
      <c r="S5" s="3481"/>
      <c r="T5" s="3480"/>
      <c r="U5" s="3481"/>
      <c r="V5" s="3498"/>
      <c r="W5" s="3498"/>
      <c r="X5" s="1501"/>
      <c r="Y5" s="3480"/>
      <c r="Z5" s="3481"/>
      <c r="AA5" s="3474"/>
      <c r="AB5" s="3474"/>
      <c r="AC5" s="3474"/>
    </row>
    <row r="6" spans="1:29" ht="15.75" thickBot="1">
      <c r="A6" s="511"/>
      <c r="B6" s="512"/>
      <c r="C6" s="3499" t="s">
        <v>2901</v>
      </c>
      <c r="D6" s="3500"/>
      <c r="E6" s="3519" t="s">
        <v>2901</v>
      </c>
      <c r="F6" s="3520"/>
      <c r="G6" s="3499" t="s">
        <v>2901</v>
      </c>
      <c r="H6" s="3500"/>
      <c r="I6" s="3499" t="s">
        <v>2901</v>
      </c>
      <c r="J6" s="3500"/>
      <c r="K6" s="508" t="s">
        <v>522</v>
      </c>
      <c r="L6" s="2015"/>
      <c r="M6" s="2016"/>
      <c r="N6" s="2016"/>
      <c r="O6" s="2016"/>
      <c r="P6" s="3496"/>
      <c r="Q6" s="3497"/>
      <c r="R6" s="3480"/>
      <c r="S6" s="3481"/>
      <c r="T6" s="3482"/>
      <c r="U6" s="3483"/>
      <c r="V6" s="3498"/>
      <c r="W6" s="3498"/>
      <c r="X6" s="1501"/>
      <c r="Y6" s="3482"/>
      <c r="Z6" s="3483"/>
      <c r="AA6" s="3475"/>
      <c r="AB6" s="3475"/>
      <c r="AC6" s="3475"/>
    </row>
    <row r="7" spans="1:29" s="1202" customFormat="1" ht="15.75" thickBot="1">
      <c r="A7" s="2629"/>
      <c r="B7" s="2636" t="s">
        <v>523</v>
      </c>
      <c r="C7" s="513">
        <f>'数据-取费表'!B2</f>
        <v>44385</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76" t="s">
        <v>524</v>
      </c>
      <c r="Q7" s="3485"/>
      <c r="R7" s="1502" t="s">
        <v>8</v>
      </c>
      <c r="S7" s="1503">
        <f t="shared" ref="S7:S15" si="0">F7</f>
        <v>0</v>
      </c>
      <c r="T7" s="1502" t="s">
        <v>8</v>
      </c>
      <c r="U7" s="1503">
        <f t="shared" ref="U7:U15" si="1">H7</f>
        <v>0</v>
      </c>
      <c r="V7" s="1502" t="s">
        <v>8</v>
      </c>
      <c r="W7" s="1503">
        <f t="shared" ref="W7:W15" si="2">J7</f>
        <v>0</v>
      </c>
      <c r="X7" s="1504"/>
      <c r="Y7" s="3476" t="s">
        <v>524</v>
      </c>
      <c r="Z7" s="3477"/>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76" t="s">
        <v>527</v>
      </c>
      <c r="Q8" s="3477"/>
      <c r="R8" s="1502" t="s">
        <v>8</v>
      </c>
      <c r="S8" s="1503">
        <f t="shared" si="0"/>
        <v>0</v>
      </c>
      <c r="T8" s="1502" t="s">
        <v>8</v>
      </c>
      <c r="U8" s="1503">
        <f t="shared" si="1"/>
        <v>0</v>
      </c>
      <c r="V8" s="1502" t="s">
        <v>8</v>
      </c>
      <c r="W8" s="1503">
        <f t="shared" si="2"/>
        <v>0</v>
      </c>
      <c r="X8" s="1504"/>
      <c r="Y8" s="3476" t="s">
        <v>527</v>
      </c>
      <c r="Z8" s="3477"/>
      <c r="AA8" s="1505" t="e">
        <f t="shared" ref="AA8:AA40" si="3">D8/F8</f>
        <v>#DIV/0!</v>
      </c>
      <c r="AB8" s="1505" t="e">
        <f t="shared" ref="AB8:AB40" si="4">D8/H8</f>
        <v>#DIV/0!</v>
      </c>
      <c r="AC8" s="1505" t="e">
        <f t="shared" ref="AC8:AC40" si="5">D8/J8</f>
        <v>#DIV/0!</v>
      </c>
    </row>
    <row r="9" spans="1:29" s="1202" customFormat="1" ht="15">
      <c r="A9" s="2631"/>
      <c r="B9" s="2638" t="s">
        <v>2736</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84" t="s">
        <v>529</v>
      </c>
      <c r="Q9" s="1133" t="str">
        <f t="shared" ref="Q9:Q15" si="6">B9</f>
        <v>用途</v>
      </c>
      <c r="R9" s="1502" t="s">
        <v>8</v>
      </c>
      <c r="S9" s="1503">
        <f t="shared" si="0"/>
        <v>100</v>
      </c>
      <c r="T9" s="1502" t="s">
        <v>8</v>
      </c>
      <c r="U9" s="1503">
        <f t="shared" si="1"/>
        <v>100</v>
      </c>
      <c r="V9" s="1502" t="s">
        <v>8</v>
      </c>
      <c r="W9" s="1503">
        <f t="shared" si="2"/>
        <v>100</v>
      </c>
      <c r="X9" s="1504"/>
      <c r="Y9" s="3435"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84"/>
      <c r="Q10" s="1133" t="str">
        <f t="shared" si="6"/>
        <v>土地使用年限（年）</v>
      </c>
      <c r="R10" s="1502" t="s">
        <v>8</v>
      </c>
      <c r="S10" s="1503">
        <f t="shared" si="0"/>
        <v>100</v>
      </c>
      <c r="T10" s="1502" t="s">
        <v>8</v>
      </c>
      <c r="U10" s="1503">
        <f t="shared" si="1"/>
        <v>100</v>
      </c>
      <c r="V10" s="1502" t="s">
        <v>8</v>
      </c>
      <c r="W10" s="1503">
        <f t="shared" si="2"/>
        <v>100</v>
      </c>
      <c r="X10" s="1504"/>
      <c r="Y10" s="3435"/>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84"/>
      <c r="Q11" s="1133" t="str">
        <f t="shared" si="6"/>
        <v>容积率</v>
      </c>
      <c r="R11" s="1502" t="s">
        <v>8</v>
      </c>
      <c r="S11" s="1503" t="e">
        <f t="shared" si="0"/>
        <v>#N/A</v>
      </c>
      <c r="T11" s="1502" t="s">
        <v>8</v>
      </c>
      <c r="U11" s="1503" t="e">
        <f t="shared" si="1"/>
        <v>#N/A</v>
      </c>
      <c r="V11" s="1502" t="s">
        <v>8</v>
      </c>
      <c r="W11" s="1503" t="e">
        <f t="shared" si="2"/>
        <v>#N/A</v>
      </c>
      <c r="X11" s="1504"/>
      <c r="Y11" s="343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484"/>
      <c r="Q12" s="1133">
        <f t="shared" si="6"/>
        <v>111</v>
      </c>
      <c r="R12" s="1502" t="s">
        <v>8</v>
      </c>
      <c r="S12" s="1503">
        <f t="shared" si="0"/>
        <v>100</v>
      </c>
      <c r="T12" s="1502" t="s">
        <v>8</v>
      </c>
      <c r="U12" s="1503">
        <f t="shared" si="1"/>
        <v>100</v>
      </c>
      <c r="V12" s="1502" t="s">
        <v>8</v>
      </c>
      <c r="W12" s="1503">
        <f t="shared" si="2"/>
        <v>100</v>
      </c>
      <c r="X12" s="1504"/>
      <c r="Y12" s="3435"/>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484"/>
      <c r="Q13" s="1133">
        <f t="shared" si="6"/>
        <v>111</v>
      </c>
      <c r="R13" s="1502" t="s">
        <v>8</v>
      </c>
      <c r="S13" s="1503">
        <f t="shared" si="0"/>
        <v>100</v>
      </c>
      <c r="T13" s="1502" t="s">
        <v>8</v>
      </c>
      <c r="U13" s="1503">
        <f t="shared" si="1"/>
        <v>100</v>
      </c>
      <c r="V13" s="1502" t="s">
        <v>8</v>
      </c>
      <c r="W13" s="1503">
        <f t="shared" si="2"/>
        <v>100</v>
      </c>
      <c r="X13" s="1504"/>
      <c r="Y13" s="3435"/>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484"/>
      <c r="Q14" s="1133">
        <f t="shared" si="6"/>
        <v>111</v>
      </c>
      <c r="R14" s="1502" t="s">
        <v>8</v>
      </c>
      <c r="S14" s="1503">
        <f t="shared" si="0"/>
        <v>100</v>
      </c>
      <c r="T14" s="1502" t="s">
        <v>8</v>
      </c>
      <c r="U14" s="1503">
        <f t="shared" si="1"/>
        <v>100</v>
      </c>
      <c r="V14" s="1502" t="s">
        <v>8</v>
      </c>
      <c r="W14" s="1503">
        <f t="shared" si="2"/>
        <v>100</v>
      </c>
      <c r="X14" s="1504"/>
      <c r="Y14" s="3435"/>
      <c r="Z14" s="1132">
        <f t="shared" si="7"/>
        <v>111</v>
      </c>
      <c r="AA14" s="1505">
        <f t="shared" si="3"/>
        <v>1</v>
      </c>
      <c r="AB14" s="1505">
        <f t="shared" si="4"/>
        <v>1</v>
      </c>
      <c r="AC14" s="1505">
        <f t="shared" si="5"/>
        <v>1</v>
      </c>
    </row>
    <row r="15" spans="1:29" ht="57">
      <c r="A15" s="2627" t="s">
        <v>2734</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486" t="s">
        <v>534</v>
      </c>
      <c r="Q15" s="1506" t="str">
        <f t="shared" si="6"/>
        <v>产业集聚程度</v>
      </c>
      <c r="R15" s="1507" t="s">
        <v>8</v>
      </c>
      <c r="S15" s="1508">
        <f t="shared" si="0"/>
        <v>100</v>
      </c>
      <c r="T15" s="1507" t="s">
        <v>8</v>
      </c>
      <c r="U15" s="1508">
        <f t="shared" si="1"/>
        <v>100</v>
      </c>
      <c r="V15" s="1507" t="s">
        <v>8</v>
      </c>
      <c r="W15" s="1508">
        <f t="shared" si="2"/>
        <v>100</v>
      </c>
      <c r="X15" s="1501"/>
      <c r="Y15" s="3486"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487"/>
      <c r="Q16" s="1506"/>
      <c r="R16" s="1507"/>
      <c r="S16" s="1508"/>
      <c r="T16" s="1507"/>
      <c r="U16" s="1508"/>
      <c r="V16" s="1507"/>
      <c r="W16" s="1508"/>
      <c r="X16" s="1501"/>
      <c r="Y16" s="3487"/>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487"/>
      <c r="Q17" s="1506" t="str">
        <f>B17</f>
        <v>交通便捷度</v>
      </c>
      <c r="R17" s="1507" t="s">
        <v>8</v>
      </c>
      <c r="S17" s="1508">
        <f>F17</f>
        <v>100</v>
      </c>
      <c r="T17" s="1507" t="s">
        <v>8</v>
      </c>
      <c r="U17" s="1508">
        <f>H17</f>
        <v>100</v>
      </c>
      <c r="V17" s="1507" t="s">
        <v>8</v>
      </c>
      <c r="W17" s="1508">
        <f>J17</f>
        <v>100</v>
      </c>
      <c r="X17" s="1501"/>
      <c r="Y17" s="3487"/>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487"/>
      <c r="Q18" s="1506"/>
      <c r="R18" s="1507"/>
      <c r="S18" s="1508"/>
      <c r="T18" s="1507"/>
      <c r="U18" s="1508"/>
      <c r="V18" s="1507"/>
      <c r="W18" s="1508"/>
      <c r="X18" s="1501"/>
      <c r="Y18" s="3487"/>
      <c r="Z18" s="1509"/>
      <c r="AA18" s="1510">
        <v>1</v>
      </c>
      <c r="AB18" s="1510">
        <v>1</v>
      </c>
      <c r="AC18" s="1510">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487"/>
      <c r="Q19" s="1506" t="str">
        <f>B19</f>
        <v>公共配套设施</v>
      </c>
      <c r="R19" s="1507" t="s">
        <v>8</v>
      </c>
      <c r="S19" s="1508">
        <f>F19</f>
        <v>100</v>
      </c>
      <c r="T19" s="1507" t="s">
        <v>8</v>
      </c>
      <c r="U19" s="1508">
        <f>H19</f>
        <v>100</v>
      </c>
      <c r="V19" s="1507" t="s">
        <v>8</v>
      </c>
      <c r="W19" s="1508">
        <f>J19</f>
        <v>100</v>
      </c>
      <c r="X19" s="1501"/>
      <c r="Y19" s="3487"/>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487"/>
      <c r="Q20" s="1506"/>
      <c r="R20" s="1507"/>
      <c r="S20" s="1508"/>
      <c r="T20" s="1507"/>
      <c r="U20" s="1508"/>
      <c r="V20" s="1507"/>
      <c r="W20" s="1508"/>
      <c r="X20" s="1501"/>
      <c r="Y20" s="3487"/>
      <c r="Z20" s="1509"/>
      <c r="AA20" s="1510">
        <v>1</v>
      </c>
      <c r="AB20" s="1510">
        <v>1</v>
      </c>
      <c r="AC20" s="1510">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487"/>
      <c r="Q21" s="2429" t="str">
        <f>B21</f>
        <v>基础设施水平</v>
      </c>
      <c r="R21" s="1507" t="s">
        <v>8</v>
      </c>
      <c r="S21" s="1508">
        <f>F21</f>
        <v>100</v>
      </c>
      <c r="T21" s="1507" t="s">
        <v>8</v>
      </c>
      <c r="U21" s="1508">
        <f>H21</f>
        <v>100</v>
      </c>
      <c r="V21" s="1507" t="s">
        <v>8</v>
      </c>
      <c r="W21" s="1508">
        <f>J21</f>
        <v>100</v>
      </c>
      <c r="X21" s="2431"/>
      <c r="Y21" s="3487"/>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487"/>
      <c r="Q22" s="2429"/>
      <c r="R22" s="1507"/>
      <c r="S22" s="1508"/>
      <c r="T22" s="1507"/>
      <c r="U22" s="1508"/>
      <c r="V22" s="1507"/>
      <c r="W22" s="1508"/>
      <c r="X22" s="2431"/>
      <c r="Y22" s="3487"/>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487"/>
      <c r="Q23" s="1506" t="str">
        <f>B23</f>
        <v>环境质量</v>
      </c>
      <c r="R23" s="1507" t="s">
        <v>8</v>
      </c>
      <c r="S23" s="1508">
        <f>F23</f>
        <v>100</v>
      </c>
      <c r="T23" s="1507" t="s">
        <v>8</v>
      </c>
      <c r="U23" s="1508">
        <f>H23</f>
        <v>100</v>
      </c>
      <c r="V23" s="1507" t="s">
        <v>8</v>
      </c>
      <c r="W23" s="1508">
        <f>J23</f>
        <v>100</v>
      </c>
      <c r="X23" s="1501"/>
      <c r="Y23" s="3487"/>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487"/>
      <c r="Q24" s="1506"/>
      <c r="R24" s="1507"/>
      <c r="S24" s="1508"/>
      <c r="T24" s="1507"/>
      <c r="U24" s="1508"/>
      <c r="V24" s="1507"/>
      <c r="W24" s="1508"/>
      <c r="X24" s="1501"/>
      <c r="Y24" s="3487"/>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87"/>
      <c r="Q25" s="1506">
        <f>B25</f>
        <v>111</v>
      </c>
      <c r="R25" s="1507" t="s">
        <v>8</v>
      </c>
      <c r="S25" s="1508">
        <f>F25</f>
        <v>100</v>
      </c>
      <c r="T25" s="1507" t="s">
        <v>8</v>
      </c>
      <c r="U25" s="1508">
        <f>H25</f>
        <v>100</v>
      </c>
      <c r="V25" s="1507" t="s">
        <v>8</v>
      </c>
      <c r="W25" s="1508">
        <f>J25</f>
        <v>100</v>
      </c>
      <c r="X25" s="1501"/>
      <c r="Y25" s="3487"/>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87"/>
      <c r="Q26" s="1506">
        <f t="shared" ref="Q26:Q40" si="11">B26</f>
        <v>111</v>
      </c>
      <c r="R26" s="1507" t="s">
        <v>8</v>
      </c>
      <c r="S26" s="1508">
        <f>F26</f>
        <v>100</v>
      </c>
      <c r="T26" s="1507" t="s">
        <v>8</v>
      </c>
      <c r="U26" s="1508">
        <f>H26</f>
        <v>100</v>
      </c>
      <c r="V26" s="1507" t="s">
        <v>8</v>
      </c>
      <c r="W26" s="1508">
        <f>J26</f>
        <v>100</v>
      </c>
      <c r="X26" s="1501"/>
      <c r="Y26" s="3487"/>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87"/>
      <c r="Q27" s="1133">
        <f t="shared" si="11"/>
        <v>111</v>
      </c>
      <c r="R27" s="1502" t="s">
        <v>8</v>
      </c>
      <c r="S27" s="1503">
        <f>F27</f>
        <v>100</v>
      </c>
      <c r="T27" s="1502" t="s">
        <v>8</v>
      </c>
      <c r="U27" s="1503">
        <f>H27</f>
        <v>100</v>
      </c>
      <c r="V27" s="1502" t="s">
        <v>8</v>
      </c>
      <c r="W27" s="1503">
        <f>J27</f>
        <v>100</v>
      </c>
      <c r="X27" s="1504"/>
      <c r="Y27" s="3487"/>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487"/>
      <c r="Q28" s="1506">
        <f t="shared" si="11"/>
        <v>111</v>
      </c>
      <c r="R28" s="1507" t="s">
        <v>8</v>
      </c>
      <c r="S28" s="1508">
        <f t="shared" ref="S28:S40" si="12">F28</f>
        <v>100</v>
      </c>
      <c r="T28" s="1507" t="s">
        <v>8</v>
      </c>
      <c r="U28" s="1508">
        <f t="shared" ref="U28:U40" si="13">H28</f>
        <v>100</v>
      </c>
      <c r="V28" s="1507" t="s">
        <v>8</v>
      </c>
      <c r="W28" s="1508">
        <f t="shared" ref="W28:W40" si="14">J28</f>
        <v>100</v>
      </c>
      <c r="X28" s="1501"/>
      <c r="Y28" s="3487"/>
      <c r="Z28" s="1509">
        <f t="shared" ref="Z28:Z40" si="15">Q28</f>
        <v>111</v>
      </c>
      <c r="AA28" s="1510">
        <f t="shared" si="3"/>
        <v>1</v>
      </c>
      <c r="AB28" s="1510">
        <f t="shared" si="4"/>
        <v>1</v>
      </c>
      <c r="AC28" s="1510">
        <f t="shared" si="5"/>
        <v>1</v>
      </c>
    </row>
    <row r="29" spans="1:29" ht="15">
      <c r="A29" s="2624" t="s">
        <v>2735</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488" t="s">
        <v>544</v>
      </c>
      <c r="Q29" s="1506" t="str">
        <f t="shared" si="11"/>
        <v>建筑类型</v>
      </c>
      <c r="R29" s="1507" t="s">
        <v>8</v>
      </c>
      <c r="S29" s="1508">
        <f t="shared" si="12"/>
        <v>100</v>
      </c>
      <c r="T29" s="1507" t="s">
        <v>8</v>
      </c>
      <c r="U29" s="1508">
        <f t="shared" si="13"/>
        <v>100</v>
      </c>
      <c r="V29" s="1507" t="s">
        <v>8</v>
      </c>
      <c r="W29" s="1508">
        <f t="shared" si="14"/>
        <v>100</v>
      </c>
      <c r="X29" s="1501"/>
      <c r="Y29" s="3489"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89"/>
      <c r="Q30" s="1535" t="str">
        <f t="shared" si="11"/>
        <v>项目建筑规模</v>
      </c>
      <c r="R30" s="1511" t="s">
        <v>8</v>
      </c>
      <c r="S30" s="1512" t="e">
        <f t="shared" si="12"/>
        <v>#N/A</v>
      </c>
      <c r="T30" s="1511" t="s">
        <v>8</v>
      </c>
      <c r="U30" s="1512" t="e">
        <f t="shared" si="13"/>
        <v>#N/A</v>
      </c>
      <c r="V30" s="1511" t="s">
        <v>8</v>
      </c>
      <c r="W30" s="1512" t="e">
        <f t="shared" si="14"/>
        <v>#N/A</v>
      </c>
      <c r="X30" s="1513"/>
      <c r="Y30" s="3489"/>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89"/>
      <c r="Q31" s="1506" t="str">
        <f t="shared" si="11"/>
        <v>建筑结构</v>
      </c>
      <c r="R31" s="1507" t="s">
        <v>8</v>
      </c>
      <c r="S31" s="1508">
        <f t="shared" si="12"/>
        <v>100</v>
      </c>
      <c r="T31" s="1507" t="s">
        <v>8</v>
      </c>
      <c r="U31" s="1508">
        <f t="shared" si="13"/>
        <v>100</v>
      </c>
      <c r="V31" s="1507" t="s">
        <v>8</v>
      </c>
      <c r="W31" s="1508">
        <f t="shared" si="14"/>
        <v>100</v>
      </c>
      <c r="X31" s="1501"/>
      <c r="Y31" s="3489"/>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89"/>
      <c r="Q32" s="1506" t="str">
        <f t="shared" si="11"/>
        <v>公共部分装修</v>
      </c>
      <c r="R32" s="1507" t="s">
        <v>8</v>
      </c>
      <c r="S32" s="1508">
        <f t="shared" si="12"/>
        <v>100</v>
      </c>
      <c r="T32" s="1507" t="s">
        <v>8</v>
      </c>
      <c r="U32" s="1508">
        <f t="shared" si="13"/>
        <v>100</v>
      </c>
      <c r="V32" s="1507" t="s">
        <v>8</v>
      </c>
      <c r="W32" s="1508">
        <f t="shared" si="14"/>
        <v>100</v>
      </c>
      <c r="X32" s="1501"/>
      <c r="Y32" s="3489"/>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489"/>
      <c r="Q33" s="1506" t="str">
        <f t="shared" si="11"/>
        <v>成新度</v>
      </c>
      <c r="R33" s="1507" t="s">
        <v>8</v>
      </c>
      <c r="S33" s="1508" t="e">
        <f t="shared" si="12"/>
        <v>#N/A</v>
      </c>
      <c r="T33" s="1507" t="s">
        <v>8</v>
      </c>
      <c r="U33" s="1508" t="e">
        <f t="shared" si="13"/>
        <v>#N/A</v>
      </c>
      <c r="V33" s="1507" t="s">
        <v>8</v>
      </c>
      <c r="W33" s="1508" t="e">
        <f t="shared" si="14"/>
        <v>#N/A</v>
      </c>
      <c r="X33" s="1501"/>
      <c r="Y33" s="3489"/>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89"/>
      <c r="Q34" s="1133" t="str">
        <f t="shared" si="11"/>
        <v>物业管理</v>
      </c>
      <c r="R34" s="1502" t="s">
        <v>8</v>
      </c>
      <c r="S34" s="1503">
        <f t="shared" si="12"/>
        <v>100</v>
      </c>
      <c r="T34" s="1502" t="s">
        <v>8</v>
      </c>
      <c r="U34" s="1503">
        <f t="shared" si="13"/>
        <v>100</v>
      </c>
      <c r="V34" s="1502" t="s">
        <v>8</v>
      </c>
      <c r="W34" s="1503">
        <f t="shared" si="14"/>
        <v>100</v>
      </c>
      <c r="X34" s="1504"/>
      <c r="Y34" s="3489"/>
      <c r="Z34" s="1132" t="str">
        <f t="shared" si="15"/>
        <v>物业管理</v>
      </c>
      <c r="AA34" s="1505">
        <f t="shared" si="3"/>
        <v>1</v>
      </c>
      <c r="AB34" s="1505">
        <f t="shared" si="4"/>
        <v>1</v>
      </c>
      <c r="AC34" s="1505">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89" t="s">
        <v>544</v>
      </c>
      <c r="Q35" s="1506" t="str">
        <f t="shared" si="11"/>
        <v>市政基础设施</v>
      </c>
      <c r="R35" s="1507" t="s">
        <v>8</v>
      </c>
      <c r="S35" s="1508">
        <f t="shared" si="12"/>
        <v>100</v>
      </c>
      <c r="T35" s="1507" t="s">
        <v>8</v>
      </c>
      <c r="U35" s="1508">
        <f t="shared" si="13"/>
        <v>100</v>
      </c>
      <c r="V35" s="1507" t="s">
        <v>8</v>
      </c>
      <c r="W35" s="1508">
        <f t="shared" si="14"/>
        <v>100</v>
      </c>
      <c r="X35" s="1501"/>
      <c r="Y35" s="3489"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89"/>
      <c r="Q36" s="1506" t="str">
        <f t="shared" si="11"/>
        <v>内部装修</v>
      </c>
      <c r="R36" s="1507" t="s">
        <v>8</v>
      </c>
      <c r="S36" s="1508">
        <f t="shared" si="12"/>
        <v>100</v>
      </c>
      <c r="T36" s="1507" t="s">
        <v>8</v>
      </c>
      <c r="U36" s="1508">
        <f t="shared" si="13"/>
        <v>100</v>
      </c>
      <c r="V36" s="1507" t="s">
        <v>8</v>
      </c>
      <c r="W36" s="1508">
        <f t="shared" si="14"/>
        <v>100</v>
      </c>
      <c r="X36" s="1501"/>
      <c r="Y36" s="3489"/>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89"/>
      <c r="Q37" s="1506" t="str">
        <f t="shared" si="11"/>
        <v>内部装修状况</v>
      </c>
      <c r="R37" s="1507" t="s">
        <v>8</v>
      </c>
      <c r="S37" s="1508">
        <f t="shared" si="12"/>
        <v>100</v>
      </c>
      <c r="T37" s="1507" t="s">
        <v>8</v>
      </c>
      <c r="U37" s="1508">
        <f t="shared" si="13"/>
        <v>100</v>
      </c>
      <c r="V37" s="1507" t="s">
        <v>8</v>
      </c>
      <c r="W37" s="1508">
        <f t="shared" si="14"/>
        <v>100</v>
      </c>
      <c r="X37" s="1501"/>
      <c r="Y37" s="3489"/>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489"/>
      <c r="Q38" s="1535">
        <f t="shared" si="11"/>
        <v>111</v>
      </c>
      <c r="R38" s="1511" t="s">
        <v>8</v>
      </c>
      <c r="S38" s="1512">
        <f t="shared" si="12"/>
        <v>100</v>
      </c>
      <c r="T38" s="1511" t="s">
        <v>8</v>
      </c>
      <c r="U38" s="1512">
        <f t="shared" si="13"/>
        <v>100</v>
      </c>
      <c r="V38" s="1511" t="s">
        <v>8</v>
      </c>
      <c r="W38" s="1512">
        <f t="shared" si="14"/>
        <v>100</v>
      </c>
      <c r="X38" s="1513"/>
      <c r="Y38" s="3489"/>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489"/>
      <c r="Q39" s="1506">
        <f t="shared" si="11"/>
        <v>111</v>
      </c>
      <c r="R39" s="1507" t="s">
        <v>8</v>
      </c>
      <c r="S39" s="1508">
        <f t="shared" si="12"/>
        <v>100</v>
      </c>
      <c r="T39" s="1507" t="s">
        <v>8</v>
      </c>
      <c r="U39" s="1508">
        <f t="shared" si="13"/>
        <v>100</v>
      </c>
      <c r="V39" s="1507" t="s">
        <v>8</v>
      </c>
      <c r="W39" s="1508">
        <f t="shared" si="14"/>
        <v>100</v>
      </c>
      <c r="X39" s="1501"/>
      <c r="Y39" s="3489"/>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592"/>
      <c r="Q40" s="1506">
        <f t="shared" si="11"/>
        <v>111</v>
      </c>
      <c r="R40" s="1507" t="s">
        <v>8</v>
      </c>
      <c r="S40" s="1508">
        <f t="shared" si="12"/>
        <v>100</v>
      </c>
      <c r="T40" s="1507" t="s">
        <v>8</v>
      </c>
      <c r="U40" s="1508">
        <f t="shared" si="13"/>
        <v>100</v>
      </c>
      <c r="V40" s="1507" t="s">
        <v>8</v>
      </c>
      <c r="W40" s="1508">
        <f t="shared" si="14"/>
        <v>100</v>
      </c>
      <c r="X40" s="1501"/>
      <c r="Y40" s="3592"/>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484" t="str">
        <f>A41</f>
        <v>成交单价（元/平方米）</v>
      </c>
      <c r="Q41" s="3484"/>
      <c r="R41" s="3591">
        <f>E41</f>
        <v>0</v>
      </c>
      <c r="S41" s="3591"/>
      <c r="T41" s="3591">
        <f>G41</f>
        <v>0</v>
      </c>
      <c r="U41" s="3591"/>
      <c r="V41" s="3591">
        <f>I41</f>
        <v>0</v>
      </c>
      <c r="W41" s="3591"/>
      <c r="X41" s="1496"/>
      <c r="Y41" s="1515"/>
      <c r="Z41" s="1496"/>
      <c r="AA41" s="1496"/>
      <c r="AB41" s="1496"/>
      <c r="AC41" s="1496"/>
    </row>
    <row r="42" spans="1:29" ht="15.75" thickBot="1">
      <c r="A42" s="609" t="s">
        <v>2740</v>
      </c>
      <c r="B42" s="876"/>
      <c r="C42" s="2476" t="e">
        <f>R43</f>
        <v>#DIV/0!</v>
      </c>
      <c r="D42" s="3013" t="s">
        <v>2971</v>
      </c>
      <c r="E42" s="2477" t="e">
        <f>R42</f>
        <v>#DIV/0!</v>
      </c>
      <c r="F42" s="3014"/>
      <c r="G42" s="2476" t="e">
        <f>T42</f>
        <v>#DIV/0!</v>
      </c>
      <c r="H42" s="3014"/>
      <c r="I42" s="2477" t="e">
        <f>V42</f>
        <v>#DIV/0!</v>
      </c>
      <c r="J42" s="3014"/>
      <c r="K42" s="3022">
        <f>F42+H42+J42</f>
        <v>0</v>
      </c>
      <c r="L42" s="2026"/>
      <c r="M42" s="2027"/>
      <c r="N42" s="2016"/>
      <c r="O42" s="2027"/>
      <c r="P42" s="3484" t="str">
        <f>A42</f>
        <v>比较价格（元/平方米）</v>
      </c>
      <c r="Q42" s="3484"/>
      <c r="R42" s="3591" t="e">
        <f>IF(F1="售价",ROUND(PRODUCT(R41,AA7:AA40),0),ROUND(PRODUCT(R41,AA7:AA40),1))</f>
        <v>#DIV/0!</v>
      </c>
      <c r="S42" s="3591"/>
      <c r="T42" s="3591" t="e">
        <f>IF(F1="售价",ROUND(PRODUCT(T41,AB7:AB40),0),ROUND(PRODUCT(T41,AB7:AB40),1))</f>
        <v>#DIV/0!</v>
      </c>
      <c r="U42" s="3591"/>
      <c r="V42" s="3591" t="e">
        <f>IF(F1="售价",ROUND(PRODUCT(V41,AC7:AC40),0),ROUND(PRODUCT(V41,AC7:AC40),1))</f>
        <v>#DIV/0!</v>
      </c>
      <c r="W42" s="3591"/>
      <c r="X42" s="1496"/>
      <c r="Y42" s="1496"/>
      <c r="Z42" s="1496"/>
      <c r="AA42" s="1496"/>
      <c r="AB42" s="1496"/>
      <c r="AC42" s="1496"/>
    </row>
    <row r="43" spans="1:29" ht="15.75" thickBot="1">
      <c r="A43" s="613" t="s">
        <v>2903</v>
      </c>
      <c r="B43" s="614"/>
      <c r="C43" s="2478" t="e">
        <f>R43</f>
        <v>#DIV/0!</v>
      </c>
      <c r="D43" s="2478"/>
      <c r="E43" s="2478"/>
      <c r="F43" s="2478"/>
      <c r="G43" s="2478"/>
      <c r="H43" s="2478"/>
      <c r="I43" s="2478"/>
      <c r="J43" s="2478"/>
      <c r="K43" s="1541"/>
      <c r="L43" s="2026"/>
      <c r="M43" s="2027"/>
      <c r="N43" s="2027"/>
      <c r="O43" s="2027"/>
      <c r="P43" s="3505" t="str">
        <f>A43</f>
        <v>估价对象XX用房的比较价格（楼面单价，元/平方米）</v>
      </c>
      <c r="Q43" s="3506"/>
      <c r="R43" s="3590" t="e">
        <f>IF(F1="售价",ROUND(IF(D42="简单平均",AVERAGE(R42:V42),R42*F42+T42*H42+V42*J42),0),ROUND(IF(D42="简单平均",AVERAGE(R42:V42),R42*F42+T42*H42+V42*J42),1))</f>
        <v>#DIV/0!</v>
      </c>
      <c r="S43" s="3590"/>
      <c r="T43" s="3590"/>
      <c r="U43" s="3590"/>
      <c r="V43" s="3590"/>
      <c r="W43" s="3590"/>
      <c r="X43" s="1496"/>
      <c r="Y43" s="1496"/>
      <c r="Z43" s="1496"/>
      <c r="AA43" s="1496"/>
      <c r="AB43" s="1496"/>
      <c r="AC43" s="1496"/>
    </row>
    <row r="44" spans="1:29">
      <c r="A44" s="3213"/>
      <c r="B44" s="3213"/>
      <c r="C44" s="3213"/>
      <c r="D44" s="3213"/>
      <c r="E44" s="3213"/>
      <c r="F44" s="3213"/>
      <c r="G44" s="3215"/>
      <c r="H44" s="3213"/>
      <c r="I44" s="3213"/>
      <c r="J44" s="3213"/>
      <c r="K44" s="3216"/>
      <c r="L44" s="2031"/>
      <c r="M44" s="2027"/>
      <c r="N44" s="2027"/>
      <c r="O44" s="2027"/>
      <c r="P44" s="2027"/>
      <c r="Q44" s="2027"/>
      <c r="R44" s="2027"/>
      <c r="S44" s="2027"/>
      <c r="T44" s="2027"/>
      <c r="U44" s="2027"/>
      <c r="V44" s="2027"/>
      <c r="W44" s="2027"/>
      <c r="X44" s="2027"/>
      <c r="Y44" s="2027"/>
      <c r="Z44" s="2027"/>
      <c r="AA44" s="2027"/>
      <c r="AB44" s="2027"/>
      <c r="AC44" s="2027"/>
    </row>
    <row r="45" spans="1:29">
      <c r="A45" s="3213"/>
      <c r="B45" s="3213"/>
      <c r="C45" s="3213"/>
      <c r="D45" s="3213"/>
      <c r="E45" s="3213"/>
      <c r="F45" s="3213"/>
      <c r="G45" s="3213"/>
      <c r="H45" s="3213"/>
      <c r="I45" s="3213"/>
      <c r="J45" s="3213"/>
      <c r="K45" s="3216"/>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2021-7</v>
      </c>
      <c r="D52" s="2521">
        <f>EDATE(C52,-1)</f>
        <v>44348</v>
      </c>
      <c r="E52" s="2521">
        <f t="shared" ref="E52:O52" si="16">EDATE(D52,-1)</f>
        <v>44317</v>
      </c>
      <c r="F52" s="2521">
        <f t="shared" si="16"/>
        <v>44287</v>
      </c>
      <c r="G52" s="2521">
        <f t="shared" si="16"/>
        <v>44256</v>
      </c>
      <c r="H52" s="2521">
        <f t="shared" si="16"/>
        <v>44228</v>
      </c>
      <c r="I52" s="2521">
        <f t="shared" si="16"/>
        <v>44197</v>
      </c>
      <c r="J52" s="2521">
        <f t="shared" si="16"/>
        <v>44166</v>
      </c>
      <c r="K52" s="2521">
        <f t="shared" si="16"/>
        <v>44136</v>
      </c>
      <c r="L52" s="2521">
        <f t="shared" si="16"/>
        <v>44105</v>
      </c>
      <c r="M52" s="2521">
        <f t="shared" si="16"/>
        <v>44075</v>
      </c>
      <c r="N52" s="2521">
        <f t="shared" si="16"/>
        <v>44044</v>
      </c>
      <c r="O52" s="2521">
        <f t="shared" si="16"/>
        <v>44013</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C24" sqref="C24:C52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490" t="s">
        <v>792</v>
      </c>
      <c r="D4" s="3491"/>
      <c r="E4" s="3490" t="s">
        <v>793</v>
      </c>
      <c r="F4" s="3491"/>
      <c r="G4" s="3490" t="s">
        <v>794</v>
      </c>
      <c r="H4" s="3491"/>
      <c r="I4" s="3490" t="s">
        <v>795</v>
      </c>
      <c r="J4" s="3491"/>
      <c r="K4" s="508" t="s">
        <v>796</v>
      </c>
      <c r="L4" s="2015"/>
      <c r="M4" s="2016"/>
      <c r="N4" s="2016"/>
      <c r="O4" s="2016"/>
      <c r="P4" s="3492" t="s">
        <v>797</v>
      </c>
      <c r="Q4" s="3493"/>
      <c r="R4" s="3478" t="s">
        <v>793</v>
      </c>
      <c r="S4" s="3479"/>
      <c r="T4" s="3478" t="s">
        <v>794</v>
      </c>
      <c r="U4" s="3479"/>
      <c r="V4" s="3498" t="s">
        <v>795</v>
      </c>
      <c r="W4" s="3498"/>
      <c r="X4" s="1501"/>
      <c r="Y4" s="3478" t="s">
        <v>797</v>
      </c>
      <c r="Z4" s="3479"/>
      <c r="AA4" s="3473" t="s">
        <v>793</v>
      </c>
      <c r="AB4" s="3474" t="s">
        <v>794</v>
      </c>
      <c r="AC4" s="3473" t="s">
        <v>795</v>
      </c>
    </row>
    <row r="5" spans="1:29" ht="15">
      <c r="A5" s="509"/>
      <c r="B5" s="510"/>
      <c r="C5" s="3501" t="s">
        <v>2897</v>
      </c>
      <c r="D5" s="3502"/>
      <c r="E5" s="3501" t="s">
        <v>2898</v>
      </c>
      <c r="F5" s="3502"/>
      <c r="G5" s="3501" t="s">
        <v>2899</v>
      </c>
      <c r="H5" s="3502"/>
      <c r="I5" s="3501" t="s">
        <v>2900</v>
      </c>
      <c r="J5" s="3502"/>
      <c r="K5" s="508"/>
      <c r="L5" s="2015"/>
      <c r="M5" s="2016"/>
      <c r="N5" s="2016"/>
      <c r="O5" s="2016"/>
      <c r="P5" s="3494"/>
      <c r="Q5" s="3495"/>
      <c r="R5" s="3480"/>
      <c r="S5" s="3481"/>
      <c r="T5" s="3480"/>
      <c r="U5" s="3481"/>
      <c r="V5" s="3498"/>
      <c r="W5" s="3498"/>
      <c r="X5" s="1501"/>
      <c r="Y5" s="3480"/>
      <c r="Z5" s="3481"/>
      <c r="AA5" s="3474"/>
      <c r="AB5" s="3474"/>
      <c r="AC5" s="3474"/>
    </row>
    <row r="6" spans="1:29" ht="15.75" thickBot="1">
      <c r="A6" s="511"/>
      <c r="B6" s="512"/>
      <c r="C6" s="3499" t="s">
        <v>2901</v>
      </c>
      <c r="D6" s="3500"/>
      <c r="E6" s="3503" t="s">
        <v>2901</v>
      </c>
      <c r="F6" s="3504"/>
      <c r="G6" s="3499" t="s">
        <v>2901</v>
      </c>
      <c r="H6" s="3500"/>
      <c r="I6" s="3499" t="s">
        <v>2901</v>
      </c>
      <c r="J6" s="3500"/>
      <c r="K6" s="508" t="s">
        <v>522</v>
      </c>
      <c r="L6" s="2015"/>
      <c r="M6" s="2016"/>
      <c r="N6" s="2016"/>
      <c r="O6" s="2016"/>
      <c r="P6" s="3496"/>
      <c r="Q6" s="3497"/>
      <c r="R6" s="3480"/>
      <c r="S6" s="3481"/>
      <c r="T6" s="3482"/>
      <c r="U6" s="3483"/>
      <c r="V6" s="3498"/>
      <c r="W6" s="3498"/>
      <c r="X6" s="1501"/>
      <c r="Y6" s="3482"/>
      <c r="Z6" s="3483"/>
      <c r="AA6" s="3475"/>
      <c r="AB6" s="3475"/>
      <c r="AC6" s="3475"/>
    </row>
    <row r="7" spans="1:29" s="1202" customFormat="1" ht="15.75" thickBot="1">
      <c r="A7" s="2629"/>
      <c r="B7" s="2636" t="s">
        <v>523</v>
      </c>
      <c r="C7" s="513">
        <f>'数据-取费表'!B2</f>
        <v>44385</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76" t="s">
        <v>524</v>
      </c>
      <c r="Q7" s="3485"/>
      <c r="R7" s="1502" t="s">
        <v>8</v>
      </c>
      <c r="S7" s="1503">
        <f t="shared" ref="S7:S14" si="0">F7</f>
        <v>0</v>
      </c>
      <c r="T7" s="1502" t="s">
        <v>8</v>
      </c>
      <c r="U7" s="1503">
        <f t="shared" ref="U7:U14" si="1">H7</f>
        <v>0</v>
      </c>
      <c r="V7" s="1502" t="s">
        <v>8</v>
      </c>
      <c r="W7" s="1503">
        <f t="shared" ref="W7:W14" si="2">J7</f>
        <v>0</v>
      </c>
      <c r="X7" s="1504"/>
      <c r="Y7" s="3476" t="s">
        <v>524</v>
      </c>
      <c r="Z7" s="3477"/>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76" t="s">
        <v>527</v>
      </c>
      <c r="Q8" s="3477"/>
      <c r="R8" s="1502" t="s">
        <v>8</v>
      </c>
      <c r="S8" s="1503">
        <f t="shared" si="0"/>
        <v>0</v>
      </c>
      <c r="T8" s="1502" t="s">
        <v>8</v>
      </c>
      <c r="U8" s="1503">
        <f t="shared" si="1"/>
        <v>0</v>
      </c>
      <c r="V8" s="1502" t="s">
        <v>8</v>
      </c>
      <c r="W8" s="1503">
        <f t="shared" si="2"/>
        <v>0</v>
      </c>
      <c r="X8" s="1504"/>
      <c r="Y8" s="3476" t="s">
        <v>527</v>
      </c>
      <c r="Z8" s="3477"/>
      <c r="AA8" s="1505" t="e">
        <f t="shared" ref="AA8:AA36" si="3">D8/F8</f>
        <v>#DIV/0!</v>
      </c>
      <c r="AB8" s="1505" t="e">
        <f t="shared" ref="AB8:AB36" si="4">D8/H8</f>
        <v>#DIV/0!</v>
      </c>
      <c r="AC8" s="1505" t="e">
        <f t="shared" ref="AC8:AC36" si="5">D8/J8</f>
        <v>#DIV/0!</v>
      </c>
    </row>
    <row r="9" spans="1:29" s="1202" customFormat="1" ht="15">
      <c r="A9" s="2631"/>
      <c r="B9" s="2638" t="s">
        <v>2736</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84" t="s">
        <v>529</v>
      </c>
      <c r="Q9" s="1133" t="str">
        <f t="shared" ref="Q9:Q14" si="6">B9</f>
        <v>用途</v>
      </c>
      <c r="R9" s="1502" t="s">
        <v>8</v>
      </c>
      <c r="S9" s="1503">
        <f t="shared" si="0"/>
        <v>100</v>
      </c>
      <c r="T9" s="1502" t="s">
        <v>8</v>
      </c>
      <c r="U9" s="1503">
        <f t="shared" si="1"/>
        <v>100</v>
      </c>
      <c r="V9" s="1502" t="s">
        <v>8</v>
      </c>
      <c r="W9" s="1503">
        <f t="shared" si="2"/>
        <v>100</v>
      </c>
      <c r="X9" s="1504"/>
      <c r="Y9" s="3435" t="s">
        <v>530</v>
      </c>
      <c r="Z9" s="1132" t="str">
        <f t="shared" ref="Z9:Z14" si="7">Q9</f>
        <v>用途</v>
      </c>
      <c r="AA9" s="1505">
        <f t="shared" si="3"/>
        <v>1</v>
      </c>
      <c r="AB9" s="1505">
        <f t="shared" si="4"/>
        <v>1</v>
      </c>
      <c r="AC9" s="1505">
        <f t="shared" si="5"/>
        <v>1</v>
      </c>
    </row>
    <row r="10" spans="1:29" s="1291" customFormat="1" ht="27">
      <c r="A10" s="2632"/>
      <c r="B10" s="2637" t="s">
        <v>2737</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84"/>
      <c r="Q10" s="1133" t="str">
        <f t="shared" si="6"/>
        <v>土地使用年限（年）</v>
      </c>
      <c r="R10" s="1502" t="s">
        <v>8</v>
      </c>
      <c r="S10" s="1503">
        <f t="shared" si="0"/>
        <v>100</v>
      </c>
      <c r="T10" s="1502" t="s">
        <v>8</v>
      </c>
      <c r="U10" s="1503">
        <f t="shared" si="1"/>
        <v>100</v>
      </c>
      <c r="V10" s="1502" t="s">
        <v>8</v>
      </c>
      <c r="W10" s="1503">
        <f t="shared" si="2"/>
        <v>100</v>
      </c>
      <c r="X10" s="1504"/>
      <c r="Y10" s="3435"/>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84"/>
      <c r="Q11" s="1133">
        <f t="shared" si="6"/>
        <v>111</v>
      </c>
      <c r="R11" s="1502" t="s">
        <v>8</v>
      </c>
      <c r="S11" s="1503">
        <f t="shared" si="0"/>
        <v>100</v>
      </c>
      <c r="T11" s="1502" t="s">
        <v>8</v>
      </c>
      <c r="U11" s="1503">
        <f t="shared" si="1"/>
        <v>100</v>
      </c>
      <c r="V11" s="1502" t="s">
        <v>8</v>
      </c>
      <c r="W11" s="1503">
        <f t="shared" si="2"/>
        <v>100</v>
      </c>
      <c r="X11" s="1504"/>
      <c r="Y11" s="3435"/>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84"/>
      <c r="Q12" s="1133">
        <f t="shared" si="6"/>
        <v>111</v>
      </c>
      <c r="R12" s="1502" t="s">
        <v>8</v>
      </c>
      <c r="S12" s="1503">
        <f t="shared" si="0"/>
        <v>100</v>
      </c>
      <c r="T12" s="1502" t="s">
        <v>8</v>
      </c>
      <c r="U12" s="1503">
        <f t="shared" si="1"/>
        <v>100</v>
      </c>
      <c r="V12" s="1502" t="s">
        <v>8</v>
      </c>
      <c r="W12" s="1503">
        <f t="shared" si="2"/>
        <v>100</v>
      </c>
      <c r="X12" s="1504"/>
      <c r="Y12" s="3435"/>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84"/>
      <c r="Q13" s="1133">
        <f t="shared" si="6"/>
        <v>111</v>
      </c>
      <c r="R13" s="1502" t="s">
        <v>8</v>
      </c>
      <c r="S13" s="1503">
        <f t="shared" si="0"/>
        <v>100</v>
      </c>
      <c r="T13" s="1502" t="s">
        <v>8</v>
      </c>
      <c r="U13" s="1503">
        <f t="shared" si="1"/>
        <v>100</v>
      </c>
      <c r="V13" s="1502" t="s">
        <v>8</v>
      </c>
      <c r="W13" s="1503">
        <f t="shared" si="2"/>
        <v>100</v>
      </c>
      <c r="X13" s="1504"/>
      <c r="Y13" s="3435"/>
      <c r="Z13" s="1132">
        <f t="shared" si="7"/>
        <v>111</v>
      </c>
      <c r="AA13" s="1505">
        <f t="shared" si="3"/>
        <v>1</v>
      </c>
      <c r="AB13" s="1505">
        <f t="shared" si="4"/>
        <v>1</v>
      </c>
      <c r="AC13" s="1505">
        <f t="shared" si="5"/>
        <v>1</v>
      </c>
    </row>
    <row r="14" spans="1:29" ht="85.5">
      <c r="A14" s="2627" t="s">
        <v>2734</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486" t="s">
        <v>534</v>
      </c>
      <c r="Q14" s="1506" t="str">
        <f t="shared" si="6"/>
        <v>交通便捷度</v>
      </c>
      <c r="R14" s="1507" t="s">
        <v>8</v>
      </c>
      <c r="S14" s="1508">
        <f t="shared" si="0"/>
        <v>100</v>
      </c>
      <c r="T14" s="1507" t="s">
        <v>8</v>
      </c>
      <c r="U14" s="1508">
        <f t="shared" si="1"/>
        <v>100</v>
      </c>
      <c r="V14" s="1507" t="s">
        <v>8</v>
      </c>
      <c r="W14" s="1508">
        <f t="shared" si="2"/>
        <v>100</v>
      </c>
      <c r="X14" s="1501"/>
      <c r="Y14" s="3486"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487"/>
      <c r="Q15" s="1506"/>
      <c r="R15" s="1507"/>
      <c r="S15" s="1508"/>
      <c r="T15" s="1507"/>
      <c r="U15" s="1508"/>
      <c r="V15" s="1507"/>
      <c r="W15" s="1508"/>
      <c r="X15" s="1501"/>
      <c r="Y15" s="3487"/>
      <c r="Z15" s="1509"/>
      <c r="AA15" s="1510">
        <v>1</v>
      </c>
      <c r="AB15" s="1510">
        <v>1</v>
      </c>
      <c r="AC15" s="1510">
        <v>1</v>
      </c>
    </row>
    <row r="16" spans="1:29" ht="42.75">
      <c r="A16" s="509"/>
      <c r="B16" s="2447"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487"/>
      <c r="Q16" s="1506" t="str">
        <f>B16</f>
        <v>公共配套设施</v>
      </c>
      <c r="R16" s="1507" t="s">
        <v>8</v>
      </c>
      <c r="S16" s="1508">
        <f>F16</f>
        <v>100</v>
      </c>
      <c r="T16" s="1507" t="s">
        <v>8</v>
      </c>
      <c r="U16" s="1508">
        <f>H16</f>
        <v>100</v>
      </c>
      <c r="V16" s="1507" t="s">
        <v>8</v>
      </c>
      <c r="W16" s="1508">
        <f>J16</f>
        <v>100</v>
      </c>
      <c r="X16" s="1501"/>
      <c r="Y16" s="3487"/>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487"/>
      <c r="Q17" s="1506"/>
      <c r="R17" s="1507"/>
      <c r="S17" s="1508"/>
      <c r="T17" s="1507"/>
      <c r="U17" s="1508"/>
      <c r="V17" s="1507"/>
      <c r="W17" s="1508"/>
      <c r="X17" s="1501"/>
      <c r="Y17" s="3487"/>
      <c r="Z17" s="1509"/>
      <c r="AA17" s="1510">
        <v>1</v>
      </c>
      <c r="AB17" s="1510">
        <v>1</v>
      </c>
      <c r="AC17" s="1510">
        <v>1</v>
      </c>
    </row>
    <row r="18" spans="1:29" ht="28.5">
      <c r="A18" s="509"/>
      <c r="B18" s="2435"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487"/>
      <c r="Q18" s="2429" t="str">
        <f>B18</f>
        <v>基础设施水平</v>
      </c>
      <c r="R18" s="1507" t="s">
        <v>8</v>
      </c>
      <c r="S18" s="1508">
        <f>F18</f>
        <v>100</v>
      </c>
      <c r="T18" s="1507" t="s">
        <v>8</v>
      </c>
      <c r="U18" s="1508">
        <f>H18</f>
        <v>100</v>
      </c>
      <c r="V18" s="1507" t="s">
        <v>8</v>
      </c>
      <c r="W18" s="1508">
        <f>J18</f>
        <v>100</v>
      </c>
      <c r="X18" s="2431"/>
      <c r="Y18" s="3487"/>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487"/>
      <c r="Q19" s="2429"/>
      <c r="R19" s="1507"/>
      <c r="S19" s="1508"/>
      <c r="T19" s="1507"/>
      <c r="U19" s="1508"/>
      <c r="V19" s="1507"/>
      <c r="W19" s="1508"/>
      <c r="X19" s="2431"/>
      <c r="Y19" s="3487"/>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487"/>
      <c r="Q20" s="1506" t="str">
        <f>B20</f>
        <v>自然及人文环境</v>
      </c>
      <c r="R20" s="1507" t="s">
        <v>8</v>
      </c>
      <c r="S20" s="1508">
        <f>F20</f>
        <v>100</v>
      </c>
      <c r="T20" s="1507" t="s">
        <v>8</v>
      </c>
      <c r="U20" s="1508">
        <f>H20</f>
        <v>100</v>
      </c>
      <c r="V20" s="1507" t="s">
        <v>8</v>
      </c>
      <c r="W20" s="1508">
        <f>J20</f>
        <v>100</v>
      </c>
      <c r="X20" s="1501"/>
      <c r="Y20" s="3487"/>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487"/>
      <c r="Q21" s="1506"/>
      <c r="R21" s="1507"/>
      <c r="S21" s="1508"/>
      <c r="T21" s="1507"/>
      <c r="U21" s="1508"/>
      <c r="V21" s="1507"/>
      <c r="W21" s="1508"/>
      <c r="X21" s="1501"/>
      <c r="Y21" s="3487"/>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87"/>
      <c r="Q22" s="1506" t="str">
        <f>B22</f>
        <v>楼层</v>
      </c>
      <c r="R22" s="1507" t="s">
        <v>8</v>
      </c>
      <c r="S22" s="1508">
        <f>F22</f>
        <v>100</v>
      </c>
      <c r="T22" s="1507" t="s">
        <v>8</v>
      </c>
      <c r="U22" s="1508">
        <f>H22</f>
        <v>100</v>
      </c>
      <c r="V22" s="1507" t="s">
        <v>8</v>
      </c>
      <c r="W22" s="1508">
        <f>J22</f>
        <v>100</v>
      </c>
      <c r="X22" s="1501"/>
      <c r="Y22" s="3487"/>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87"/>
      <c r="Q23" s="1506">
        <f>B23</f>
        <v>111</v>
      </c>
      <c r="R23" s="1507" t="s">
        <v>8</v>
      </c>
      <c r="S23" s="1508">
        <f>F23</f>
        <v>100</v>
      </c>
      <c r="T23" s="1507" t="s">
        <v>8</v>
      </c>
      <c r="U23" s="1508">
        <f>H23</f>
        <v>100</v>
      </c>
      <c r="V23" s="1507" t="s">
        <v>8</v>
      </c>
      <c r="W23" s="1508">
        <f>J23</f>
        <v>100</v>
      </c>
      <c r="X23" s="1501"/>
      <c r="Y23" s="3487"/>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87"/>
      <c r="Q24" s="1506">
        <f t="shared" ref="Q24:Q36" si="11">B24</f>
        <v>111</v>
      </c>
      <c r="R24" s="1507" t="s">
        <v>8</v>
      </c>
      <c r="S24" s="1508">
        <f>F24</f>
        <v>100</v>
      </c>
      <c r="T24" s="1507" t="s">
        <v>8</v>
      </c>
      <c r="U24" s="1508">
        <f>H24</f>
        <v>100</v>
      </c>
      <c r="V24" s="1507" t="s">
        <v>8</v>
      </c>
      <c r="W24" s="1508">
        <f>J24</f>
        <v>100</v>
      </c>
      <c r="X24" s="1501"/>
      <c r="Y24" s="3487"/>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487"/>
      <c r="Q25" s="1133">
        <f t="shared" si="11"/>
        <v>111</v>
      </c>
      <c r="R25" s="1502" t="s">
        <v>8</v>
      </c>
      <c r="S25" s="1503">
        <f>F25</f>
        <v>100</v>
      </c>
      <c r="T25" s="1502" t="s">
        <v>8</v>
      </c>
      <c r="U25" s="1503">
        <f>H25</f>
        <v>100</v>
      </c>
      <c r="V25" s="1502" t="s">
        <v>8</v>
      </c>
      <c r="W25" s="1503">
        <f>J25</f>
        <v>100</v>
      </c>
      <c r="X25" s="1504"/>
      <c r="Y25" s="3487"/>
      <c r="Z25" s="1132">
        <f>Q25</f>
        <v>111</v>
      </c>
      <c r="AA25" s="1510">
        <f>D25/F25</f>
        <v>1</v>
      </c>
      <c r="AB25" s="1510">
        <f>D25/H25</f>
        <v>1</v>
      </c>
      <c r="AC25" s="1510">
        <f>D25/J25</f>
        <v>1</v>
      </c>
    </row>
    <row r="26" spans="1:29" ht="15">
      <c r="A26" s="2624" t="s">
        <v>2735</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88"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489"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489"/>
      <c r="Q27" s="1535" t="str">
        <f t="shared" si="11"/>
        <v>项目停车位配比</v>
      </c>
      <c r="R27" s="1511" t="s">
        <v>8</v>
      </c>
      <c r="S27" s="1512">
        <f t="shared" si="12"/>
        <v>100</v>
      </c>
      <c r="T27" s="1511" t="s">
        <v>8</v>
      </c>
      <c r="U27" s="1512">
        <f t="shared" si="13"/>
        <v>100</v>
      </c>
      <c r="V27" s="1511" t="s">
        <v>8</v>
      </c>
      <c r="W27" s="1512">
        <f t="shared" si="14"/>
        <v>100</v>
      </c>
      <c r="X27" s="1513"/>
      <c r="Y27" s="3489"/>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89"/>
      <c r="Q28" s="1506" t="str">
        <f t="shared" si="11"/>
        <v>公共部分装修</v>
      </c>
      <c r="R28" s="1507" t="s">
        <v>8</v>
      </c>
      <c r="S28" s="1508">
        <f t="shared" si="12"/>
        <v>100</v>
      </c>
      <c r="T28" s="1507" t="s">
        <v>8</v>
      </c>
      <c r="U28" s="1508">
        <f t="shared" si="13"/>
        <v>100</v>
      </c>
      <c r="V28" s="1507" t="s">
        <v>8</v>
      </c>
      <c r="W28" s="1508">
        <f t="shared" si="14"/>
        <v>100</v>
      </c>
      <c r="X28" s="1501"/>
      <c r="Y28" s="3489"/>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489"/>
      <c r="Q29" s="1506" t="str">
        <f t="shared" si="11"/>
        <v>成新率</v>
      </c>
      <c r="R29" s="1507" t="s">
        <v>8</v>
      </c>
      <c r="S29" s="1508" t="e">
        <f t="shared" si="12"/>
        <v>#N/A</v>
      </c>
      <c r="T29" s="1507" t="s">
        <v>8</v>
      </c>
      <c r="U29" s="1508" t="e">
        <f t="shared" si="13"/>
        <v>#N/A</v>
      </c>
      <c r="V29" s="1507" t="s">
        <v>8</v>
      </c>
      <c r="W29" s="1508" t="e">
        <f t="shared" si="14"/>
        <v>#N/A</v>
      </c>
      <c r="X29" s="1501"/>
      <c r="Y29" s="3489"/>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489"/>
      <c r="Q30" s="1506" t="str">
        <f t="shared" si="11"/>
        <v>物业等级</v>
      </c>
      <c r="R30" s="1507" t="s">
        <v>8</v>
      </c>
      <c r="S30" s="1508">
        <f t="shared" si="12"/>
        <v>100</v>
      </c>
      <c r="T30" s="1507" t="s">
        <v>8</v>
      </c>
      <c r="U30" s="1508">
        <f t="shared" si="13"/>
        <v>100</v>
      </c>
      <c r="V30" s="1507" t="s">
        <v>8</v>
      </c>
      <c r="W30" s="1508">
        <f t="shared" si="14"/>
        <v>100</v>
      </c>
      <c r="X30" s="1501"/>
      <c r="Y30" s="3489"/>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489"/>
      <c r="Q31" s="1133" t="str">
        <f t="shared" si="11"/>
        <v>停车位面积</v>
      </c>
      <c r="R31" s="1502" t="s">
        <v>8</v>
      </c>
      <c r="S31" s="1503" t="e">
        <f t="shared" si="12"/>
        <v>#N/A</v>
      </c>
      <c r="T31" s="1502" t="s">
        <v>8</v>
      </c>
      <c r="U31" s="1503" t="e">
        <f t="shared" si="13"/>
        <v>#N/A</v>
      </c>
      <c r="V31" s="1502" t="s">
        <v>8</v>
      </c>
      <c r="W31" s="1503" t="e">
        <f t="shared" si="14"/>
        <v>#N/A</v>
      </c>
      <c r="X31" s="1504"/>
      <c r="Y31" s="3489"/>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89" t="s">
        <v>544</v>
      </c>
      <c r="Q32" s="1506" t="str">
        <f t="shared" si="11"/>
        <v>车位类型</v>
      </c>
      <c r="R32" s="1507" t="s">
        <v>8</v>
      </c>
      <c r="S32" s="1508">
        <f t="shared" si="12"/>
        <v>100</v>
      </c>
      <c r="T32" s="1507" t="s">
        <v>8</v>
      </c>
      <c r="U32" s="1508">
        <f t="shared" si="13"/>
        <v>100</v>
      </c>
      <c r="V32" s="1507" t="s">
        <v>8</v>
      </c>
      <c r="W32" s="1508">
        <f t="shared" si="14"/>
        <v>100</v>
      </c>
      <c r="X32" s="1501"/>
      <c r="Y32" s="3489"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89"/>
      <c r="Q33" s="1506" t="str">
        <f t="shared" si="11"/>
        <v>是否直接入户</v>
      </c>
      <c r="R33" s="1507" t="s">
        <v>8</v>
      </c>
      <c r="S33" s="1508">
        <f t="shared" si="12"/>
        <v>100</v>
      </c>
      <c r="T33" s="1507" t="s">
        <v>8</v>
      </c>
      <c r="U33" s="1508">
        <f t="shared" si="13"/>
        <v>100</v>
      </c>
      <c r="V33" s="1507" t="s">
        <v>8</v>
      </c>
      <c r="W33" s="1508">
        <f t="shared" si="14"/>
        <v>100</v>
      </c>
      <c r="X33" s="1501"/>
      <c r="Y33" s="3489"/>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89"/>
      <c r="Q34" s="1506">
        <f t="shared" si="11"/>
        <v>111</v>
      </c>
      <c r="R34" s="1507" t="s">
        <v>8</v>
      </c>
      <c r="S34" s="1508">
        <f t="shared" si="12"/>
        <v>100</v>
      </c>
      <c r="T34" s="1507" t="s">
        <v>8</v>
      </c>
      <c r="U34" s="1508">
        <f t="shared" si="13"/>
        <v>100</v>
      </c>
      <c r="V34" s="1507" t="s">
        <v>8</v>
      </c>
      <c r="W34" s="1508">
        <f t="shared" si="14"/>
        <v>100</v>
      </c>
      <c r="X34" s="1501"/>
      <c r="Y34" s="3489"/>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89"/>
      <c r="Q35" s="1535">
        <f t="shared" si="11"/>
        <v>111</v>
      </c>
      <c r="R35" s="1511" t="s">
        <v>8</v>
      </c>
      <c r="S35" s="1512">
        <f t="shared" si="12"/>
        <v>100</v>
      </c>
      <c r="T35" s="1511" t="s">
        <v>8</v>
      </c>
      <c r="U35" s="1512">
        <f t="shared" si="13"/>
        <v>100</v>
      </c>
      <c r="V35" s="1511" t="s">
        <v>8</v>
      </c>
      <c r="W35" s="1512">
        <f t="shared" si="14"/>
        <v>100</v>
      </c>
      <c r="X35" s="1513"/>
      <c r="Y35" s="3489"/>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89"/>
      <c r="Q36" s="1506">
        <f t="shared" si="11"/>
        <v>111</v>
      </c>
      <c r="R36" s="1507" t="s">
        <v>8</v>
      </c>
      <c r="S36" s="1508">
        <f t="shared" si="12"/>
        <v>100</v>
      </c>
      <c r="T36" s="1507" t="s">
        <v>8</v>
      </c>
      <c r="U36" s="1508">
        <f t="shared" si="13"/>
        <v>100</v>
      </c>
      <c r="V36" s="1507" t="s">
        <v>8</v>
      </c>
      <c r="W36" s="1508">
        <f t="shared" si="14"/>
        <v>100</v>
      </c>
      <c r="X36" s="1501"/>
      <c r="Y36" s="3489"/>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484" t="str">
        <f>A37</f>
        <v>成交单价</v>
      </c>
      <c r="Q37" s="3484"/>
      <c r="R37" s="3591">
        <f>E37</f>
        <v>0</v>
      </c>
      <c r="S37" s="3591"/>
      <c r="T37" s="3591">
        <f>G37</f>
        <v>0</v>
      </c>
      <c r="U37" s="3591"/>
      <c r="V37" s="3591">
        <f>I37</f>
        <v>0</v>
      </c>
      <c r="W37" s="3591"/>
      <c r="X37" s="1496"/>
      <c r="Y37" s="1515"/>
      <c r="Z37" s="1496"/>
      <c r="AA37" s="1496"/>
      <c r="AB37" s="1496"/>
      <c r="AC37" s="1496"/>
    </row>
    <row r="38" spans="1:29" ht="15.75" thickBot="1">
      <c r="A38" s="609" t="s">
        <v>2740</v>
      </c>
      <c r="B38" s="876"/>
      <c r="C38" s="2476" t="e">
        <f>R39</f>
        <v>#DIV/0!</v>
      </c>
      <c r="D38" s="3013" t="s">
        <v>2971</v>
      </c>
      <c r="E38" s="2477" t="e">
        <f>R38</f>
        <v>#DIV/0!</v>
      </c>
      <c r="F38" s="3014"/>
      <c r="G38" s="2476" t="e">
        <f>T38</f>
        <v>#DIV/0!</v>
      </c>
      <c r="H38" s="3014"/>
      <c r="I38" s="2477" t="e">
        <f>V38</f>
        <v>#DIV/0!</v>
      </c>
      <c r="J38" s="3014"/>
      <c r="K38" s="3022">
        <f>F38+H38+J38</f>
        <v>0</v>
      </c>
      <c r="L38" s="2026"/>
      <c r="M38" s="2027"/>
      <c r="N38" s="2027"/>
      <c r="O38" s="2027"/>
      <c r="P38" s="3484" t="str">
        <f>A38</f>
        <v>比较价格（元/平方米）</v>
      </c>
      <c r="Q38" s="3484"/>
      <c r="R38" s="3591" t="e">
        <f>IF(F1="售价",ROUND(PRODUCT(R37,AA7:AA36),0),ROUND(PRODUCT(R37,AA7:AA36),1))</f>
        <v>#DIV/0!</v>
      </c>
      <c r="S38" s="3591"/>
      <c r="T38" s="3591" t="e">
        <f>IF(F1="售价",ROUND(PRODUCT(T37,AB7:AB36),0),ROUND(PRODUCT(T37,AB7:AB36),1))</f>
        <v>#DIV/0!</v>
      </c>
      <c r="U38" s="3591"/>
      <c r="V38" s="3591" t="e">
        <f>IF(F1="售价",ROUND(PRODUCT(V37,AC7:AC36),0),ROUND(PRODUCT(V37,AC7:AC36),1))</f>
        <v>#DIV/0!</v>
      </c>
      <c r="W38" s="3591"/>
      <c r="X38" s="1496"/>
      <c r="Y38" s="1496"/>
      <c r="Z38" s="1496"/>
      <c r="AA38" s="1496"/>
      <c r="AB38" s="1496"/>
      <c r="AC38" s="1496"/>
    </row>
    <row r="39" spans="1:29" ht="15.75" thickBot="1">
      <c r="A39" s="613" t="s">
        <v>2903</v>
      </c>
      <c r="B39" s="614"/>
      <c r="C39" s="2478" t="e">
        <f>R39</f>
        <v>#DIV/0!</v>
      </c>
      <c r="D39" s="2478"/>
      <c r="E39" s="2478"/>
      <c r="F39" s="2478"/>
      <c r="G39" s="2478"/>
      <c r="H39" s="2478"/>
      <c r="I39" s="2478"/>
      <c r="J39" s="2478"/>
      <c r="K39" s="1541"/>
      <c r="L39" s="2026"/>
      <c r="M39" s="2027"/>
      <c r="N39" s="2027"/>
      <c r="O39" s="2027"/>
      <c r="P39" s="3505" t="str">
        <f>A39</f>
        <v>估价对象XX用房的比较价格（楼面单价，元/平方米）</v>
      </c>
      <c r="Q39" s="3506"/>
      <c r="R39" s="3590" t="e">
        <f>IF(F1="售价",ROUND(IF(D38="简单平均",AVERAGE(R38:W38),R38*F38+T38*H38+V38*J38),0),ROUND(IF(D38="简单平均",AVERAGE(R38:V38),R38*F38+T38*H38+V38*J38),1))</f>
        <v>#DIV/0!</v>
      </c>
      <c r="S39" s="3590"/>
      <c r="T39" s="3590"/>
      <c r="U39" s="3590"/>
      <c r="V39" s="3590"/>
      <c r="W39" s="3590"/>
      <c r="X39" s="1496"/>
      <c r="Y39" s="1496"/>
      <c r="Z39" s="1496"/>
      <c r="AA39" s="1496"/>
      <c r="AB39" s="1496"/>
      <c r="AC39" s="1496"/>
    </row>
    <row r="40" spans="1:29">
      <c r="A40" s="3213"/>
      <c r="B40" s="3213"/>
      <c r="C40" s="3213"/>
      <c r="D40" s="3213"/>
      <c r="E40" s="3213"/>
      <c r="F40" s="3213"/>
      <c r="G40" s="3215"/>
      <c r="H40" s="3213"/>
      <c r="I40" s="3213"/>
      <c r="J40" s="3213"/>
      <c r="K40" s="3216"/>
      <c r="L40" s="2031"/>
      <c r="M40" s="2027"/>
      <c r="N40" s="2027"/>
      <c r="O40" s="2027"/>
      <c r="P40" s="2027"/>
      <c r="Q40" s="2027"/>
      <c r="R40" s="2027"/>
      <c r="S40" s="2027"/>
      <c r="T40" s="2027"/>
      <c r="U40" s="2027"/>
      <c r="V40" s="2027"/>
      <c r="W40" s="2027"/>
      <c r="X40" s="2027"/>
      <c r="Y40" s="2027"/>
      <c r="Z40" s="2027"/>
      <c r="AA40" s="2027"/>
      <c r="AB40" s="2027"/>
      <c r="AC40" s="2027"/>
    </row>
    <row r="41" spans="1:29">
      <c r="A41" s="3213"/>
      <c r="B41" s="3213"/>
      <c r="C41" s="3213"/>
      <c r="D41" s="3213"/>
      <c r="E41" s="3213"/>
      <c r="F41" s="3213"/>
      <c r="G41" s="3213"/>
      <c r="H41" s="3213"/>
      <c r="I41" s="3213"/>
      <c r="J41" s="3213"/>
      <c r="K41" s="3216"/>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2021-7</v>
      </c>
      <c r="D48" s="2521">
        <f>EDATE(C48,-1)</f>
        <v>44348</v>
      </c>
      <c r="E48" s="2521">
        <f t="shared" ref="E48:O48" si="16">EDATE(D48,-1)</f>
        <v>44317</v>
      </c>
      <c r="F48" s="2521">
        <f t="shared" si="16"/>
        <v>44287</v>
      </c>
      <c r="G48" s="2521">
        <f t="shared" si="16"/>
        <v>44256</v>
      </c>
      <c r="H48" s="2521">
        <f t="shared" si="16"/>
        <v>44228</v>
      </c>
      <c r="I48" s="2521">
        <f t="shared" si="16"/>
        <v>44197</v>
      </c>
      <c r="J48" s="2521">
        <f t="shared" si="16"/>
        <v>44166</v>
      </c>
      <c r="K48" s="2521">
        <f t="shared" si="16"/>
        <v>44136</v>
      </c>
      <c r="L48" s="2521">
        <f t="shared" si="16"/>
        <v>44105</v>
      </c>
      <c r="M48" s="2521">
        <f t="shared" si="16"/>
        <v>44075</v>
      </c>
      <c r="N48" s="2521">
        <f t="shared" si="16"/>
        <v>44044</v>
      </c>
      <c r="O48" s="2521">
        <f t="shared" si="16"/>
        <v>44013</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24" sqref="C24:C52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490" t="s">
        <v>792</v>
      </c>
      <c r="D4" s="3491"/>
      <c r="E4" s="3515" t="s">
        <v>793</v>
      </c>
      <c r="F4" s="3516"/>
      <c r="G4" s="3490" t="s">
        <v>794</v>
      </c>
      <c r="H4" s="3491"/>
      <c r="I4" s="3490" t="s">
        <v>795</v>
      </c>
      <c r="J4" s="3491"/>
      <c r="K4" s="508" t="s">
        <v>796</v>
      </c>
      <c r="L4" s="2015"/>
      <c r="M4" s="2016"/>
      <c r="N4" s="2016"/>
      <c r="O4" s="2016"/>
      <c r="P4" s="3492" t="s">
        <v>797</v>
      </c>
      <c r="Q4" s="3493"/>
      <c r="R4" s="3478" t="s">
        <v>793</v>
      </c>
      <c r="S4" s="3479"/>
      <c r="T4" s="3478" t="s">
        <v>794</v>
      </c>
      <c r="U4" s="3479"/>
      <c r="V4" s="3498" t="s">
        <v>795</v>
      </c>
      <c r="W4" s="3498"/>
      <c r="X4" s="1501"/>
      <c r="Y4" s="3478" t="s">
        <v>797</v>
      </c>
      <c r="Z4" s="3479"/>
      <c r="AA4" s="3473" t="s">
        <v>793</v>
      </c>
      <c r="AB4" s="3474" t="s">
        <v>794</v>
      </c>
      <c r="AC4" s="3473" t="s">
        <v>795</v>
      </c>
    </row>
    <row r="5" spans="1:29" ht="15">
      <c r="A5" s="509"/>
      <c r="B5" s="510"/>
      <c r="C5" s="3501" t="s">
        <v>2897</v>
      </c>
      <c r="D5" s="3502"/>
      <c r="E5" s="3517" t="s">
        <v>2898</v>
      </c>
      <c r="F5" s="3518"/>
      <c r="G5" s="3501" t="s">
        <v>2899</v>
      </c>
      <c r="H5" s="3502"/>
      <c r="I5" s="3501" t="s">
        <v>2900</v>
      </c>
      <c r="J5" s="3502"/>
      <c r="K5" s="508"/>
      <c r="L5" s="2015"/>
      <c r="M5" s="2016"/>
      <c r="N5" s="2016"/>
      <c r="O5" s="2016"/>
      <c r="P5" s="3494"/>
      <c r="Q5" s="3495"/>
      <c r="R5" s="3480"/>
      <c r="S5" s="3481"/>
      <c r="T5" s="3480"/>
      <c r="U5" s="3481"/>
      <c r="V5" s="3498"/>
      <c r="W5" s="3498"/>
      <c r="X5" s="1501"/>
      <c r="Y5" s="3480"/>
      <c r="Z5" s="3481"/>
      <c r="AA5" s="3474"/>
      <c r="AB5" s="3474"/>
      <c r="AC5" s="3474"/>
    </row>
    <row r="6" spans="1:29" ht="15.75" thickBot="1">
      <c r="A6" s="511"/>
      <c r="B6" s="512"/>
      <c r="C6" s="3499" t="s">
        <v>2901</v>
      </c>
      <c r="D6" s="3500"/>
      <c r="E6" s="3519" t="s">
        <v>2901</v>
      </c>
      <c r="F6" s="3520"/>
      <c r="G6" s="3499" t="s">
        <v>2901</v>
      </c>
      <c r="H6" s="3500"/>
      <c r="I6" s="3499" t="s">
        <v>2901</v>
      </c>
      <c r="J6" s="3500"/>
      <c r="K6" s="508" t="s">
        <v>522</v>
      </c>
      <c r="L6" s="2015"/>
      <c r="M6" s="2016"/>
      <c r="N6" s="2016"/>
      <c r="O6" s="2016"/>
      <c r="P6" s="3496"/>
      <c r="Q6" s="3497"/>
      <c r="R6" s="3480"/>
      <c r="S6" s="3481"/>
      <c r="T6" s="3482"/>
      <c r="U6" s="3483"/>
      <c r="V6" s="3498"/>
      <c r="W6" s="3498"/>
      <c r="X6" s="1501"/>
      <c r="Y6" s="3482"/>
      <c r="Z6" s="3483"/>
      <c r="AA6" s="3475"/>
      <c r="AB6" s="3475"/>
      <c r="AC6" s="3475"/>
    </row>
    <row r="7" spans="1:29" s="1202" customFormat="1" ht="15.75" thickBot="1">
      <c r="A7" s="2629"/>
      <c r="B7" s="2636" t="s">
        <v>523</v>
      </c>
      <c r="C7" s="513">
        <f>'数据-取费表'!B2</f>
        <v>44385</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76" t="s">
        <v>524</v>
      </c>
      <c r="Q7" s="3485"/>
      <c r="R7" s="1502" t="s">
        <v>8</v>
      </c>
      <c r="S7" s="1503">
        <f t="shared" ref="S7:S14" si="0">F7</f>
        <v>0</v>
      </c>
      <c r="T7" s="1502" t="s">
        <v>8</v>
      </c>
      <c r="U7" s="1503">
        <f t="shared" ref="U7:U14" si="1">H7</f>
        <v>0</v>
      </c>
      <c r="V7" s="1502" t="s">
        <v>8</v>
      </c>
      <c r="W7" s="1503">
        <f t="shared" ref="W7:W14" si="2">J7</f>
        <v>0</v>
      </c>
      <c r="X7" s="1504"/>
      <c r="Y7" s="3476" t="s">
        <v>524</v>
      </c>
      <c r="Z7" s="3477"/>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76" t="s">
        <v>527</v>
      </c>
      <c r="Q8" s="3477"/>
      <c r="R8" s="1502" t="s">
        <v>8</v>
      </c>
      <c r="S8" s="1503">
        <f t="shared" si="0"/>
        <v>0</v>
      </c>
      <c r="T8" s="1502" t="s">
        <v>8</v>
      </c>
      <c r="U8" s="1503">
        <f t="shared" si="1"/>
        <v>0</v>
      </c>
      <c r="V8" s="1502" t="s">
        <v>8</v>
      </c>
      <c r="W8" s="1503">
        <f t="shared" si="2"/>
        <v>0</v>
      </c>
      <c r="X8" s="1504"/>
      <c r="Y8" s="3476" t="s">
        <v>527</v>
      </c>
      <c r="Z8" s="3477"/>
      <c r="AA8" s="1505" t="e">
        <f t="shared" ref="AA8:AA34" si="3">D8/F8</f>
        <v>#DIV/0!</v>
      </c>
      <c r="AB8" s="1505" t="e">
        <f t="shared" ref="AB8:AB34" si="4">D8/H8</f>
        <v>#DIV/0!</v>
      </c>
      <c r="AC8" s="1505" t="e">
        <f t="shared" ref="AC8:AC34" si="5">D8/J8</f>
        <v>#DIV/0!</v>
      </c>
    </row>
    <row r="9" spans="1:29" s="1202" customFormat="1" ht="15">
      <c r="A9" s="2631"/>
      <c r="B9" s="2638" t="s">
        <v>2736</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84" t="s">
        <v>529</v>
      </c>
      <c r="Q9" s="1133" t="str">
        <f t="shared" ref="Q9:Q14" si="6">B9</f>
        <v>用途</v>
      </c>
      <c r="R9" s="1502" t="s">
        <v>8</v>
      </c>
      <c r="S9" s="1503">
        <f t="shared" si="0"/>
        <v>100</v>
      </c>
      <c r="T9" s="1502" t="s">
        <v>8</v>
      </c>
      <c r="U9" s="1503">
        <f t="shared" si="1"/>
        <v>100</v>
      </c>
      <c r="V9" s="1502" t="s">
        <v>8</v>
      </c>
      <c r="W9" s="1503">
        <f t="shared" si="2"/>
        <v>100</v>
      </c>
      <c r="X9" s="1504"/>
      <c r="Y9" s="3435" t="s">
        <v>530</v>
      </c>
      <c r="Z9" s="1132" t="str">
        <f t="shared" ref="Z9:Z14" si="7">Q9</f>
        <v>用途</v>
      </c>
      <c r="AA9" s="1505">
        <f t="shared" si="3"/>
        <v>1</v>
      </c>
      <c r="AB9" s="1505">
        <f t="shared" si="4"/>
        <v>1</v>
      </c>
      <c r="AC9" s="1505">
        <f t="shared" si="5"/>
        <v>1</v>
      </c>
    </row>
    <row r="10" spans="1:29" s="1291" customFormat="1" ht="27">
      <c r="A10" s="2632"/>
      <c r="B10" s="2637" t="s">
        <v>2737</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84"/>
      <c r="Q10" s="1133" t="str">
        <f t="shared" si="6"/>
        <v>土地使用年限（年）</v>
      </c>
      <c r="R10" s="1502" t="s">
        <v>8</v>
      </c>
      <c r="S10" s="1503">
        <f t="shared" si="0"/>
        <v>100</v>
      </c>
      <c r="T10" s="1502" t="s">
        <v>8</v>
      </c>
      <c r="U10" s="1503">
        <f t="shared" si="1"/>
        <v>100</v>
      </c>
      <c r="V10" s="1502" t="s">
        <v>8</v>
      </c>
      <c r="W10" s="1503">
        <f t="shared" si="2"/>
        <v>100</v>
      </c>
      <c r="X10" s="1504"/>
      <c r="Y10" s="3435"/>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484"/>
      <c r="Q11" s="1133">
        <f t="shared" si="6"/>
        <v>111</v>
      </c>
      <c r="R11" s="1502" t="s">
        <v>8</v>
      </c>
      <c r="S11" s="1503">
        <f t="shared" si="0"/>
        <v>100</v>
      </c>
      <c r="T11" s="1502" t="s">
        <v>8</v>
      </c>
      <c r="U11" s="1503">
        <f t="shared" si="1"/>
        <v>100</v>
      </c>
      <c r="V11" s="1502" t="s">
        <v>8</v>
      </c>
      <c r="W11" s="1503">
        <f t="shared" si="2"/>
        <v>100</v>
      </c>
      <c r="X11" s="1504"/>
      <c r="Y11" s="3435"/>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484"/>
      <c r="Q12" s="1133">
        <f t="shared" si="6"/>
        <v>111</v>
      </c>
      <c r="R12" s="1502" t="s">
        <v>8</v>
      </c>
      <c r="S12" s="1503">
        <f t="shared" si="0"/>
        <v>100</v>
      </c>
      <c r="T12" s="1502" t="s">
        <v>8</v>
      </c>
      <c r="U12" s="1503">
        <f t="shared" si="1"/>
        <v>100</v>
      </c>
      <c r="V12" s="1502" t="s">
        <v>8</v>
      </c>
      <c r="W12" s="1503">
        <f t="shared" si="2"/>
        <v>100</v>
      </c>
      <c r="X12" s="1504"/>
      <c r="Y12" s="3435"/>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484"/>
      <c r="Q13" s="1133">
        <f t="shared" si="6"/>
        <v>111</v>
      </c>
      <c r="R13" s="1502" t="s">
        <v>8</v>
      </c>
      <c r="S13" s="1503">
        <f t="shared" si="0"/>
        <v>100</v>
      </c>
      <c r="T13" s="1502" t="s">
        <v>8</v>
      </c>
      <c r="U13" s="1503">
        <f t="shared" si="1"/>
        <v>100</v>
      </c>
      <c r="V13" s="1502" t="s">
        <v>8</v>
      </c>
      <c r="W13" s="1503">
        <f t="shared" si="2"/>
        <v>100</v>
      </c>
      <c r="X13" s="1504"/>
      <c r="Y13" s="3435"/>
      <c r="Z13" s="1132">
        <f t="shared" si="7"/>
        <v>111</v>
      </c>
      <c r="AA13" s="1505">
        <f t="shared" si="3"/>
        <v>1</v>
      </c>
      <c r="AB13" s="1505">
        <f t="shared" si="4"/>
        <v>1</v>
      </c>
      <c r="AC13" s="1505">
        <f t="shared" si="5"/>
        <v>1</v>
      </c>
    </row>
    <row r="14" spans="1:29" ht="85.5">
      <c r="A14" s="2627" t="s">
        <v>2734</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486" t="s">
        <v>534</v>
      </c>
      <c r="Q14" s="1506" t="str">
        <f t="shared" si="6"/>
        <v>交通便捷度</v>
      </c>
      <c r="R14" s="1507" t="s">
        <v>8</v>
      </c>
      <c r="S14" s="1508">
        <f t="shared" si="0"/>
        <v>100</v>
      </c>
      <c r="T14" s="1507" t="s">
        <v>8</v>
      </c>
      <c r="U14" s="1508">
        <f t="shared" si="1"/>
        <v>100</v>
      </c>
      <c r="V14" s="1507" t="s">
        <v>8</v>
      </c>
      <c r="W14" s="1508">
        <f t="shared" si="2"/>
        <v>100</v>
      </c>
      <c r="X14" s="1501"/>
      <c r="Y14" s="3486"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487"/>
      <c r="Q15" s="1506"/>
      <c r="R15" s="1507"/>
      <c r="S15" s="1508"/>
      <c r="T15" s="1507"/>
      <c r="U15" s="1508"/>
      <c r="V15" s="1507"/>
      <c r="W15" s="1508"/>
      <c r="X15" s="1501"/>
      <c r="Y15" s="3487"/>
      <c r="Z15" s="1509"/>
      <c r="AA15" s="1510">
        <v>1</v>
      </c>
      <c r="AB15" s="1510">
        <v>1</v>
      </c>
      <c r="AC15" s="1510">
        <v>1</v>
      </c>
    </row>
    <row r="16" spans="1:29" ht="42.75">
      <c r="A16" s="526"/>
      <c r="B16" s="2447"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487"/>
      <c r="Q16" s="1506" t="str">
        <f>B16</f>
        <v>公共配套设施</v>
      </c>
      <c r="R16" s="1507" t="s">
        <v>8</v>
      </c>
      <c r="S16" s="1508">
        <f>F16</f>
        <v>100</v>
      </c>
      <c r="T16" s="1507" t="s">
        <v>8</v>
      </c>
      <c r="U16" s="1508">
        <f>H16</f>
        <v>100</v>
      </c>
      <c r="V16" s="1507" t="s">
        <v>8</v>
      </c>
      <c r="W16" s="1508">
        <f>J16</f>
        <v>100</v>
      </c>
      <c r="X16" s="1501"/>
      <c r="Y16" s="3487"/>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487"/>
      <c r="Q17" s="1506"/>
      <c r="R17" s="1507"/>
      <c r="S17" s="1508"/>
      <c r="T17" s="1507"/>
      <c r="U17" s="1508"/>
      <c r="V17" s="1507"/>
      <c r="W17" s="1508"/>
      <c r="X17" s="1501"/>
      <c r="Y17" s="3487"/>
      <c r="Z17" s="1509"/>
      <c r="AA17" s="1510">
        <v>1</v>
      </c>
      <c r="AB17" s="1510">
        <v>1</v>
      </c>
      <c r="AC17" s="1510">
        <v>1</v>
      </c>
    </row>
    <row r="18" spans="1:29" ht="28.5">
      <c r="A18" s="526"/>
      <c r="B18" s="2435"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487"/>
      <c r="Q18" s="2429" t="str">
        <f>B18</f>
        <v>基础设施水平</v>
      </c>
      <c r="R18" s="1507" t="s">
        <v>8</v>
      </c>
      <c r="S18" s="1508">
        <f>F18</f>
        <v>100</v>
      </c>
      <c r="T18" s="1507" t="s">
        <v>8</v>
      </c>
      <c r="U18" s="1508">
        <f>H18</f>
        <v>100</v>
      </c>
      <c r="V18" s="1507" t="s">
        <v>8</v>
      </c>
      <c r="W18" s="1508">
        <f>J18</f>
        <v>100</v>
      </c>
      <c r="X18" s="2431"/>
      <c r="Y18" s="3487"/>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487"/>
      <c r="Q19" s="2429"/>
      <c r="R19" s="1507"/>
      <c r="S19" s="1508"/>
      <c r="T19" s="1507"/>
      <c r="U19" s="1508"/>
      <c r="V19" s="1507"/>
      <c r="W19" s="1508"/>
      <c r="X19" s="2431"/>
      <c r="Y19" s="3487"/>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487"/>
      <c r="Q20" s="1506" t="str">
        <f>B20</f>
        <v>自然及人文环境</v>
      </c>
      <c r="R20" s="1507" t="s">
        <v>8</v>
      </c>
      <c r="S20" s="1508">
        <f>F20</f>
        <v>100</v>
      </c>
      <c r="T20" s="1507" t="s">
        <v>8</v>
      </c>
      <c r="U20" s="1508">
        <f>H20</f>
        <v>100</v>
      </c>
      <c r="V20" s="1507" t="s">
        <v>8</v>
      </c>
      <c r="W20" s="1508">
        <f>J20</f>
        <v>100</v>
      </c>
      <c r="X20" s="1501"/>
      <c r="Y20" s="3487"/>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487"/>
      <c r="Q21" s="1506"/>
      <c r="R21" s="1507"/>
      <c r="S21" s="1508"/>
      <c r="T21" s="1507"/>
      <c r="U21" s="1508"/>
      <c r="V21" s="1507"/>
      <c r="W21" s="1508"/>
      <c r="X21" s="1501"/>
      <c r="Y21" s="3487"/>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87"/>
      <c r="Q22" s="1506" t="str">
        <f>B22</f>
        <v>楼层</v>
      </c>
      <c r="R22" s="1507" t="s">
        <v>8</v>
      </c>
      <c r="S22" s="1508">
        <f>F22</f>
        <v>100</v>
      </c>
      <c r="T22" s="1507" t="s">
        <v>8</v>
      </c>
      <c r="U22" s="1508">
        <f>H22</f>
        <v>100</v>
      </c>
      <c r="V22" s="1507" t="s">
        <v>8</v>
      </c>
      <c r="W22" s="1508">
        <f>J22</f>
        <v>100</v>
      </c>
      <c r="X22" s="1501"/>
      <c r="Y22" s="3487"/>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87"/>
      <c r="Q23" s="1506">
        <f>B23</f>
        <v>111</v>
      </c>
      <c r="R23" s="1507" t="s">
        <v>8</v>
      </c>
      <c r="S23" s="1508">
        <f>F23</f>
        <v>100</v>
      </c>
      <c r="T23" s="1507" t="s">
        <v>8</v>
      </c>
      <c r="U23" s="1508">
        <f>H23</f>
        <v>100</v>
      </c>
      <c r="V23" s="1507" t="s">
        <v>8</v>
      </c>
      <c r="W23" s="1508">
        <f>J23</f>
        <v>100</v>
      </c>
      <c r="X23" s="1501"/>
      <c r="Y23" s="3487"/>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87"/>
      <c r="Q24" s="1506">
        <f t="shared" ref="Q24:Q34" si="11">B24</f>
        <v>111</v>
      </c>
      <c r="R24" s="1507" t="s">
        <v>8</v>
      </c>
      <c r="S24" s="1508">
        <f>F24</f>
        <v>100</v>
      </c>
      <c r="T24" s="1507" t="s">
        <v>8</v>
      </c>
      <c r="U24" s="1508">
        <f>H24</f>
        <v>100</v>
      </c>
      <c r="V24" s="1507" t="s">
        <v>8</v>
      </c>
      <c r="W24" s="1508">
        <f>J24</f>
        <v>100</v>
      </c>
      <c r="X24" s="1501"/>
      <c r="Y24" s="3487"/>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487"/>
      <c r="Q25" s="1133">
        <f t="shared" si="11"/>
        <v>111</v>
      </c>
      <c r="R25" s="1502" t="s">
        <v>8</v>
      </c>
      <c r="S25" s="1503">
        <f>F25</f>
        <v>100</v>
      </c>
      <c r="T25" s="1502" t="s">
        <v>8</v>
      </c>
      <c r="U25" s="1503">
        <f>H25</f>
        <v>100</v>
      </c>
      <c r="V25" s="1502" t="s">
        <v>8</v>
      </c>
      <c r="W25" s="1503">
        <f>J25</f>
        <v>100</v>
      </c>
      <c r="X25" s="1504"/>
      <c r="Y25" s="3487"/>
      <c r="Z25" s="1132">
        <f>Q25</f>
        <v>111</v>
      </c>
      <c r="AA25" s="1510">
        <f>D25/F25</f>
        <v>1</v>
      </c>
      <c r="AB25" s="1510">
        <f>D25/H25</f>
        <v>1</v>
      </c>
      <c r="AC25" s="1510">
        <f>D25/J25</f>
        <v>1</v>
      </c>
    </row>
    <row r="26" spans="1:29" ht="15">
      <c r="A26" s="2624" t="s">
        <v>2735</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488"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489"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489"/>
      <c r="Q27" s="1535" t="str">
        <f t="shared" si="11"/>
        <v>成新率</v>
      </c>
      <c r="R27" s="1511" t="s">
        <v>8</v>
      </c>
      <c r="S27" s="1512" t="e">
        <f t="shared" si="12"/>
        <v>#N/A</v>
      </c>
      <c r="T27" s="1511" t="s">
        <v>8</v>
      </c>
      <c r="U27" s="1512" t="e">
        <f t="shared" si="13"/>
        <v>#N/A</v>
      </c>
      <c r="V27" s="1511" t="s">
        <v>8</v>
      </c>
      <c r="W27" s="1512" t="e">
        <f t="shared" si="14"/>
        <v>#N/A</v>
      </c>
      <c r="X27" s="1513"/>
      <c r="Y27" s="3489"/>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89"/>
      <c r="Q28" s="1506" t="str">
        <f t="shared" si="11"/>
        <v>物业等级</v>
      </c>
      <c r="R28" s="1507" t="s">
        <v>8</v>
      </c>
      <c r="S28" s="1508">
        <f t="shared" si="12"/>
        <v>100</v>
      </c>
      <c r="T28" s="1507" t="s">
        <v>8</v>
      </c>
      <c r="U28" s="1508">
        <f t="shared" si="13"/>
        <v>100</v>
      </c>
      <c r="V28" s="1507" t="s">
        <v>8</v>
      </c>
      <c r="W28" s="1508">
        <f t="shared" si="14"/>
        <v>100</v>
      </c>
      <c r="X28" s="1501"/>
      <c r="Y28" s="3489"/>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489"/>
      <c r="Q29" s="1506" t="str">
        <f t="shared" si="11"/>
        <v>有无电梯</v>
      </c>
      <c r="R29" s="1507" t="s">
        <v>8</v>
      </c>
      <c r="S29" s="1508">
        <f t="shared" si="12"/>
        <v>100</v>
      </c>
      <c r="T29" s="1507" t="s">
        <v>8</v>
      </c>
      <c r="U29" s="1508">
        <f t="shared" si="13"/>
        <v>100</v>
      </c>
      <c r="V29" s="1507" t="s">
        <v>8</v>
      </c>
      <c r="W29" s="1508">
        <f t="shared" si="14"/>
        <v>100</v>
      </c>
      <c r="X29" s="1501"/>
      <c r="Y29" s="3489"/>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489"/>
      <c r="Q30" s="1506" t="str">
        <f t="shared" si="11"/>
        <v>建筑面积</v>
      </c>
      <c r="R30" s="1507" t="s">
        <v>8</v>
      </c>
      <c r="S30" s="1508" t="e">
        <f t="shared" si="12"/>
        <v>#N/A</v>
      </c>
      <c r="T30" s="1507" t="s">
        <v>8</v>
      </c>
      <c r="U30" s="1508" t="e">
        <f t="shared" si="13"/>
        <v>#N/A</v>
      </c>
      <c r="V30" s="1507" t="s">
        <v>8</v>
      </c>
      <c r="W30" s="1508" t="e">
        <f t="shared" si="14"/>
        <v>#N/A</v>
      </c>
      <c r="X30" s="1501"/>
      <c r="Y30" s="3489"/>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489"/>
      <c r="Q31" s="1133" t="str">
        <f t="shared" si="11"/>
        <v>是否封闭</v>
      </c>
      <c r="R31" s="1502" t="s">
        <v>8</v>
      </c>
      <c r="S31" s="1503">
        <f t="shared" si="12"/>
        <v>100</v>
      </c>
      <c r="T31" s="1502" t="s">
        <v>8</v>
      </c>
      <c r="U31" s="1503">
        <f t="shared" si="13"/>
        <v>100</v>
      </c>
      <c r="V31" s="1502" t="s">
        <v>8</v>
      </c>
      <c r="W31" s="1503">
        <f t="shared" si="14"/>
        <v>100</v>
      </c>
      <c r="X31" s="1504"/>
      <c r="Y31" s="3489"/>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489" t="s">
        <v>544</v>
      </c>
      <c r="Q32" s="1506">
        <f t="shared" si="11"/>
        <v>111</v>
      </c>
      <c r="R32" s="1507" t="s">
        <v>8</v>
      </c>
      <c r="S32" s="1508">
        <f t="shared" si="12"/>
        <v>100</v>
      </c>
      <c r="T32" s="1507" t="s">
        <v>8</v>
      </c>
      <c r="U32" s="1508">
        <f t="shared" si="13"/>
        <v>100</v>
      </c>
      <c r="V32" s="1507" t="s">
        <v>8</v>
      </c>
      <c r="W32" s="1508">
        <f t="shared" si="14"/>
        <v>100</v>
      </c>
      <c r="X32" s="1501"/>
      <c r="Y32" s="3489"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489"/>
      <c r="Q33" s="1506">
        <f t="shared" si="11"/>
        <v>111</v>
      </c>
      <c r="R33" s="1507" t="s">
        <v>8</v>
      </c>
      <c r="S33" s="1508">
        <f t="shared" si="12"/>
        <v>100</v>
      </c>
      <c r="T33" s="1507" t="s">
        <v>8</v>
      </c>
      <c r="U33" s="1508">
        <f t="shared" si="13"/>
        <v>100</v>
      </c>
      <c r="V33" s="1507" t="s">
        <v>8</v>
      </c>
      <c r="W33" s="1508">
        <f t="shared" si="14"/>
        <v>100</v>
      </c>
      <c r="X33" s="1501"/>
      <c r="Y33" s="3489"/>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489"/>
      <c r="Q34" s="1506">
        <f t="shared" si="11"/>
        <v>111</v>
      </c>
      <c r="R34" s="1507" t="s">
        <v>8</v>
      </c>
      <c r="S34" s="1508">
        <f t="shared" si="12"/>
        <v>100</v>
      </c>
      <c r="T34" s="1507" t="s">
        <v>8</v>
      </c>
      <c r="U34" s="1508">
        <f t="shared" si="13"/>
        <v>100</v>
      </c>
      <c r="V34" s="1507" t="s">
        <v>8</v>
      </c>
      <c r="W34" s="1508">
        <f t="shared" si="14"/>
        <v>100</v>
      </c>
      <c r="X34" s="1501"/>
      <c r="Y34" s="3489"/>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484" t="str">
        <f>A35</f>
        <v>成交单价（元/平方米）</v>
      </c>
      <c r="Q35" s="3484"/>
      <c r="R35" s="3591">
        <f>E35</f>
        <v>0</v>
      </c>
      <c r="S35" s="3591"/>
      <c r="T35" s="3591">
        <f>G35</f>
        <v>0</v>
      </c>
      <c r="U35" s="3591"/>
      <c r="V35" s="3591">
        <f>I35</f>
        <v>0</v>
      </c>
      <c r="W35" s="3591"/>
      <c r="X35" s="1496"/>
      <c r="Y35" s="1515"/>
      <c r="Z35" s="1496"/>
      <c r="AA35" s="1496"/>
      <c r="AB35" s="1496"/>
      <c r="AC35" s="1496"/>
    </row>
    <row r="36" spans="1:29" ht="15.75" thickBot="1">
      <c r="A36" s="609" t="s">
        <v>2740</v>
      </c>
      <c r="B36" s="876"/>
      <c r="C36" s="2476" t="e">
        <f>R37</f>
        <v>#DIV/0!</v>
      </c>
      <c r="D36" s="3013" t="s">
        <v>2972</v>
      </c>
      <c r="E36" s="2477" t="e">
        <f>R36</f>
        <v>#DIV/0!</v>
      </c>
      <c r="F36" s="3014"/>
      <c r="G36" s="2476" t="e">
        <f>T36</f>
        <v>#DIV/0!</v>
      </c>
      <c r="H36" s="3014"/>
      <c r="I36" s="2477" t="e">
        <f>V36</f>
        <v>#DIV/0!</v>
      </c>
      <c r="J36" s="3014"/>
      <c r="K36" s="3022">
        <f>F36+H36+J36</f>
        <v>0</v>
      </c>
      <c r="L36" s="2026"/>
      <c r="M36" s="2027"/>
      <c r="N36" s="2016"/>
      <c r="O36" s="2027"/>
      <c r="P36" s="3484" t="str">
        <f>A36</f>
        <v>比较价格（元/平方米）</v>
      </c>
      <c r="Q36" s="3484"/>
      <c r="R36" s="3591" t="e">
        <f>IF(F1="售价",ROUND(PRODUCT(R35,AA7:AA34),0),ROUND(PRODUCT(R35,AA7:AA34),1))</f>
        <v>#DIV/0!</v>
      </c>
      <c r="S36" s="3591"/>
      <c r="T36" s="3591" t="e">
        <f>IF(F1="售价",ROUND(PRODUCT(T35,AB7:AB34),0),ROUND(PRODUCT(T35,AB7:AB34),1))</f>
        <v>#DIV/0!</v>
      </c>
      <c r="U36" s="3591"/>
      <c r="V36" s="3591" t="e">
        <f>IF(F1="售价",ROUND(PRODUCT(V35,AC7:AC34),0),ROUND(PRODUCT(V35,AC7:AC34),1))</f>
        <v>#DIV/0!</v>
      </c>
      <c r="W36" s="3591"/>
      <c r="X36" s="1496"/>
      <c r="Y36" s="1496"/>
      <c r="Z36" s="1496"/>
      <c r="AA36" s="1496"/>
      <c r="AB36" s="1496"/>
      <c r="AC36" s="1496"/>
    </row>
    <row r="37" spans="1:29" ht="15.75" thickBot="1">
      <c r="A37" s="613" t="s">
        <v>2903</v>
      </c>
      <c r="B37" s="614"/>
      <c r="C37" s="2478" t="e">
        <f>R37</f>
        <v>#DIV/0!</v>
      </c>
      <c r="D37" s="2478"/>
      <c r="E37" s="2478"/>
      <c r="F37" s="2478"/>
      <c r="G37" s="2478"/>
      <c r="H37" s="2478"/>
      <c r="I37" s="2478"/>
      <c r="J37" s="2478"/>
      <c r="K37" s="1541"/>
      <c r="L37" s="2026"/>
      <c r="M37" s="2027"/>
      <c r="N37" s="2027"/>
      <c r="O37" s="2027"/>
      <c r="P37" s="3505" t="str">
        <f>A37</f>
        <v>估价对象XX用房的比较价格（楼面单价，元/平方米）</v>
      </c>
      <c r="Q37" s="3506"/>
      <c r="R37" s="3590" t="e">
        <f>IF(F1="售价",ROUND(IF(D36="简单平均",AVERAGE(R36:W36),R36*F36+T36*H36+V36*J36),0),ROUND(IF(D36="简单平均",AVERAGE(R36:V36),R36*F36+T36*H36+V36*J36),1))</f>
        <v>#DIV/0!</v>
      </c>
      <c r="S37" s="3590"/>
      <c r="T37" s="3590"/>
      <c r="U37" s="3590"/>
      <c r="V37" s="3590"/>
      <c r="W37" s="3590"/>
      <c r="X37" s="1496"/>
      <c r="Y37" s="1496"/>
      <c r="Z37" s="1496"/>
      <c r="AA37" s="1496"/>
      <c r="AB37" s="1496"/>
      <c r="AC37" s="1496"/>
    </row>
    <row r="38" spans="1:29">
      <c r="A38" s="3213"/>
      <c r="B38" s="3213"/>
      <c r="C38" s="3213"/>
      <c r="D38" s="3213"/>
      <c r="E38" s="3213"/>
      <c r="F38" s="3213"/>
      <c r="G38" s="3215"/>
      <c r="H38" s="3213"/>
      <c r="I38" s="3213"/>
      <c r="J38" s="3213"/>
      <c r="K38" s="3216"/>
      <c r="L38" s="2031"/>
      <c r="M38" s="2027"/>
      <c r="N38" s="2027"/>
      <c r="O38" s="2027"/>
      <c r="P38" s="2027"/>
      <c r="Q38" s="2027"/>
      <c r="R38" s="2027"/>
      <c r="S38" s="2027"/>
      <c r="T38" s="2027"/>
      <c r="U38" s="2027"/>
      <c r="V38" s="2027"/>
      <c r="W38" s="2027"/>
      <c r="X38" s="2027"/>
      <c r="Y38" s="2027"/>
      <c r="Z38" s="2027"/>
      <c r="AA38" s="2027"/>
      <c r="AB38" s="2027"/>
      <c r="AC38" s="2027"/>
    </row>
    <row r="39" spans="1:29">
      <c r="A39" s="3213"/>
      <c r="B39" s="3213"/>
      <c r="C39" s="3213"/>
      <c r="D39" s="3213"/>
      <c r="E39" s="3213"/>
      <c r="F39" s="3213"/>
      <c r="G39" s="3213"/>
      <c r="H39" s="3213"/>
      <c r="I39" s="3213"/>
      <c r="J39" s="3213"/>
      <c r="K39" s="3216"/>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2021-7</v>
      </c>
      <c r="D46" s="2521">
        <f>EDATE(C46,-1)</f>
        <v>44348</v>
      </c>
      <c r="E46" s="2521">
        <f t="shared" ref="E46:O46" si="16">EDATE(D46,-1)</f>
        <v>44317</v>
      </c>
      <c r="F46" s="2521">
        <f t="shared" si="16"/>
        <v>44287</v>
      </c>
      <c r="G46" s="2521">
        <f t="shared" si="16"/>
        <v>44256</v>
      </c>
      <c r="H46" s="2521">
        <f t="shared" si="16"/>
        <v>44228</v>
      </c>
      <c r="I46" s="2521">
        <f t="shared" si="16"/>
        <v>44197</v>
      </c>
      <c r="J46" s="2521">
        <f t="shared" si="16"/>
        <v>44166</v>
      </c>
      <c r="K46" s="2521">
        <f t="shared" si="16"/>
        <v>44136</v>
      </c>
      <c r="L46" s="2521">
        <f t="shared" si="16"/>
        <v>44105</v>
      </c>
      <c r="M46" s="2521">
        <f t="shared" si="16"/>
        <v>44075</v>
      </c>
      <c r="N46" s="2521">
        <f t="shared" si="16"/>
        <v>44044</v>
      </c>
      <c r="O46" s="2521">
        <f t="shared" si="16"/>
        <v>44013</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2291</v>
      </c>
      <c r="C1" s="3600" t="s">
        <v>2292</v>
      </c>
      <c r="D1" s="3601"/>
      <c r="E1" s="3601"/>
      <c r="F1" s="3601"/>
      <c r="G1" s="3601"/>
      <c r="H1" s="3601"/>
      <c r="I1" s="3601"/>
      <c r="J1" s="3601"/>
      <c r="K1" s="3601"/>
      <c r="L1" s="3601"/>
      <c r="M1" s="3601"/>
      <c r="N1" s="3601"/>
      <c r="O1" s="3601"/>
      <c r="P1" s="3601"/>
      <c r="Q1" s="3601"/>
      <c r="R1" s="3601"/>
      <c r="S1" s="3602"/>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9"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6"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8" t="s">
        <v>2895</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8" t="s">
        <v>2894</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7"/>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6"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6"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6"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597" t="s">
        <v>20</v>
      </c>
      <c r="D22" s="3598"/>
      <c r="E22" s="3598"/>
      <c r="F22" s="3598"/>
      <c r="G22" s="3598"/>
      <c r="H22" s="3598"/>
      <c r="I22" s="3598"/>
      <c r="J22" s="3598"/>
      <c r="K22" s="3598"/>
      <c r="L22" s="3598"/>
      <c r="M22" s="3598"/>
      <c r="N22" s="3598"/>
      <c r="O22" s="3598"/>
      <c r="P22" s="3598"/>
      <c r="Q22" s="3599"/>
      <c r="R22" s="484" t="e">
        <f>ROUND(S22*10000/B22,0)</f>
        <v>#DIV/0!</v>
      </c>
      <c r="S22" s="53">
        <f>SUM(S24:S10000)</f>
        <v>0</v>
      </c>
    </row>
    <row r="23" spans="1:45" s="1542" customFormat="1" ht="24">
      <c r="A23" s="17" t="s">
        <v>824</v>
      </c>
      <c r="B23" s="2860"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45034平方米。根据《建设工程规划许可证》[]、《出让合同》[]，估价对象规划建筑面积为88976平方米。</v>
      </c>
    </row>
    <row r="7" spans="1:4" ht="93.75">
      <c r="A7" s="2590" t="s">
        <v>2728</v>
      </c>
    </row>
    <row r="8" spans="1:4" ht="18.75">
      <c r="A8" s="1709" t="s">
        <v>1897</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2021年7月8日（评估专业人员勘察现场之日）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根据《国有土地使用证》[]，估价对象（分摊）出让国有建设用地使用权面积为45034平方米。根据《建设工程规划许可证》[]、《出让合同》[]，估价对象规划建筑面积为88976平方米。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2729</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7月8日，在规划利用条件下、设定土地开发程度为红线外“七通”、宗地内场地，设定用途为，剩余土地使用年限为的出让国有建设用地使用权价格。</v>
      </c>
    </row>
    <row r="26" spans="1:1" ht="56.25">
      <c r="A26" s="1706"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5" customFormat="1" ht="14.25" thickBot="1">
      <c r="A1" s="2714"/>
      <c r="B1" s="2716" t="s">
        <v>2767</v>
      </c>
      <c r="C1" s="2720">
        <f>项目基本情况!D3</f>
        <v>44385</v>
      </c>
      <c r="H1" s="2655">
        <f>IF(C1&gt;C13,0,MATCH(C1,C$13:C$105,-1))+IF(SUMIF(C13:C105,C1,D13:D105)=0,13,12)</f>
        <v>13</v>
      </c>
      <c r="I1" s="2655">
        <f>MATCH(C2,H3:H7,1)+IF(SUMIF(H3:H7,C2,I3:I7)=0,2,1)</f>
        <v>5</v>
      </c>
      <c r="J1" s="2713">
        <f ca="1">MATCH(C3,H3:H7,1)+IF(SUMIF(H3:H7,C3,J3:J7)=0,2,1)</f>
        <v>2</v>
      </c>
      <c r="N1" s="2655">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7"/>
      <c r="B2" s="2717" t="s">
        <v>2798</v>
      </c>
      <c r="C2" s="2721">
        <f>'数据-取费表'!B22</f>
        <v>1.5</v>
      </c>
      <c r="D2" s="2716" t="s">
        <v>2768</v>
      </c>
      <c r="E2" s="2719">
        <f ca="1">INDIRECT("I"&amp;$I$1)/100</f>
        <v>3.85E-2</v>
      </c>
      <c r="G2" s="2657"/>
      <c r="H2" s="2657"/>
      <c r="I2" s="2657" t="s">
        <v>2769</v>
      </c>
      <c r="K2" s="2657"/>
      <c r="L2" s="2657"/>
      <c r="M2" s="2657"/>
      <c r="N2" s="2657" t="s">
        <v>2770</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2" customFormat="1">
      <c r="A3" s="2658"/>
      <c r="B3" s="2716" t="s">
        <v>2800</v>
      </c>
      <c r="C3" s="2718">
        <f>'数据-取费表'!B19</f>
        <v>0</v>
      </c>
      <c r="D3" s="2716" t="s">
        <v>2768</v>
      </c>
      <c r="E3" s="2719">
        <f ca="1">INDIRECT("J"&amp;$J$1)/100</f>
        <v>0</v>
      </c>
      <c r="G3" s="2659" t="s">
        <v>2771</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2" customFormat="1">
      <c r="A4" s="2658"/>
      <c r="B4" s="2716" t="s">
        <v>2799</v>
      </c>
      <c r="C4" s="2719">
        <f ca="1">N4/100</f>
        <v>1.4999999999999999E-2</v>
      </c>
      <c r="G4" s="2665" t="s">
        <v>2772</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2" customFormat="1">
      <c r="A5" s="2658"/>
      <c r="G5" s="2665" t="s">
        <v>2773</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2" customFormat="1">
      <c r="A6" s="2658"/>
      <c r="G6" s="2665" t="s">
        <v>2774</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2" customFormat="1" ht="14.25" thickBot="1">
      <c r="A7" s="2658"/>
      <c r="G7" s="2670" t="s">
        <v>2775</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2776</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2777</v>
      </c>
      <c r="C10" s="2684"/>
      <c r="D10" s="2684"/>
      <c r="E10" s="2684"/>
      <c r="F10" s="2684"/>
      <c r="G10" s="2684"/>
      <c r="H10" s="2684"/>
      <c r="I10" s="2658"/>
      <c r="J10" s="2658"/>
      <c r="K10" s="2684"/>
      <c r="L10" s="2685" t="s">
        <v>2778</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2779</v>
      </c>
      <c r="C11" s="2689" t="s">
        <v>2780</v>
      </c>
      <c r="D11" s="2690" t="s">
        <v>2781</v>
      </c>
      <c r="E11" s="2691"/>
      <c r="F11" s="2690" t="s">
        <v>2782</v>
      </c>
      <c r="G11" s="2692"/>
      <c r="H11" s="2691"/>
      <c r="I11" s="2690" t="s">
        <v>2783</v>
      </c>
      <c r="J11" s="2691"/>
      <c r="K11" s="2687"/>
      <c r="L11" s="2688" t="s">
        <v>2779</v>
      </c>
      <c r="M11" s="2689" t="s">
        <v>2780</v>
      </c>
      <c r="N11" s="2688" t="s">
        <v>2784</v>
      </c>
      <c r="O11" s="2690" t="s">
        <v>2785</v>
      </c>
      <c r="P11" s="2692"/>
      <c r="Q11" s="2692"/>
      <c r="R11" s="2692"/>
      <c r="S11" s="2692"/>
      <c r="T11" s="2691"/>
      <c r="U11" s="2690" t="s">
        <v>2786</v>
      </c>
      <c r="V11" s="2692"/>
      <c r="W11" s="2691"/>
      <c r="X11" s="2688" t="s">
        <v>2787</v>
      </c>
      <c r="Y11" s="2688" t="s">
        <v>2788</v>
      </c>
      <c r="Z11" s="2688" t="s">
        <v>2789</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2790</v>
      </c>
      <c r="E12" s="2697" t="s">
        <v>2791</v>
      </c>
      <c r="F12" s="2697" t="s">
        <v>2792</v>
      </c>
      <c r="G12" s="2697" t="s">
        <v>2793</v>
      </c>
      <c r="H12" s="2697" t="s">
        <v>2775</v>
      </c>
      <c r="I12" s="2698" t="s">
        <v>2794</v>
      </c>
      <c r="J12" s="2698" t="s">
        <v>2794</v>
      </c>
      <c r="K12" s="2694"/>
      <c r="L12" s="2695"/>
      <c r="M12" s="2696"/>
      <c r="N12" s="2695"/>
      <c r="O12" s="2698" t="s">
        <v>2795</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2796</v>
      </c>
      <c r="C13" s="2702">
        <v>43941</v>
      </c>
      <c r="D13" s="2703">
        <v>3.85</v>
      </c>
      <c r="E13" s="2703">
        <v>3.85</v>
      </c>
      <c r="F13" s="2703">
        <v>3.85</v>
      </c>
      <c r="G13" s="2703">
        <v>3.85</v>
      </c>
      <c r="H13" s="2703">
        <v>4.6500000000000004</v>
      </c>
      <c r="I13" s="2703"/>
      <c r="J13" s="2703"/>
      <c r="K13" s="2700"/>
      <c r="L13" s="2701" t="s">
        <v>2796</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56" ht="14.25">
      <c r="A17" s="2700"/>
      <c r="B17" s="2701" t="s">
        <v>3002</v>
      </c>
      <c r="C17" s="2709">
        <v>43697</v>
      </c>
      <c r="D17" s="3277">
        <v>4.25</v>
      </c>
      <c r="E17" s="3277">
        <v>4.25</v>
      </c>
      <c r="F17" s="3277">
        <v>4.25</v>
      </c>
      <c r="G17" s="3277">
        <v>4.25</v>
      </c>
      <c r="H17" s="3277">
        <v>4.8499999999999996</v>
      </c>
      <c r="I17" s="3277"/>
      <c r="J17" s="327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56" s="3285" customFormat="1" ht="15">
      <c r="A18" s="3280"/>
      <c r="B18" s="3281"/>
      <c r="C18" s="3282">
        <v>42301</v>
      </c>
      <c r="D18" s="3283">
        <v>4.3499999999999996</v>
      </c>
      <c r="E18" s="3283">
        <v>4.3499999999999996</v>
      </c>
      <c r="F18" s="3283">
        <v>4.75</v>
      </c>
      <c r="G18" s="3283">
        <v>4.75</v>
      </c>
      <c r="H18" s="3283">
        <v>4.9000000000000004</v>
      </c>
      <c r="I18" s="3283"/>
      <c r="J18" s="3283"/>
      <c r="K18" s="2694"/>
      <c r="L18" s="3283"/>
      <c r="M18" s="3282">
        <v>41965</v>
      </c>
      <c r="N18" s="3283">
        <v>0.35</v>
      </c>
      <c r="O18" s="3283">
        <v>2.35</v>
      </c>
      <c r="P18" s="3283">
        <v>2.5499999999999998</v>
      </c>
      <c r="Q18" s="3283">
        <v>2.75</v>
      </c>
      <c r="R18" s="3283">
        <v>3.35</v>
      </c>
      <c r="S18" s="3283">
        <v>4</v>
      </c>
      <c r="T18" s="3283">
        <v>4.75</v>
      </c>
      <c r="U18" s="3284">
        <v>2.35</v>
      </c>
      <c r="V18" s="3284">
        <v>2.5499999999999998</v>
      </c>
      <c r="W18" s="3284">
        <v>2.75</v>
      </c>
      <c r="X18" s="3283"/>
      <c r="Y18" s="3284">
        <v>0.8</v>
      </c>
      <c r="Z18" s="3284">
        <v>1.35</v>
      </c>
      <c r="AA18" s="2699"/>
      <c r="AB18" s="2699"/>
      <c r="AC18" s="2699"/>
      <c r="AD18" s="2699"/>
      <c r="AE18" s="2699"/>
      <c r="AF18" s="2699"/>
      <c r="AG18" s="2699"/>
      <c r="AH18" s="2699"/>
      <c r="AI18" s="2699"/>
      <c r="AJ18" s="2699"/>
      <c r="AK18" s="2699"/>
      <c r="AL18" s="2699"/>
      <c r="AM18" s="2699"/>
      <c r="AN18" s="2699"/>
      <c r="AO18" s="2699"/>
      <c r="AP18" s="2699"/>
      <c r="AQ18" s="2699"/>
      <c r="AR18" s="2699"/>
      <c r="AS18" s="2699"/>
      <c r="AT18" s="2699"/>
      <c r="AU18" s="2699"/>
      <c r="AV18" s="2699"/>
      <c r="AW18" s="2699"/>
      <c r="AX18" s="2699"/>
      <c r="AY18" s="2699"/>
      <c r="AZ18" s="2699"/>
      <c r="BA18" s="2699"/>
      <c r="BB18" s="2699"/>
      <c r="BC18" s="2699"/>
      <c r="BD18" s="2699"/>
      <c r="BE18" s="2699"/>
      <c r="BF18" s="2699"/>
      <c r="BG18" s="2699"/>
      <c r="BH18" s="2699"/>
      <c r="BI18" s="2699"/>
      <c r="BJ18" s="2699"/>
      <c r="BK18" s="2699"/>
      <c r="BL18" s="2699"/>
      <c r="BM18" s="2699"/>
      <c r="BN18" s="2699"/>
      <c r="BO18" s="2699"/>
      <c r="BP18" s="2699"/>
      <c r="BQ18" s="2699"/>
      <c r="BR18" s="2699"/>
      <c r="BS18" s="2699"/>
      <c r="BT18" s="2699"/>
      <c r="BU18" s="2699"/>
      <c r="BV18" s="2699"/>
      <c r="BW18" s="2699"/>
      <c r="BX18" s="2699"/>
      <c r="BY18" s="2699"/>
      <c r="BZ18" s="2699"/>
      <c r="CA18" s="2699"/>
      <c r="CB18" s="2699"/>
      <c r="CC18" s="2699"/>
      <c r="CD18" s="2699"/>
      <c r="CE18" s="2699"/>
      <c r="CF18" s="2699"/>
      <c r="CG18" s="2699"/>
      <c r="CH18" s="2699"/>
      <c r="CI18" s="2699"/>
      <c r="CJ18" s="2699"/>
      <c r="CK18" s="2699"/>
      <c r="CL18" s="2699"/>
      <c r="CM18" s="2699"/>
      <c r="CN18" s="2699"/>
      <c r="CO18" s="2699"/>
      <c r="CP18" s="2699"/>
      <c r="CQ18" s="2699"/>
      <c r="CR18" s="2699"/>
      <c r="CS18" s="2699"/>
      <c r="CT18" s="2699"/>
      <c r="CU18" s="2699"/>
      <c r="CV18" s="2699"/>
      <c r="CW18" s="2699"/>
      <c r="CX18" s="2699"/>
      <c r="CY18" s="2699"/>
      <c r="CZ18" s="2699"/>
      <c r="DA18" s="2699"/>
      <c r="DB18" s="2699"/>
      <c r="DC18" s="2699"/>
      <c r="DD18" s="2699"/>
      <c r="DE18" s="2699"/>
      <c r="DF18" s="2699"/>
      <c r="DG18" s="2699"/>
      <c r="DH18" s="2699"/>
      <c r="DI18" s="2699"/>
      <c r="DJ18" s="2699"/>
      <c r="DK18" s="2699"/>
      <c r="DL18" s="2699"/>
      <c r="DM18" s="2699"/>
      <c r="DN18" s="2699"/>
      <c r="DO18" s="2699"/>
      <c r="DP18" s="2699"/>
      <c r="DQ18" s="2699"/>
      <c r="DR18" s="2699"/>
      <c r="DS18" s="2699"/>
      <c r="DT18" s="2699"/>
      <c r="DU18" s="2699"/>
      <c r="DV18" s="2699"/>
      <c r="DW18" s="2699"/>
      <c r="DX18" s="2699"/>
      <c r="DY18" s="2699"/>
      <c r="DZ18" s="2699"/>
      <c r="EA18" s="2699"/>
      <c r="EB18" s="2699"/>
      <c r="EC18" s="2699"/>
      <c r="ED18" s="2699"/>
      <c r="EE18" s="2699"/>
      <c r="EF18" s="2699"/>
      <c r="EG18" s="2699"/>
      <c r="EH18" s="2699"/>
      <c r="EI18" s="2699"/>
      <c r="EJ18" s="2699"/>
      <c r="EK18" s="2699"/>
      <c r="EL18" s="2699"/>
      <c r="EM18" s="2699"/>
      <c r="EN18" s="2699"/>
      <c r="EO18" s="2699"/>
      <c r="EP18" s="2699"/>
      <c r="EQ18" s="2699"/>
      <c r="ER18" s="2699"/>
      <c r="ES18" s="2699"/>
      <c r="ET18" s="2699"/>
      <c r="EU18" s="2699"/>
      <c r="EV18" s="2699"/>
      <c r="EW18" s="2699"/>
      <c r="EX18" s="2699"/>
      <c r="EY18" s="2699"/>
      <c r="EZ18" s="2699"/>
      <c r="FA18" s="2699"/>
      <c r="FB18" s="2699"/>
      <c r="FC18" s="2699"/>
      <c r="FD18" s="2699"/>
      <c r="FE18" s="2699"/>
      <c r="FF18" s="2699"/>
      <c r="FG18" s="2699"/>
      <c r="FH18" s="2699"/>
      <c r="FI18" s="2699"/>
      <c r="FJ18" s="2699"/>
      <c r="FK18" s="2699"/>
      <c r="FL18" s="2699"/>
      <c r="FM18" s="2699"/>
      <c r="FN18" s="2699"/>
      <c r="FO18" s="2699"/>
      <c r="FP18" s="2699"/>
      <c r="FQ18" s="2699"/>
      <c r="FR18" s="2699"/>
      <c r="FS18" s="2699"/>
      <c r="FT18" s="2699"/>
      <c r="FU18" s="2699"/>
      <c r="FV18" s="2699"/>
      <c r="FW18" s="2699"/>
      <c r="FX18" s="2699"/>
      <c r="FY18" s="2699"/>
      <c r="FZ18" s="2699"/>
      <c r="GA18" s="2699"/>
      <c r="GB18" s="2699"/>
      <c r="GC18" s="2699"/>
      <c r="GD18" s="2699"/>
      <c r="GE18" s="2699"/>
      <c r="GF18" s="2699"/>
      <c r="GG18" s="2699"/>
      <c r="GH18" s="2699"/>
      <c r="GI18" s="2699"/>
      <c r="GJ18" s="2699"/>
      <c r="GK18" s="2699"/>
      <c r="GL18" s="2699"/>
      <c r="GM18" s="2699"/>
      <c r="GN18" s="2699"/>
      <c r="GO18" s="2699"/>
      <c r="GP18" s="2699"/>
      <c r="GQ18" s="2699"/>
      <c r="GR18" s="2699"/>
      <c r="GS18" s="2699"/>
      <c r="GT18" s="2699"/>
      <c r="GU18" s="2699"/>
      <c r="GV18" s="2699"/>
      <c r="GW18" s="2699"/>
      <c r="GX18" s="2699"/>
      <c r="GY18" s="2699"/>
      <c r="GZ18" s="2699"/>
      <c r="HA18" s="2699"/>
      <c r="HB18" s="2699"/>
      <c r="HC18" s="2699"/>
      <c r="HD18" s="2699"/>
      <c r="HE18" s="2699"/>
      <c r="HF18" s="2699"/>
      <c r="HG18" s="2699"/>
      <c r="HH18" s="2699"/>
      <c r="HI18" s="2699"/>
      <c r="HJ18" s="2699"/>
      <c r="HK18" s="2699"/>
      <c r="HL18" s="2699"/>
      <c r="HM18" s="2699"/>
      <c r="HN18" s="2699"/>
      <c r="HO18" s="2699"/>
      <c r="HP18" s="2699"/>
      <c r="HQ18" s="2699"/>
      <c r="HR18" s="2699"/>
      <c r="HS18" s="2699"/>
      <c r="HT18" s="2699"/>
      <c r="HU18" s="2699"/>
      <c r="HV18" s="2699"/>
      <c r="HW18" s="2699"/>
      <c r="HX18" s="2699"/>
      <c r="HY18" s="2699"/>
      <c r="HZ18" s="2699"/>
      <c r="IA18" s="2699"/>
      <c r="IB18" s="2699"/>
      <c r="IC18" s="2699"/>
      <c r="ID18" s="2699"/>
      <c r="IE18" s="2699"/>
      <c r="IF18" s="2699"/>
      <c r="IG18" s="2699"/>
      <c r="IH18" s="2699"/>
      <c r="II18" s="2699"/>
      <c r="IJ18" s="2699"/>
      <c r="IK18" s="2699"/>
      <c r="IL18" s="2699"/>
      <c r="IM18" s="2699"/>
      <c r="IN18" s="2699"/>
      <c r="IO18" s="2699"/>
      <c r="IP18" s="2699"/>
      <c r="IQ18" s="2699"/>
      <c r="IR18" s="2699"/>
      <c r="IS18" s="2699"/>
      <c r="IT18" s="2699"/>
      <c r="IU18" s="2699"/>
      <c r="IV18" s="2699"/>
    </row>
    <row r="19" spans="1:256">
      <c r="B19" s="2707"/>
      <c r="C19" s="2708">
        <v>42242</v>
      </c>
      <c r="D19" s="2707">
        <v>4.5999999999999996</v>
      </c>
      <c r="E19" s="2707">
        <v>4.5999999999999996</v>
      </c>
      <c r="F19" s="2707">
        <v>5</v>
      </c>
      <c r="G19" s="2707">
        <v>5</v>
      </c>
      <c r="H19" s="2707">
        <v>5.15</v>
      </c>
      <c r="I19" s="2707">
        <v>2.75</v>
      </c>
      <c r="J19" s="2707">
        <v>3.25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56">
      <c r="B20" s="2707"/>
      <c r="C20" s="2708">
        <v>42183</v>
      </c>
      <c r="D20" s="2707">
        <v>4.8499999999999996</v>
      </c>
      <c r="E20" s="2707">
        <v>4.8499999999999996</v>
      </c>
      <c r="F20" s="2707">
        <v>5.25</v>
      </c>
      <c r="G20" s="2707">
        <v>5.25</v>
      </c>
      <c r="H20" s="2707">
        <v>5.4</v>
      </c>
      <c r="I20" s="2707">
        <v>3</v>
      </c>
      <c r="J20" s="2707">
        <v>3.5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56">
      <c r="B21" s="2707"/>
      <c r="C21" s="2708">
        <v>42135</v>
      </c>
      <c r="D21" s="2707">
        <v>5.0999999999999996</v>
      </c>
      <c r="E21" s="2707">
        <v>5.0999999999999996</v>
      </c>
      <c r="F21" s="2707">
        <v>5.5</v>
      </c>
      <c r="G21" s="2707">
        <v>5.5</v>
      </c>
      <c r="H21" s="2707">
        <v>5.65</v>
      </c>
      <c r="I21" s="2707">
        <v>3.25</v>
      </c>
      <c r="J21" s="2707">
        <v>3.75</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56">
      <c r="B22" s="2707"/>
      <c r="C22" s="2708">
        <v>42064</v>
      </c>
      <c r="D22" s="2707">
        <v>5.35</v>
      </c>
      <c r="E22" s="2707">
        <v>5.35</v>
      </c>
      <c r="F22" s="2707">
        <v>5.75</v>
      </c>
      <c r="G22" s="2707">
        <v>5.75</v>
      </c>
      <c r="H22" s="2707">
        <v>5.9</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56">
      <c r="B23" s="2707"/>
      <c r="C23" s="2708">
        <v>41965</v>
      </c>
      <c r="D23" s="2707">
        <v>5.6</v>
      </c>
      <c r="E23" s="2707">
        <v>5.6</v>
      </c>
      <c r="F23" s="2707">
        <v>6</v>
      </c>
      <c r="G23" s="2707">
        <v>6</v>
      </c>
      <c r="H23" s="2707">
        <v>6.15</v>
      </c>
      <c r="I23" s="2707"/>
      <c r="J23" s="2707"/>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56">
      <c r="B24" s="2707"/>
      <c r="C24" s="2708">
        <v>41096</v>
      </c>
      <c r="D24" s="2707">
        <v>5.6</v>
      </c>
      <c r="E24" s="2707">
        <v>6</v>
      </c>
      <c r="F24" s="2707">
        <v>6.15</v>
      </c>
      <c r="G24" s="2707">
        <v>6.4</v>
      </c>
      <c r="H24" s="2707">
        <v>6.55</v>
      </c>
      <c r="I24" s="2707">
        <v>4</v>
      </c>
      <c r="J24" s="2707">
        <v>4.5</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56">
      <c r="B25" s="2707"/>
      <c r="C25" s="2708">
        <v>41068</v>
      </c>
      <c r="D25" s="2707">
        <v>5.85</v>
      </c>
      <c r="E25" s="2707">
        <v>6.31</v>
      </c>
      <c r="F25" s="2707">
        <v>6.4</v>
      </c>
      <c r="G25" s="2707">
        <v>6.65</v>
      </c>
      <c r="H25" s="2707">
        <v>6.8</v>
      </c>
      <c r="I25" s="2707">
        <v>4.2</v>
      </c>
      <c r="J25" s="2707">
        <v>4.7</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56">
      <c r="B26" s="2707"/>
      <c r="C26" s="2708">
        <v>40731</v>
      </c>
      <c r="D26" s="2707">
        <v>6.1</v>
      </c>
      <c r="E26" s="2707">
        <v>6.56</v>
      </c>
      <c r="F26" s="2707">
        <v>6.65</v>
      </c>
      <c r="G26" s="2707">
        <v>6.9</v>
      </c>
      <c r="H26" s="2707">
        <v>7.05</v>
      </c>
      <c r="I26" s="2707">
        <v>4.45</v>
      </c>
      <c r="J26" s="2707">
        <v>4.9000000000000004</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56">
      <c r="B27" s="2707"/>
      <c r="C27" s="2708">
        <v>40639</v>
      </c>
      <c r="D27" s="2707">
        <v>5.85</v>
      </c>
      <c r="E27" s="2707">
        <v>6.31</v>
      </c>
      <c r="F27" s="2707">
        <v>6.4</v>
      </c>
      <c r="G27" s="2707">
        <v>6.65</v>
      </c>
      <c r="H27" s="2707">
        <v>6.8</v>
      </c>
      <c r="I27" s="2707">
        <v>4.2</v>
      </c>
      <c r="J27" s="2707">
        <v>4.7</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56">
      <c r="B28" s="2707"/>
      <c r="C28" s="2708">
        <v>40583</v>
      </c>
      <c r="D28" s="2707">
        <v>5.6</v>
      </c>
      <c r="E28" s="2707">
        <v>6.06</v>
      </c>
      <c r="F28" s="2707">
        <v>6.1</v>
      </c>
      <c r="G28" s="2707">
        <v>6.45</v>
      </c>
      <c r="H28" s="2707">
        <v>6.6</v>
      </c>
      <c r="I28" s="2707">
        <v>4</v>
      </c>
      <c r="J28" s="2707">
        <v>4.5</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56">
      <c r="B29" s="2707"/>
      <c r="C29" s="2708">
        <v>40538</v>
      </c>
      <c r="D29" s="2707">
        <v>5.35</v>
      </c>
      <c r="E29" s="2707">
        <v>5.81</v>
      </c>
      <c r="F29" s="2707">
        <v>5.85</v>
      </c>
      <c r="G29" s="2707">
        <v>6.22</v>
      </c>
      <c r="H29" s="2707">
        <v>6.4</v>
      </c>
      <c r="I29" s="2707">
        <v>3.75</v>
      </c>
      <c r="J29" s="2707">
        <v>4.3</v>
      </c>
      <c r="L29" s="2707"/>
      <c r="M29" s="2709">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56">
      <c r="B30" s="2707"/>
      <c r="C30" s="2708">
        <v>40471</v>
      </c>
      <c r="D30" s="2707">
        <v>5.0999999999999996</v>
      </c>
      <c r="E30" s="2707">
        <v>5.56</v>
      </c>
      <c r="F30" s="2707">
        <v>5.6</v>
      </c>
      <c r="G30" s="2707">
        <v>5.96</v>
      </c>
      <c r="H30" s="2707">
        <v>6.14</v>
      </c>
      <c r="I30" s="2707">
        <v>3.5</v>
      </c>
      <c r="J30" s="2707">
        <v>4.05</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56">
      <c r="B31" s="2707"/>
      <c r="C31" s="2708">
        <v>39805</v>
      </c>
      <c r="D31" s="2707">
        <v>4.8600000000000003</v>
      </c>
      <c r="E31" s="2707">
        <v>5.31</v>
      </c>
      <c r="F31" s="2707">
        <v>5.4</v>
      </c>
      <c r="G31" s="2707">
        <v>5.76</v>
      </c>
      <c r="H31" s="2707">
        <v>5.94</v>
      </c>
      <c r="I31" s="2707">
        <v>3.33</v>
      </c>
      <c r="J31" s="2707">
        <v>3.87</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56">
      <c r="B32" s="2707"/>
      <c r="C32" s="2708">
        <v>39779</v>
      </c>
      <c r="D32" s="2707">
        <v>5.04</v>
      </c>
      <c r="E32" s="2707">
        <v>5.58</v>
      </c>
      <c r="F32" s="2707">
        <v>5.67</v>
      </c>
      <c r="G32" s="2707">
        <v>5.94</v>
      </c>
      <c r="H32" s="2707">
        <v>6.12</v>
      </c>
      <c r="I32" s="2707">
        <v>3.51</v>
      </c>
      <c r="J32" s="2707">
        <v>4.05</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39751</v>
      </c>
      <c r="D33" s="2707">
        <v>6.03</v>
      </c>
      <c r="E33" s="2707">
        <v>6.66</v>
      </c>
      <c r="F33" s="2707">
        <v>6.75</v>
      </c>
      <c r="G33" s="2707">
        <v>7.02</v>
      </c>
      <c r="H33" s="2707">
        <v>7.2</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9">
        <v>39748</v>
      </c>
      <c r="D34" s="2707">
        <v>6.12</v>
      </c>
      <c r="E34" s="2707">
        <v>6.93</v>
      </c>
      <c r="F34" s="2707">
        <v>7.02</v>
      </c>
      <c r="G34" s="2707">
        <v>7.29</v>
      </c>
      <c r="H34" s="2707">
        <v>7.47</v>
      </c>
      <c r="I34" s="2707">
        <v>4.05</v>
      </c>
      <c r="J34" s="2707">
        <v>4.59</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39730</v>
      </c>
      <c r="D35" s="2707">
        <v>6.12</v>
      </c>
      <c r="E35" s="2707">
        <v>6.93</v>
      </c>
      <c r="F35" s="2707">
        <v>7.02</v>
      </c>
      <c r="G35" s="2707">
        <v>7.29</v>
      </c>
      <c r="H35" s="2707">
        <v>7.47</v>
      </c>
      <c r="I35" s="2707">
        <v>4.32</v>
      </c>
      <c r="J35" s="2707">
        <v>4.8600000000000003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39707</v>
      </c>
      <c r="D36" s="2707">
        <v>6.21</v>
      </c>
      <c r="E36" s="2707">
        <v>7.2</v>
      </c>
      <c r="F36" s="2707">
        <v>7.29</v>
      </c>
      <c r="G36" s="2707">
        <v>7.56</v>
      </c>
      <c r="H36" s="2707">
        <v>7.74</v>
      </c>
      <c r="I36" s="2707">
        <v>4.59</v>
      </c>
      <c r="J36" s="2707">
        <v>5.13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39437</v>
      </c>
      <c r="D37" s="2707">
        <v>6.57</v>
      </c>
      <c r="E37" s="2707">
        <v>7.47</v>
      </c>
      <c r="F37" s="2707">
        <v>7.56</v>
      </c>
      <c r="G37" s="2707">
        <v>7.74</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39340</v>
      </c>
      <c r="D38" s="2707">
        <v>6.48</v>
      </c>
      <c r="E38" s="2707">
        <v>7.29</v>
      </c>
      <c r="F38" s="2707">
        <v>7.47</v>
      </c>
      <c r="G38" s="2707">
        <v>7.65</v>
      </c>
      <c r="H38" s="2707">
        <v>7.83</v>
      </c>
      <c r="I38" s="2707">
        <v>4.7699999999999996</v>
      </c>
      <c r="J38" s="2707">
        <v>5.22</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39316</v>
      </c>
      <c r="D39" s="2707">
        <v>6.21</v>
      </c>
      <c r="E39" s="2707">
        <v>7.02</v>
      </c>
      <c r="F39" s="2707">
        <v>7.2</v>
      </c>
      <c r="G39" s="2707">
        <v>7.38</v>
      </c>
      <c r="H39" s="2707">
        <v>7.56</v>
      </c>
      <c r="I39" s="2707">
        <v>4.59</v>
      </c>
      <c r="J39" s="2707">
        <v>5.04</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39284</v>
      </c>
      <c r="D40" s="2707">
        <v>6.03</v>
      </c>
      <c r="E40" s="2707">
        <v>6.84</v>
      </c>
      <c r="F40" s="2707">
        <v>7.02</v>
      </c>
      <c r="G40" s="2707">
        <v>7.2</v>
      </c>
      <c r="H40" s="2707">
        <v>7.38</v>
      </c>
      <c r="I40" s="2707">
        <v>4.5</v>
      </c>
      <c r="J40" s="2707">
        <v>4.95</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39221</v>
      </c>
      <c r="D41" s="2707">
        <v>5.85</v>
      </c>
      <c r="E41" s="2707">
        <v>6.57</v>
      </c>
      <c r="F41" s="2707">
        <v>6.75</v>
      </c>
      <c r="G41" s="2707">
        <v>6.93</v>
      </c>
      <c r="H41" s="2707">
        <v>7.2</v>
      </c>
      <c r="I41" s="2707">
        <v>4.41</v>
      </c>
      <c r="J41" s="2707">
        <v>4.8600000000000003</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39159</v>
      </c>
      <c r="D42" s="2707">
        <v>5.67</v>
      </c>
      <c r="E42" s="2707">
        <v>6.39</v>
      </c>
      <c r="F42" s="2707">
        <v>6.57</v>
      </c>
      <c r="G42" s="2707">
        <v>6.75</v>
      </c>
      <c r="H42" s="2707">
        <v>7.11</v>
      </c>
      <c r="I42" s="2707">
        <v>4.32</v>
      </c>
      <c r="J42" s="2707">
        <v>4.7699999999999996</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2797</v>
      </c>
      <c r="Y42" s="2707" t="s">
        <v>2797</v>
      </c>
      <c r="Z42" s="2707" t="s">
        <v>2797</v>
      </c>
    </row>
    <row r="43" spans="2:26">
      <c r="B43" s="2707"/>
      <c r="C43" s="2708">
        <v>38948</v>
      </c>
      <c r="D43" s="2707">
        <v>5.58</v>
      </c>
      <c r="E43" s="2707">
        <v>6.12</v>
      </c>
      <c r="F43" s="2707">
        <v>6.3</v>
      </c>
      <c r="G43" s="2707">
        <v>6.48</v>
      </c>
      <c r="H43" s="2707">
        <v>6.84</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2797</v>
      </c>
      <c r="Y43" s="2707" t="s">
        <v>2797</v>
      </c>
      <c r="Z43" s="2707" t="s">
        <v>2797</v>
      </c>
    </row>
    <row r="44" spans="2:26">
      <c r="B44" s="2707"/>
      <c r="C44" s="2708">
        <v>38835</v>
      </c>
      <c r="D44" s="2707">
        <v>5.4</v>
      </c>
      <c r="E44" s="2707">
        <v>5.85</v>
      </c>
      <c r="F44" s="2707">
        <v>6.03</v>
      </c>
      <c r="G44" s="2707">
        <v>6.12</v>
      </c>
      <c r="H44" s="2707">
        <v>6.39</v>
      </c>
      <c r="I44" s="2707">
        <v>4.1399999999999997</v>
      </c>
      <c r="J44" s="2707">
        <v>4.59</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2797</v>
      </c>
      <c r="Y44" s="2707" t="s">
        <v>2797</v>
      </c>
      <c r="Z44" s="2707" t="s">
        <v>2797</v>
      </c>
    </row>
    <row r="45" spans="2:26">
      <c r="B45" s="2707"/>
      <c r="C45" s="2708">
        <v>38428</v>
      </c>
      <c r="D45" s="2707">
        <v>5.22</v>
      </c>
      <c r="E45" s="2707">
        <v>5.58</v>
      </c>
      <c r="F45" s="2707">
        <v>5.76</v>
      </c>
      <c r="G45" s="2707">
        <v>5.85</v>
      </c>
      <c r="H45" s="2707">
        <v>6.12</v>
      </c>
      <c r="I45" s="2707">
        <v>3.96</v>
      </c>
      <c r="J45" s="2707">
        <v>4.41</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2797</v>
      </c>
      <c r="Y45" s="2707" t="s">
        <v>2797</v>
      </c>
      <c r="Z45" s="2707" t="s">
        <v>2797</v>
      </c>
    </row>
    <row r="46" spans="2:26">
      <c r="B46" s="2707"/>
      <c r="C46" s="2708">
        <v>38289</v>
      </c>
      <c r="D46" s="2707">
        <v>5.22</v>
      </c>
      <c r="E46" s="2707">
        <v>5.58</v>
      </c>
      <c r="F46" s="2707">
        <v>5.76</v>
      </c>
      <c r="G46" s="2707">
        <v>5.85</v>
      </c>
      <c r="H46" s="2707">
        <v>6.12</v>
      </c>
      <c r="I46" s="2707">
        <v>3.78</v>
      </c>
      <c r="J46" s="2707">
        <v>4.2300000000000004</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2797</v>
      </c>
      <c r="Y46" s="2707" t="s">
        <v>2797</v>
      </c>
      <c r="Z46" s="2707" t="s">
        <v>2797</v>
      </c>
    </row>
    <row r="47" spans="2:26">
      <c r="B47" s="2707"/>
      <c r="C47" s="2708">
        <v>37308</v>
      </c>
      <c r="D47" s="2707">
        <v>5.04</v>
      </c>
      <c r="E47" s="2707">
        <v>5.31</v>
      </c>
      <c r="F47" s="2707">
        <v>5.49</v>
      </c>
      <c r="G47" s="2707">
        <v>5.58</v>
      </c>
      <c r="H47" s="2707">
        <v>5.76</v>
      </c>
      <c r="I47" s="2707">
        <v>3.6</v>
      </c>
      <c r="J47" s="2707">
        <v>4.05</v>
      </c>
      <c r="L47" s="2707"/>
      <c r="M47" s="2708">
        <v>34161</v>
      </c>
      <c r="N47" s="2707">
        <v>3.15</v>
      </c>
      <c r="O47" s="2707">
        <v>6.66</v>
      </c>
      <c r="P47" s="2707">
        <v>9</v>
      </c>
      <c r="Q47" s="2707">
        <v>10.98</v>
      </c>
      <c r="R47" s="2707">
        <v>11.7</v>
      </c>
      <c r="S47" s="2707">
        <v>12.24</v>
      </c>
      <c r="T47" s="2707">
        <v>13.86</v>
      </c>
      <c r="U47" s="2707">
        <v>9</v>
      </c>
      <c r="V47" s="2707">
        <v>10.98</v>
      </c>
      <c r="W47" s="2707">
        <v>12.24</v>
      </c>
      <c r="X47" s="2707" t="s">
        <v>2797</v>
      </c>
      <c r="Y47" s="2707" t="s">
        <v>2797</v>
      </c>
      <c r="Z47" s="2707" t="s">
        <v>2797</v>
      </c>
    </row>
    <row r="48" spans="2:26">
      <c r="B48" s="2707"/>
      <c r="C48" s="2708">
        <v>36321</v>
      </c>
      <c r="D48" s="2707">
        <v>5.58</v>
      </c>
      <c r="E48" s="2707">
        <v>5.85</v>
      </c>
      <c r="F48" s="2707">
        <v>5.94</v>
      </c>
      <c r="G48" s="2707">
        <v>6.03</v>
      </c>
      <c r="H48" s="2707">
        <v>6.21</v>
      </c>
      <c r="I48" s="2707">
        <v>4.1399999999999997</v>
      </c>
      <c r="J48" s="2707">
        <v>4.59</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2797</v>
      </c>
      <c r="Y48" s="2707" t="s">
        <v>2797</v>
      </c>
      <c r="Z48" s="2707" t="s">
        <v>2797</v>
      </c>
    </row>
    <row r="49" spans="2:26">
      <c r="B49" s="2707"/>
      <c r="C49" s="2708">
        <v>36136</v>
      </c>
      <c r="D49" s="2707">
        <v>6.12</v>
      </c>
      <c r="E49" s="2707">
        <v>6.39</v>
      </c>
      <c r="F49" s="2707">
        <v>6.66</v>
      </c>
      <c r="G49" s="2707">
        <v>7.2</v>
      </c>
      <c r="H49" s="2707">
        <v>7.56</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2797</v>
      </c>
      <c r="Y49" s="2707" t="s">
        <v>2797</v>
      </c>
      <c r="Z49" s="2707" t="s">
        <v>2797</v>
      </c>
    </row>
    <row r="50" spans="2:26">
      <c r="B50" s="2707"/>
      <c r="C50" s="2708">
        <v>35977</v>
      </c>
      <c r="D50" s="2707">
        <v>6.57</v>
      </c>
      <c r="E50" s="2707">
        <v>6.93</v>
      </c>
      <c r="F50" s="2707">
        <v>7.11</v>
      </c>
      <c r="G50" s="2707">
        <v>7.65</v>
      </c>
      <c r="H50" s="2707">
        <v>8.01</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2797</v>
      </c>
      <c r="Y50" s="2707" t="s">
        <v>2797</v>
      </c>
      <c r="Z50" s="2707" t="s">
        <v>2797</v>
      </c>
    </row>
    <row r="51" spans="2:26">
      <c r="B51" s="2707"/>
      <c r="C51" s="2708">
        <v>35879</v>
      </c>
      <c r="D51" s="2707">
        <v>7.02</v>
      </c>
      <c r="E51" s="2707">
        <v>7.92</v>
      </c>
      <c r="F51" s="2707">
        <v>9</v>
      </c>
      <c r="G51" s="2707">
        <v>9.7200000000000006</v>
      </c>
      <c r="H51" s="2707">
        <v>10.35</v>
      </c>
      <c r="I51" s="2707">
        <v>0</v>
      </c>
      <c r="J51" s="2707">
        <v>0</v>
      </c>
      <c r="L51" s="2707"/>
      <c r="M51" s="2708">
        <v>32978</v>
      </c>
      <c r="N51" s="2707">
        <v>2.88</v>
      </c>
      <c r="O51" s="2707">
        <v>6.3</v>
      </c>
      <c r="P51" s="2707">
        <v>7.74</v>
      </c>
      <c r="Q51" s="2707">
        <v>10.08</v>
      </c>
      <c r="R51" s="2707">
        <v>10.98</v>
      </c>
      <c r="S51" s="2707">
        <v>11.88</v>
      </c>
      <c r="T51" s="2707">
        <v>13.68</v>
      </c>
      <c r="U51" s="2707" t="s">
        <v>2797</v>
      </c>
      <c r="V51" s="2707" t="s">
        <v>2797</v>
      </c>
      <c r="W51" s="2707" t="s">
        <v>2797</v>
      </c>
      <c r="X51" s="2707" t="s">
        <v>2797</v>
      </c>
      <c r="Y51" s="2707" t="s">
        <v>2797</v>
      </c>
      <c r="Z51" s="2707" t="s">
        <v>2797</v>
      </c>
    </row>
    <row r="52" spans="2:26">
      <c r="B52" s="2707"/>
      <c r="C52" s="2708">
        <v>35726</v>
      </c>
      <c r="D52" s="2707">
        <v>7.65</v>
      </c>
      <c r="E52" s="2707">
        <v>8.64</v>
      </c>
      <c r="F52" s="2707">
        <v>9.36</v>
      </c>
      <c r="G52" s="2707">
        <v>9.9</v>
      </c>
      <c r="H52" s="2707">
        <v>10.53</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35300</v>
      </c>
      <c r="D53" s="2707">
        <v>9.18</v>
      </c>
      <c r="E53" s="2707">
        <v>10.08</v>
      </c>
      <c r="F53" s="2707">
        <v>10.98</v>
      </c>
      <c r="G53" s="2707">
        <v>11.7</v>
      </c>
      <c r="H53" s="2707">
        <v>12.42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35186</v>
      </c>
      <c r="D54" s="2707">
        <v>9.7200000000000006</v>
      </c>
      <c r="E54" s="2707">
        <v>10.98</v>
      </c>
      <c r="F54" s="2707">
        <v>13.14</v>
      </c>
      <c r="G54" s="2707">
        <v>14.94</v>
      </c>
      <c r="H54" s="2707">
        <v>15.12</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34881</v>
      </c>
      <c r="D55" s="2707">
        <v>10.08</v>
      </c>
      <c r="E55" s="2707">
        <v>12.06</v>
      </c>
      <c r="F55" s="2707">
        <v>13.5</v>
      </c>
      <c r="G55" s="2707">
        <v>15.12</v>
      </c>
      <c r="H55" s="2707">
        <v>15.3</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34700</v>
      </c>
      <c r="D56" s="2707">
        <v>9</v>
      </c>
      <c r="E56" s="2707">
        <v>10.98</v>
      </c>
      <c r="F56" s="2707">
        <v>12.96</v>
      </c>
      <c r="G56" s="2707">
        <v>14.58</v>
      </c>
      <c r="H56" s="2707">
        <v>14.76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34161</v>
      </c>
      <c r="D57" s="2707">
        <v>9</v>
      </c>
      <c r="E57" s="2707">
        <v>10.98</v>
      </c>
      <c r="F57" s="2707">
        <v>12.24</v>
      </c>
      <c r="G57" s="2707">
        <v>13.86</v>
      </c>
      <c r="H57" s="2707">
        <v>14.04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34104</v>
      </c>
      <c r="D58" s="2707">
        <v>8.82</v>
      </c>
      <c r="E58" s="2707">
        <v>9.36</v>
      </c>
      <c r="F58" s="2707">
        <v>10.8</v>
      </c>
      <c r="G58" s="2707">
        <v>12.06</v>
      </c>
      <c r="H58" s="2707">
        <v>12.24</v>
      </c>
      <c r="I58" s="2707">
        <v>0</v>
      </c>
      <c r="J58" s="2707">
        <v>0</v>
      </c>
    </row>
    <row r="59" spans="2:26">
      <c r="B59" s="2707"/>
      <c r="C59" s="2708">
        <v>33349</v>
      </c>
      <c r="D59" s="2707">
        <v>8.1</v>
      </c>
      <c r="E59" s="2707">
        <v>8.64</v>
      </c>
      <c r="F59" s="2707">
        <v>9</v>
      </c>
      <c r="G59" s="2707">
        <v>9.5399999999999991</v>
      </c>
      <c r="H59" s="2707">
        <v>9.7200000000000006</v>
      </c>
      <c r="I59" s="2707">
        <v>0</v>
      </c>
      <c r="J59" s="2707">
        <v>0</v>
      </c>
    </row>
    <row r="60" spans="2:26">
      <c r="B60" s="2707"/>
      <c r="C60" s="2708">
        <v>33318</v>
      </c>
      <c r="D60" s="2707">
        <v>9</v>
      </c>
      <c r="E60" s="2707">
        <v>10.08</v>
      </c>
      <c r="F60" s="2707">
        <v>10.8</v>
      </c>
      <c r="G60" s="2707">
        <v>11.52</v>
      </c>
      <c r="H60" s="2707">
        <v>11.88</v>
      </c>
      <c r="I60" s="2707" t="s">
        <v>2797</v>
      </c>
      <c r="J60" s="2707" t="s">
        <v>2797</v>
      </c>
    </row>
    <row r="61" spans="2:26">
      <c r="B61" s="2707"/>
      <c r="C61" s="2708">
        <v>33106</v>
      </c>
      <c r="D61" s="2707">
        <v>8.64</v>
      </c>
      <c r="E61" s="2707">
        <v>9.36</v>
      </c>
      <c r="F61" s="2707">
        <v>10.08</v>
      </c>
      <c r="G61" s="2707">
        <v>10.8</v>
      </c>
      <c r="H61" s="2707">
        <v>11.16</v>
      </c>
      <c r="I61" s="2707">
        <v>0</v>
      </c>
      <c r="J61" s="2707">
        <v>0</v>
      </c>
    </row>
    <row r="62" spans="2:26">
      <c r="B62" s="2707"/>
      <c r="C62" s="2708">
        <v>32540</v>
      </c>
      <c r="D62" s="2707">
        <v>11.34</v>
      </c>
      <c r="E62" s="2707">
        <v>11.34</v>
      </c>
      <c r="F62" s="2707">
        <v>12.78</v>
      </c>
      <c r="G62" s="2707">
        <v>14.4</v>
      </c>
      <c r="H62" s="2707">
        <v>19.260000000000002</v>
      </c>
      <c r="I62" s="2707">
        <v>0</v>
      </c>
      <c r="J62" s="2707">
        <v>0</v>
      </c>
    </row>
    <row r="63" spans="2:26">
      <c r="B63" s="2707"/>
      <c r="C63" s="2708"/>
      <c r="D63" s="2707"/>
      <c r="E63" s="2707"/>
      <c r="F63" s="2707"/>
      <c r="G63" s="2707"/>
      <c r="H63" s="2707"/>
      <c r="I63" s="2707"/>
      <c r="J63" s="2707"/>
    </row>
    <row r="64" spans="2:26">
      <c r="B64" s="2710"/>
      <c r="C64" s="2711"/>
      <c r="D64" s="2710"/>
      <c r="E64" s="2710"/>
      <c r="F64" s="2710"/>
      <c r="G64" s="2710"/>
      <c r="H64" s="2710"/>
      <c r="I64" s="2710"/>
      <c r="J64" s="2710"/>
    </row>
    <row r="65" spans="2:10">
      <c r="B65" s="2710"/>
      <c r="C65" s="2711"/>
      <c r="D65" s="2710"/>
      <c r="E65" s="2710"/>
      <c r="F65" s="2710"/>
      <c r="G65" s="2710"/>
      <c r="H65" s="2710"/>
      <c r="I65" s="2710"/>
      <c r="J65" s="2710"/>
    </row>
    <row r="66" spans="2:10">
      <c r="B66" s="2710"/>
      <c r="C66" s="2711"/>
      <c r="D66" s="2710"/>
      <c r="E66" s="2710"/>
      <c r="F66" s="2710"/>
      <c r="G66" s="2710"/>
      <c r="H66" s="2710"/>
      <c r="I66" s="2710"/>
      <c r="J66" s="2710"/>
    </row>
    <row r="67" spans="2:10">
      <c r="B67" s="2658"/>
      <c r="C67" s="2658"/>
      <c r="D67" s="2658"/>
      <c r="E67" s="2658"/>
      <c r="F67" s="2658"/>
      <c r="G67" s="2658"/>
      <c r="H67" s="2658"/>
      <c r="I67" s="2658"/>
      <c r="J67" s="2658"/>
    </row>
    <row r="68" spans="2:10">
      <c r="B68" s="2658"/>
      <c r="C68" s="2658"/>
      <c r="D68" s="2658"/>
      <c r="E68" s="2658"/>
      <c r="F68" s="2658"/>
      <c r="G68" s="2658"/>
      <c r="H68" s="2658"/>
      <c r="I68" s="2658"/>
      <c r="J68" s="2658"/>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1"/>
  <sheetViews>
    <sheetView topLeftCell="I1" workbookViewId="0">
      <selection activeCell="AM3" sqref="AM3"/>
    </sheetView>
  </sheetViews>
  <sheetFormatPr defaultRowHeight="12"/>
  <cols>
    <col min="1" max="1" width="27.625" style="3286" customWidth="1"/>
    <col min="2" max="2" width="6.25" style="3286" hidden="1" customWidth="1"/>
    <col min="3" max="3" width="13.875" style="3286" hidden="1" customWidth="1"/>
    <col min="4" max="4" width="6.25" style="3286" hidden="1" customWidth="1"/>
    <col min="5" max="5" width="9.625" style="3286" customWidth="1"/>
    <col min="6" max="6" width="57.875" style="3286" hidden="1" customWidth="1"/>
    <col min="7" max="7" width="37.5" style="3286" hidden="1" customWidth="1"/>
    <col min="8" max="9" width="13.875" style="3286" customWidth="1"/>
    <col min="10" max="10" width="25.375" style="3286" customWidth="1"/>
    <col min="11" max="11" width="7.875" style="3286" hidden="1" customWidth="1"/>
    <col min="12" max="12" width="22.875" style="3286" customWidth="1"/>
    <col min="13" max="14" width="7.875" style="3286" hidden="1" customWidth="1"/>
    <col min="15" max="16" width="24.5" style="3286" hidden="1" customWidth="1"/>
    <col min="17" max="17" width="9.625" style="3286" hidden="1" customWidth="1"/>
    <col min="18" max="18" width="15.5" style="3286" hidden="1" customWidth="1"/>
    <col min="19" max="19" width="11.625" style="3286" customWidth="1"/>
    <col min="20" max="20" width="12.875" style="3286" hidden="1" customWidth="1"/>
    <col min="21" max="22" width="22" style="3286" hidden="1" customWidth="1"/>
    <col min="23" max="23" width="17.875" style="3286" hidden="1" customWidth="1"/>
    <col min="24" max="24" width="7.875" style="3286" hidden="1" customWidth="1"/>
    <col min="25" max="27" width="9" style="3286" hidden="1" customWidth="1"/>
    <col min="28" max="28" width="9" style="3286" customWidth="1"/>
    <col min="29" max="29" width="67.625" style="3286" hidden="1" customWidth="1"/>
    <col min="30" max="30" width="7.875" style="3286" hidden="1" customWidth="1"/>
    <col min="31" max="31" width="32.75" style="3286" customWidth="1"/>
    <col min="32" max="32" width="26.125" style="3286" customWidth="1"/>
    <col min="33" max="35" width="10.625" style="3286" customWidth="1"/>
    <col min="36" max="36" width="16" style="3286" hidden="1" customWidth="1"/>
    <col min="37" max="37" width="16" style="3286" customWidth="1"/>
    <col min="38" max="38" width="14.375" style="3286" hidden="1" customWidth="1"/>
    <col min="39" max="39" width="14.375" style="3286" customWidth="1"/>
    <col min="40" max="40" width="21.875" style="3286" hidden="1" customWidth="1"/>
    <col min="41" max="41" width="9.125" style="3286" customWidth="1"/>
    <col min="42" max="42" width="6.25" style="3286" customWidth="1"/>
    <col min="43" max="43" width="19.5" style="3286" hidden="1" customWidth="1"/>
    <col min="44" max="44" width="16.875" style="3286" hidden="1" customWidth="1"/>
    <col min="45" max="46" width="20.125" style="3286" hidden="1" customWidth="1"/>
    <col min="47" max="47" width="7.875" style="3286" hidden="1" customWidth="1"/>
    <col min="48" max="256" width="9" style="3286"/>
    <col min="257" max="257" width="57.875" style="3286" customWidth="1"/>
    <col min="258" max="258" width="6.25" style="3286" customWidth="1"/>
    <col min="259" max="259" width="13.875" style="3286" customWidth="1"/>
    <col min="260" max="260" width="6.25" style="3286" customWidth="1"/>
    <col min="261" max="261" width="9.625" style="3286" customWidth="1"/>
    <col min="262" max="262" width="57.875" style="3286" customWidth="1"/>
    <col min="263" max="263" width="37.5" style="3286" customWidth="1"/>
    <col min="264" max="265" width="13.875" style="3286" customWidth="1"/>
    <col min="266" max="266" width="25.375" style="3286" customWidth="1"/>
    <col min="267" max="267" width="7.875" style="3286" customWidth="1"/>
    <col min="268" max="268" width="53.875" style="3286" customWidth="1"/>
    <col min="269" max="270" width="7.875" style="3286" customWidth="1"/>
    <col min="271" max="272" width="24.5" style="3286" customWidth="1"/>
    <col min="273" max="273" width="9.625" style="3286" customWidth="1"/>
    <col min="274" max="275" width="15.5" style="3286" customWidth="1"/>
    <col min="276" max="276" width="12.875" style="3286" customWidth="1"/>
    <col min="277" max="278" width="22" style="3286" customWidth="1"/>
    <col min="279" max="279" width="17.875" style="3286" customWidth="1"/>
    <col min="280" max="280" width="7.875" style="3286" customWidth="1"/>
    <col min="281" max="284" width="9" style="3286" customWidth="1"/>
    <col min="285" max="285" width="67.625" style="3286" customWidth="1"/>
    <col min="286" max="286" width="7.875" style="3286" customWidth="1"/>
    <col min="287" max="287" width="32.75" style="3286" customWidth="1"/>
    <col min="288" max="288" width="26.125" style="3286" customWidth="1"/>
    <col min="289" max="291" width="10.625" style="3286" customWidth="1"/>
    <col min="292" max="293" width="16" style="3286" customWidth="1"/>
    <col min="294" max="295" width="14.375" style="3286" customWidth="1"/>
    <col min="296" max="297" width="21.875" style="3286" customWidth="1"/>
    <col min="298" max="298" width="6.25" style="3286" customWidth="1"/>
    <col min="299" max="299" width="19.5" style="3286" customWidth="1"/>
    <col min="300" max="300" width="16.875" style="3286" customWidth="1"/>
    <col min="301" max="302" width="20.125" style="3286" customWidth="1"/>
    <col min="303" max="303" width="7.875" style="3286" customWidth="1"/>
    <col min="304" max="512" width="9" style="3286"/>
    <col min="513" max="513" width="57.875" style="3286" customWidth="1"/>
    <col min="514" max="514" width="6.25" style="3286" customWidth="1"/>
    <col min="515" max="515" width="13.875" style="3286" customWidth="1"/>
    <col min="516" max="516" width="6.25" style="3286" customWidth="1"/>
    <col min="517" max="517" width="9.625" style="3286" customWidth="1"/>
    <col min="518" max="518" width="57.875" style="3286" customWidth="1"/>
    <col min="519" max="519" width="37.5" style="3286" customWidth="1"/>
    <col min="520" max="521" width="13.875" style="3286" customWidth="1"/>
    <col min="522" max="522" width="25.375" style="3286" customWidth="1"/>
    <col min="523" max="523" width="7.875" style="3286" customWidth="1"/>
    <col min="524" max="524" width="53.875" style="3286" customWidth="1"/>
    <col min="525" max="526" width="7.875" style="3286" customWidth="1"/>
    <col min="527" max="528" width="24.5" style="3286" customWidth="1"/>
    <col min="529" max="529" width="9.625" style="3286" customWidth="1"/>
    <col min="530" max="531" width="15.5" style="3286" customWidth="1"/>
    <col min="532" max="532" width="12.875" style="3286" customWidth="1"/>
    <col min="533" max="534" width="22" style="3286" customWidth="1"/>
    <col min="535" max="535" width="17.875" style="3286" customWidth="1"/>
    <col min="536" max="536" width="7.875" style="3286" customWidth="1"/>
    <col min="537" max="540" width="9" style="3286" customWidth="1"/>
    <col min="541" max="541" width="67.625" style="3286" customWidth="1"/>
    <col min="542" max="542" width="7.875" style="3286" customWidth="1"/>
    <col min="543" max="543" width="32.75" style="3286" customWidth="1"/>
    <col min="544" max="544" width="26.125" style="3286" customWidth="1"/>
    <col min="545" max="547" width="10.625" style="3286" customWidth="1"/>
    <col min="548" max="549" width="16" style="3286" customWidth="1"/>
    <col min="550" max="551" width="14.375" style="3286" customWidth="1"/>
    <col min="552" max="553" width="21.875" style="3286" customWidth="1"/>
    <col min="554" max="554" width="6.25" style="3286" customWidth="1"/>
    <col min="555" max="555" width="19.5" style="3286" customWidth="1"/>
    <col min="556" max="556" width="16.875" style="3286" customWidth="1"/>
    <col min="557" max="558" width="20.125" style="3286" customWidth="1"/>
    <col min="559" max="559" width="7.875" style="3286" customWidth="1"/>
    <col min="560" max="768" width="9" style="3286"/>
    <col min="769" max="769" width="57.875" style="3286" customWidth="1"/>
    <col min="770" max="770" width="6.25" style="3286" customWidth="1"/>
    <col min="771" max="771" width="13.875" style="3286" customWidth="1"/>
    <col min="772" max="772" width="6.25" style="3286" customWidth="1"/>
    <col min="773" max="773" width="9.625" style="3286" customWidth="1"/>
    <col min="774" max="774" width="57.875" style="3286" customWidth="1"/>
    <col min="775" max="775" width="37.5" style="3286" customWidth="1"/>
    <col min="776" max="777" width="13.875" style="3286" customWidth="1"/>
    <col min="778" max="778" width="25.375" style="3286" customWidth="1"/>
    <col min="779" max="779" width="7.875" style="3286" customWidth="1"/>
    <col min="780" max="780" width="53.875" style="3286" customWidth="1"/>
    <col min="781" max="782" width="7.875" style="3286" customWidth="1"/>
    <col min="783" max="784" width="24.5" style="3286" customWidth="1"/>
    <col min="785" max="785" width="9.625" style="3286" customWidth="1"/>
    <col min="786" max="787" width="15.5" style="3286" customWidth="1"/>
    <col min="788" max="788" width="12.875" style="3286" customWidth="1"/>
    <col min="789" max="790" width="22" style="3286" customWidth="1"/>
    <col min="791" max="791" width="17.875" style="3286" customWidth="1"/>
    <col min="792" max="792" width="7.875" style="3286" customWidth="1"/>
    <col min="793" max="796" width="9" style="3286" customWidth="1"/>
    <col min="797" max="797" width="67.625" style="3286" customWidth="1"/>
    <col min="798" max="798" width="7.875" style="3286" customWidth="1"/>
    <col min="799" max="799" width="32.75" style="3286" customWidth="1"/>
    <col min="800" max="800" width="26.125" style="3286" customWidth="1"/>
    <col min="801" max="803" width="10.625" style="3286" customWidth="1"/>
    <col min="804" max="805" width="16" style="3286" customWidth="1"/>
    <col min="806" max="807" width="14.375" style="3286" customWidth="1"/>
    <col min="808" max="809" width="21.875" style="3286" customWidth="1"/>
    <col min="810" max="810" width="6.25" style="3286" customWidth="1"/>
    <col min="811" max="811" width="19.5" style="3286" customWidth="1"/>
    <col min="812" max="812" width="16.875" style="3286" customWidth="1"/>
    <col min="813" max="814" width="20.125" style="3286" customWidth="1"/>
    <col min="815" max="815" width="7.875" style="3286" customWidth="1"/>
    <col min="816" max="1024" width="9" style="3286"/>
    <col min="1025" max="1025" width="57.875" style="3286" customWidth="1"/>
    <col min="1026" max="1026" width="6.25" style="3286" customWidth="1"/>
    <col min="1027" max="1027" width="13.875" style="3286" customWidth="1"/>
    <col min="1028" max="1028" width="6.25" style="3286" customWidth="1"/>
    <col min="1029" max="1029" width="9.625" style="3286" customWidth="1"/>
    <col min="1030" max="1030" width="57.875" style="3286" customWidth="1"/>
    <col min="1031" max="1031" width="37.5" style="3286" customWidth="1"/>
    <col min="1032" max="1033" width="13.875" style="3286" customWidth="1"/>
    <col min="1034" max="1034" width="25.375" style="3286" customWidth="1"/>
    <col min="1035" max="1035" width="7.875" style="3286" customWidth="1"/>
    <col min="1036" max="1036" width="53.875" style="3286" customWidth="1"/>
    <col min="1037" max="1038" width="7.875" style="3286" customWidth="1"/>
    <col min="1039" max="1040" width="24.5" style="3286" customWidth="1"/>
    <col min="1041" max="1041" width="9.625" style="3286" customWidth="1"/>
    <col min="1042" max="1043" width="15.5" style="3286" customWidth="1"/>
    <col min="1044" max="1044" width="12.875" style="3286" customWidth="1"/>
    <col min="1045" max="1046" width="22" style="3286" customWidth="1"/>
    <col min="1047" max="1047" width="17.875" style="3286" customWidth="1"/>
    <col min="1048" max="1048" width="7.875" style="3286" customWidth="1"/>
    <col min="1049" max="1052" width="9" style="3286" customWidth="1"/>
    <col min="1053" max="1053" width="67.625" style="3286" customWidth="1"/>
    <col min="1054" max="1054" width="7.875" style="3286" customWidth="1"/>
    <col min="1055" max="1055" width="32.75" style="3286" customWidth="1"/>
    <col min="1056" max="1056" width="26.125" style="3286" customWidth="1"/>
    <col min="1057" max="1059" width="10.625" style="3286" customWidth="1"/>
    <col min="1060" max="1061" width="16" style="3286" customWidth="1"/>
    <col min="1062" max="1063" width="14.375" style="3286" customWidth="1"/>
    <col min="1064" max="1065" width="21.875" style="3286" customWidth="1"/>
    <col min="1066" max="1066" width="6.25" style="3286" customWidth="1"/>
    <col min="1067" max="1067" width="19.5" style="3286" customWidth="1"/>
    <col min="1068" max="1068" width="16.875" style="3286" customWidth="1"/>
    <col min="1069" max="1070" width="20.125" style="3286" customWidth="1"/>
    <col min="1071" max="1071" width="7.875" style="3286" customWidth="1"/>
    <col min="1072" max="1280" width="9" style="3286"/>
    <col min="1281" max="1281" width="57.875" style="3286" customWidth="1"/>
    <col min="1282" max="1282" width="6.25" style="3286" customWidth="1"/>
    <col min="1283" max="1283" width="13.875" style="3286" customWidth="1"/>
    <col min="1284" max="1284" width="6.25" style="3286" customWidth="1"/>
    <col min="1285" max="1285" width="9.625" style="3286" customWidth="1"/>
    <col min="1286" max="1286" width="57.875" style="3286" customWidth="1"/>
    <col min="1287" max="1287" width="37.5" style="3286" customWidth="1"/>
    <col min="1288" max="1289" width="13.875" style="3286" customWidth="1"/>
    <col min="1290" max="1290" width="25.375" style="3286" customWidth="1"/>
    <col min="1291" max="1291" width="7.875" style="3286" customWidth="1"/>
    <col min="1292" max="1292" width="53.875" style="3286" customWidth="1"/>
    <col min="1293" max="1294" width="7.875" style="3286" customWidth="1"/>
    <col min="1295" max="1296" width="24.5" style="3286" customWidth="1"/>
    <col min="1297" max="1297" width="9.625" style="3286" customWidth="1"/>
    <col min="1298" max="1299" width="15.5" style="3286" customWidth="1"/>
    <col min="1300" max="1300" width="12.875" style="3286" customWidth="1"/>
    <col min="1301" max="1302" width="22" style="3286" customWidth="1"/>
    <col min="1303" max="1303" width="17.875" style="3286" customWidth="1"/>
    <col min="1304" max="1304" width="7.875" style="3286" customWidth="1"/>
    <col min="1305" max="1308" width="9" style="3286" customWidth="1"/>
    <col min="1309" max="1309" width="67.625" style="3286" customWidth="1"/>
    <col min="1310" max="1310" width="7.875" style="3286" customWidth="1"/>
    <col min="1311" max="1311" width="32.75" style="3286" customWidth="1"/>
    <col min="1312" max="1312" width="26.125" style="3286" customWidth="1"/>
    <col min="1313" max="1315" width="10.625" style="3286" customWidth="1"/>
    <col min="1316" max="1317" width="16" style="3286" customWidth="1"/>
    <col min="1318" max="1319" width="14.375" style="3286" customWidth="1"/>
    <col min="1320" max="1321" width="21.875" style="3286" customWidth="1"/>
    <col min="1322" max="1322" width="6.25" style="3286" customWidth="1"/>
    <col min="1323" max="1323" width="19.5" style="3286" customWidth="1"/>
    <col min="1324" max="1324" width="16.875" style="3286" customWidth="1"/>
    <col min="1325" max="1326" width="20.125" style="3286" customWidth="1"/>
    <col min="1327" max="1327" width="7.875" style="3286" customWidth="1"/>
    <col min="1328" max="1536" width="9" style="3286"/>
    <col min="1537" max="1537" width="57.875" style="3286" customWidth="1"/>
    <col min="1538" max="1538" width="6.25" style="3286" customWidth="1"/>
    <col min="1539" max="1539" width="13.875" style="3286" customWidth="1"/>
    <col min="1540" max="1540" width="6.25" style="3286" customWidth="1"/>
    <col min="1541" max="1541" width="9.625" style="3286" customWidth="1"/>
    <col min="1542" max="1542" width="57.875" style="3286" customWidth="1"/>
    <col min="1543" max="1543" width="37.5" style="3286" customWidth="1"/>
    <col min="1544" max="1545" width="13.875" style="3286" customWidth="1"/>
    <col min="1546" max="1546" width="25.375" style="3286" customWidth="1"/>
    <col min="1547" max="1547" width="7.875" style="3286" customWidth="1"/>
    <col min="1548" max="1548" width="53.875" style="3286" customWidth="1"/>
    <col min="1549" max="1550" width="7.875" style="3286" customWidth="1"/>
    <col min="1551" max="1552" width="24.5" style="3286" customWidth="1"/>
    <col min="1553" max="1553" width="9.625" style="3286" customWidth="1"/>
    <col min="1554" max="1555" width="15.5" style="3286" customWidth="1"/>
    <col min="1556" max="1556" width="12.875" style="3286" customWidth="1"/>
    <col min="1557" max="1558" width="22" style="3286" customWidth="1"/>
    <col min="1559" max="1559" width="17.875" style="3286" customWidth="1"/>
    <col min="1560" max="1560" width="7.875" style="3286" customWidth="1"/>
    <col min="1561" max="1564" width="9" style="3286" customWidth="1"/>
    <col min="1565" max="1565" width="67.625" style="3286" customWidth="1"/>
    <col min="1566" max="1566" width="7.875" style="3286" customWidth="1"/>
    <col min="1567" max="1567" width="32.75" style="3286" customWidth="1"/>
    <col min="1568" max="1568" width="26.125" style="3286" customWidth="1"/>
    <col min="1569" max="1571" width="10.625" style="3286" customWidth="1"/>
    <col min="1572" max="1573" width="16" style="3286" customWidth="1"/>
    <col min="1574" max="1575" width="14.375" style="3286" customWidth="1"/>
    <col min="1576" max="1577" width="21.875" style="3286" customWidth="1"/>
    <col min="1578" max="1578" width="6.25" style="3286" customWidth="1"/>
    <col min="1579" max="1579" width="19.5" style="3286" customWidth="1"/>
    <col min="1580" max="1580" width="16.875" style="3286" customWidth="1"/>
    <col min="1581" max="1582" width="20.125" style="3286" customWidth="1"/>
    <col min="1583" max="1583" width="7.875" style="3286" customWidth="1"/>
    <col min="1584" max="1792" width="9" style="3286"/>
    <col min="1793" max="1793" width="57.875" style="3286" customWidth="1"/>
    <col min="1794" max="1794" width="6.25" style="3286" customWidth="1"/>
    <col min="1795" max="1795" width="13.875" style="3286" customWidth="1"/>
    <col min="1796" max="1796" width="6.25" style="3286" customWidth="1"/>
    <col min="1797" max="1797" width="9.625" style="3286" customWidth="1"/>
    <col min="1798" max="1798" width="57.875" style="3286" customWidth="1"/>
    <col min="1799" max="1799" width="37.5" style="3286" customWidth="1"/>
    <col min="1800" max="1801" width="13.875" style="3286" customWidth="1"/>
    <col min="1802" max="1802" width="25.375" style="3286" customWidth="1"/>
    <col min="1803" max="1803" width="7.875" style="3286" customWidth="1"/>
    <col min="1804" max="1804" width="53.875" style="3286" customWidth="1"/>
    <col min="1805" max="1806" width="7.875" style="3286" customWidth="1"/>
    <col min="1807" max="1808" width="24.5" style="3286" customWidth="1"/>
    <col min="1809" max="1809" width="9.625" style="3286" customWidth="1"/>
    <col min="1810" max="1811" width="15.5" style="3286" customWidth="1"/>
    <col min="1812" max="1812" width="12.875" style="3286" customWidth="1"/>
    <col min="1813" max="1814" width="22" style="3286" customWidth="1"/>
    <col min="1815" max="1815" width="17.875" style="3286" customWidth="1"/>
    <col min="1816" max="1816" width="7.875" style="3286" customWidth="1"/>
    <col min="1817" max="1820" width="9" style="3286" customWidth="1"/>
    <col min="1821" max="1821" width="67.625" style="3286" customWidth="1"/>
    <col min="1822" max="1822" width="7.875" style="3286" customWidth="1"/>
    <col min="1823" max="1823" width="32.75" style="3286" customWidth="1"/>
    <col min="1824" max="1824" width="26.125" style="3286" customWidth="1"/>
    <col min="1825" max="1827" width="10.625" style="3286" customWidth="1"/>
    <col min="1828" max="1829" width="16" style="3286" customWidth="1"/>
    <col min="1830" max="1831" width="14.375" style="3286" customWidth="1"/>
    <col min="1832" max="1833" width="21.875" style="3286" customWidth="1"/>
    <col min="1834" max="1834" width="6.25" style="3286" customWidth="1"/>
    <col min="1835" max="1835" width="19.5" style="3286" customWidth="1"/>
    <col min="1836" max="1836" width="16.875" style="3286" customWidth="1"/>
    <col min="1837" max="1838" width="20.125" style="3286" customWidth="1"/>
    <col min="1839" max="1839" width="7.875" style="3286" customWidth="1"/>
    <col min="1840" max="2048" width="9" style="3286"/>
    <col min="2049" max="2049" width="57.875" style="3286" customWidth="1"/>
    <col min="2050" max="2050" width="6.25" style="3286" customWidth="1"/>
    <col min="2051" max="2051" width="13.875" style="3286" customWidth="1"/>
    <col min="2052" max="2052" width="6.25" style="3286" customWidth="1"/>
    <col min="2053" max="2053" width="9.625" style="3286" customWidth="1"/>
    <col min="2054" max="2054" width="57.875" style="3286" customWidth="1"/>
    <col min="2055" max="2055" width="37.5" style="3286" customWidth="1"/>
    <col min="2056" max="2057" width="13.875" style="3286" customWidth="1"/>
    <col min="2058" max="2058" width="25.375" style="3286" customWidth="1"/>
    <col min="2059" max="2059" width="7.875" style="3286" customWidth="1"/>
    <col min="2060" max="2060" width="53.875" style="3286" customWidth="1"/>
    <col min="2061" max="2062" width="7.875" style="3286" customWidth="1"/>
    <col min="2063" max="2064" width="24.5" style="3286" customWidth="1"/>
    <col min="2065" max="2065" width="9.625" style="3286" customWidth="1"/>
    <col min="2066" max="2067" width="15.5" style="3286" customWidth="1"/>
    <col min="2068" max="2068" width="12.875" style="3286" customWidth="1"/>
    <col min="2069" max="2070" width="22" style="3286" customWidth="1"/>
    <col min="2071" max="2071" width="17.875" style="3286" customWidth="1"/>
    <col min="2072" max="2072" width="7.875" style="3286" customWidth="1"/>
    <col min="2073" max="2076" width="9" style="3286" customWidth="1"/>
    <col min="2077" max="2077" width="67.625" style="3286" customWidth="1"/>
    <col min="2078" max="2078" width="7.875" style="3286" customWidth="1"/>
    <col min="2079" max="2079" width="32.75" style="3286" customWidth="1"/>
    <col min="2080" max="2080" width="26.125" style="3286" customWidth="1"/>
    <col min="2081" max="2083" width="10.625" style="3286" customWidth="1"/>
    <col min="2084" max="2085" width="16" style="3286" customWidth="1"/>
    <col min="2086" max="2087" width="14.375" style="3286" customWidth="1"/>
    <col min="2088" max="2089" width="21.875" style="3286" customWidth="1"/>
    <col min="2090" max="2090" width="6.25" style="3286" customWidth="1"/>
    <col min="2091" max="2091" width="19.5" style="3286" customWidth="1"/>
    <col min="2092" max="2092" width="16.875" style="3286" customWidth="1"/>
    <col min="2093" max="2094" width="20.125" style="3286" customWidth="1"/>
    <col min="2095" max="2095" width="7.875" style="3286" customWidth="1"/>
    <col min="2096" max="2304" width="9" style="3286"/>
    <col min="2305" max="2305" width="57.875" style="3286" customWidth="1"/>
    <col min="2306" max="2306" width="6.25" style="3286" customWidth="1"/>
    <col min="2307" max="2307" width="13.875" style="3286" customWidth="1"/>
    <col min="2308" max="2308" width="6.25" style="3286" customWidth="1"/>
    <col min="2309" max="2309" width="9.625" style="3286" customWidth="1"/>
    <col min="2310" max="2310" width="57.875" style="3286" customWidth="1"/>
    <col min="2311" max="2311" width="37.5" style="3286" customWidth="1"/>
    <col min="2312" max="2313" width="13.875" style="3286" customWidth="1"/>
    <col min="2314" max="2314" width="25.375" style="3286" customWidth="1"/>
    <col min="2315" max="2315" width="7.875" style="3286" customWidth="1"/>
    <col min="2316" max="2316" width="53.875" style="3286" customWidth="1"/>
    <col min="2317" max="2318" width="7.875" style="3286" customWidth="1"/>
    <col min="2319" max="2320" width="24.5" style="3286" customWidth="1"/>
    <col min="2321" max="2321" width="9.625" style="3286" customWidth="1"/>
    <col min="2322" max="2323" width="15.5" style="3286" customWidth="1"/>
    <col min="2324" max="2324" width="12.875" style="3286" customWidth="1"/>
    <col min="2325" max="2326" width="22" style="3286" customWidth="1"/>
    <col min="2327" max="2327" width="17.875" style="3286" customWidth="1"/>
    <col min="2328" max="2328" width="7.875" style="3286" customWidth="1"/>
    <col min="2329" max="2332" width="9" style="3286" customWidth="1"/>
    <col min="2333" max="2333" width="67.625" style="3286" customWidth="1"/>
    <col min="2334" max="2334" width="7.875" style="3286" customWidth="1"/>
    <col min="2335" max="2335" width="32.75" style="3286" customWidth="1"/>
    <col min="2336" max="2336" width="26.125" style="3286" customWidth="1"/>
    <col min="2337" max="2339" width="10.625" style="3286" customWidth="1"/>
    <col min="2340" max="2341" width="16" style="3286" customWidth="1"/>
    <col min="2342" max="2343" width="14.375" style="3286" customWidth="1"/>
    <col min="2344" max="2345" width="21.875" style="3286" customWidth="1"/>
    <col min="2346" max="2346" width="6.25" style="3286" customWidth="1"/>
    <col min="2347" max="2347" width="19.5" style="3286" customWidth="1"/>
    <col min="2348" max="2348" width="16.875" style="3286" customWidth="1"/>
    <col min="2349" max="2350" width="20.125" style="3286" customWidth="1"/>
    <col min="2351" max="2351" width="7.875" style="3286" customWidth="1"/>
    <col min="2352" max="2560" width="9" style="3286"/>
    <col min="2561" max="2561" width="57.875" style="3286" customWidth="1"/>
    <col min="2562" max="2562" width="6.25" style="3286" customWidth="1"/>
    <col min="2563" max="2563" width="13.875" style="3286" customWidth="1"/>
    <col min="2564" max="2564" width="6.25" style="3286" customWidth="1"/>
    <col min="2565" max="2565" width="9.625" style="3286" customWidth="1"/>
    <col min="2566" max="2566" width="57.875" style="3286" customWidth="1"/>
    <col min="2567" max="2567" width="37.5" style="3286" customWidth="1"/>
    <col min="2568" max="2569" width="13.875" style="3286" customWidth="1"/>
    <col min="2570" max="2570" width="25.375" style="3286" customWidth="1"/>
    <col min="2571" max="2571" width="7.875" style="3286" customWidth="1"/>
    <col min="2572" max="2572" width="53.875" style="3286" customWidth="1"/>
    <col min="2573" max="2574" width="7.875" style="3286" customWidth="1"/>
    <col min="2575" max="2576" width="24.5" style="3286" customWidth="1"/>
    <col min="2577" max="2577" width="9.625" style="3286" customWidth="1"/>
    <col min="2578" max="2579" width="15.5" style="3286" customWidth="1"/>
    <col min="2580" max="2580" width="12.875" style="3286" customWidth="1"/>
    <col min="2581" max="2582" width="22" style="3286" customWidth="1"/>
    <col min="2583" max="2583" width="17.875" style="3286" customWidth="1"/>
    <col min="2584" max="2584" width="7.875" style="3286" customWidth="1"/>
    <col min="2585" max="2588" width="9" style="3286" customWidth="1"/>
    <col min="2589" max="2589" width="67.625" style="3286" customWidth="1"/>
    <col min="2590" max="2590" width="7.875" style="3286" customWidth="1"/>
    <col min="2591" max="2591" width="32.75" style="3286" customWidth="1"/>
    <col min="2592" max="2592" width="26.125" style="3286" customWidth="1"/>
    <col min="2593" max="2595" width="10.625" style="3286" customWidth="1"/>
    <col min="2596" max="2597" width="16" style="3286" customWidth="1"/>
    <col min="2598" max="2599" width="14.375" style="3286" customWidth="1"/>
    <col min="2600" max="2601" width="21.875" style="3286" customWidth="1"/>
    <col min="2602" max="2602" width="6.25" style="3286" customWidth="1"/>
    <col min="2603" max="2603" width="19.5" style="3286" customWidth="1"/>
    <col min="2604" max="2604" width="16.875" style="3286" customWidth="1"/>
    <col min="2605" max="2606" width="20.125" style="3286" customWidth="1"/>
    <col min="2607" max="2607" width="7.875" style="3286" customWidth="1"/>
    <col min="2608" max="2816" width="9" style="3286"/>
    <col min="2817" max="2817" width="57.875" style="3286" customWidth="1"/>
    <col min="2818" max="2818" width="6.25" style="3286" customWidth="1"/>
    <col min="2819" max="2819" width="13.875" style="3286" customWidth="1"/>
    <col min="2820" max="2820" width="6.25" style="3286" customWidth="1"/>
    <col min="2821" max="2821" width="9.625" style="3286" customWidth="1"/>
    <col min="2822" max="2822" width="57.875" style="3286" customWidth="1"/>
    <col min="2823" max="2823" width="37.5" style="3286" customWidth="1"/>
    <col min="2824" max="2825" width="13.875" style="3286" customWidth="1"/>
    <col min="2826" max="2826" width="25.375" style="3286" customWidth="1"/>
    <col min="2827" max="2827" width="7.875" style="3286" customWidth="1"/>
    <col min="2828" max="2828" width="53.875" style="3286" customWidth="1"/>
    <col min="2829" max="2830" width="7.875" style="3286" customWidth="1"/>
    <col min="2831" max="2832" width="24.5" style="3286" customWidth="1"/>
    <col min="2833" max="2833" width="9.625" style="3286" customWidth="1"/>
    <col min="2834" max="2835" width="15.5" style="3286" customWidth="1"/>
    <col min="2836" max="2836" width="12.875" style="3286" customWidth="1"/>
    <col min="2837" max="2838" width="22" style="3286" customWidth="1"/>
    <col min="2839" max="2839" width="17.875" style="3286" customWidth="1"/>
    <col min="2840" max="2840" width="7.875" style="3286" customWidth="1"/>
    <col min="2841" max="2844" width="9" style="3286" customWidth="1"/>
    <col min="2845" max="2845" width="67.625" style="3286" customWidth="1"/>
    <col min="2846" max="2846" width="7.875" style="3286" customWidth="1"/>
    <col min="2847" max="2847" width="32.75" style="3286" customWidth="1"/>
    <col min="2848" max="2848" width="26.125" style="3286" customWidth="1"/>
    <col min="2849" max="2851" width="10.625" style="3286" customWidth="1"/>
    <col min="2852" max="2853" width="16" style="3286" customWidth="1"/>
    <col min="2854" max="2855" width="14.375" style="3286" customWidth="1"/>
    <col min="2856" max="2857" width="21.875" style="3286" customWidth="1"/>
    <col min="2858" max="2858" width="6.25" style="3286" customWidth="1"/>
    <col min="2859" max="2859" width="19.5" style="3286" customWidth="1"/>
    <col min="2860" max="2860" width="16.875" style="3286" customWidth="1"/>
    <col min="2861" max="2862" width="20.125" style="3286" customWidth="1"/>
    <col min="2863" max="2863" width="7.875" style="3286" customWidth="1"/>
    <col min="2864" max="3072" width="9" style="3286"/>
    <col min="3073" max="3073" width="57.875" style="3286" customWidth="1"/>
    <col min="3074" max="3074" width="6.25" style="3286" customWidth="1"/>
    <col min="3075" max="3075" width="13.875" style="3286" customWidth="1"/>
    <col min="3076" max="3076" width="6.25" style="3286" customWidth="1"/>
    <col min="3077" max="3077" width="9.625" style="3286" customWidth="1"/>
    <col min="3078" max="3078" width="57.875" style="3286" customWidth="1"/>
    <col min="3079" max="3079" width="37.5" style="3286" customWidth="1"/>
    <col min="3080" max="3081" width="13.875" style="3286" customWidth="1"/>
    <col min="3082" max="3082" width="25.375" style="3286" customWidth="1"/>
    <col min="3083" max="3083" width="7.875" style="3286" customWidth="1"/>
    <col min="3084" max="3084" width="53.875" style="3286" customWidth="1"/>
    <col min="3085" max="3086" width="7.875" style="3286" customWidth="1"/>
    <col min="3087" max="3088" width="24.5" style="3286" customWidth="1"/>
    <col min="3089" max="3089" width="9.625" style="3286" customWidth="1"/>
    <col min="3090" max="3091" width="15.5" style="3286" customWidth="1"/>
    <col min="3092" max="3092" width="12.875" style="3286" customWidth="1"/>
    <col min="3093" max="3094" width="22" style="3286" customWidth="1"/>
    <col min="3095" max="3095" width="17.875" style="3286" customWidth="1"/>
    <col min="3096" max="3096" width="7.875" style="3286" customWidth="1"/>
    <col min="3097" max="3100" width="9" style="3286" customWidth="1"/>
    <col min="3101" max="3101" width="67.625" style="3286" customWidth="1"/>
    <col min="3102" max="3102" width="7.875" style="3286" customWidth="1"/>
    <col min="3103" max="3103" width="32.75" style="3286" customWidth="1"/>
    <col min="3104" max="3104" width="26.125" style="3286" customWidth="1"/>
    <col min="3105" max="3107" width="10.625" style="3286" customWidth="1"/>
    <col min="3108" max="3109" width="16" style="3286" customWidth="1"/>
    <col min="3110" max="3111" width="14.375" style="3286" customWidth="1"/>
    <col min="3112" max="3113" width="21.875" style="3286" customWidth="1"/>
    <col min="3114" max="3114" width="6.25" style="3286" customWidth="1"/>
    <col min="3115" max="3115" width="19.5" style="3286" customWidth="1"/>
    <col min="3116" max="3116" width="16.875" style="3286" customWidth="1"/>
    <col min="3117" max="3118" width="20.125" style="3286" customWidth="1"/>
    <col min="3119" max="3119" width="7.875" style="3286" customWidth="1"/>
    <col min="3120" max="3328" width="9" style="3286"/>
    <col min="3329" max="3329" width="57.875" style="3286" customWidth="1"/>
    <col min="3330" max="3330" width="6.25" style="3286" customWidth="1"/>
    <col min="3331" max="3331" width="13.875" style="3286" customWidth="1"/>
    <col min="3332" max="3332" width="6.25" style="3286" customWidth="1"/>
    <col min="3333" max="3333" width="9.625" style="3286" customWidth="1"/>
    <col min="3334" max="3334" width="57.875" style="3286" customWidth="1"/>
    <col min="3335" max="3335" width="37.5" style="3286" customWidth="1"/>
    <col min="3336" max="3337" width="13.875" style="3286" customWidth="1"/>
    <col min="3338" max="3338" width="25.375" style="3286" customWidth="1"/>
    <col min="3339" max="3339" width="7.875" style="3286" customWidth="1"/>
    <col min="3340" max="3340" width="53.875" style="3286" customWidth="1"/>
    <col min="3341" max="3342" width="7.875" style="3286" customWidth="1"/>
    <col min="3343" max="3344" width="24.5" style="3286" customWidth="1"/>
    <col min="3345" max="3345" width="9.625" style="3286" customWidth="1"/>
    <col min="3346" max="3347" width="15.5" style="3286" customWidth="1"/>
    <col min="3348" max="3348" width="12.875" style="3286" customWidth="1"/>
    <col min="3349" max="3350" width="22" style="3286" customWidth="1"/>
    <col min="3351" max="3351" width="17.875" style="3286" customWidth="1"/>
    <col min="3352" max="3352" width="7.875" style="3286" customWidth="1"/>
    <col min="3353" max="3356" width="9" style="3286" customWidth="1"/>
    <col min="3357" max="3357" width="67.625" style="3286" customWidth="1"/>
    <col min="3358" max="3358" width="7.875" style="3286" customWidth="1"/>
    <col min="3359" max="3359" width="32.75" style="3286" customWidth="1"/>
    <col min="3360" max="3360" width="26.125" style="3286" customWidth="1"/>
    <col min="3361" max="3363" width="10.625" style="3286" customWidth="1"/>
    <col min="3364" max="3365" width="16" style="3286" customWidth="1"/>
    <col min="3366" max="3367" width="14.375" style="3286" customWidth="1"/>
    <col min="3368" max="3369" width="21.875" style="3286" customWidth="1"/>
    <col min="3370" max="3370" width="6.25" style="3286" customWidth="1"/>
    <col min="3371" max="3371" width="19.5" style="3286" customWidth="1"/>
    <col min="3372" max="3372" width="16.875" style="3286" customWidth="1"/>
    <col min="3373" max="3374" width="20.125" style="3286" customWidth="1"/>
    <col min="3375" max="3375" width="7.875" style="3286" customWidth="1"/>
    <col min="3376" max="3584" width="9" style="3286"/>
    <col min="3585" max="3585" width="57.875" style="3286" customWidth="1"/>
    <col min="3586" max="3586" width="6.25" style="3286" customWidth="1"/>
    <col min="3587" max="3587" width="13.875" style="3286" customWidth="1"/>
    <col min="3588" max="3588" width="6.25" style="3286" customWidth="1"/>
    <col min="3589" max="3589" width="9.625" style="3286" customWidth="1"/>
    <col min="3590" max="3590" width="57.875" style="3286" customWidth="1"/>
    <col min="3591" max="3591" width="37.5" style="3286" customWidth="1"/>
    <col min="3592" max="3593" width="13.875" style="3286" customWidth="1"/>
    <col min="3594" max="3594" width="25.375" style="3286" customWidth="1"/>
    <col min="3595" max="3595" width="7.875" style="3286" customWidth="1"/>
    <col min="3596" max="3596" width="53.875" style="3286" customWidth="1"/>
    <col min="3597" max="3598" width="7.875" style="3286" customWidth="1"/>
    <col min="3599" max="3600" width="24.5" style="3286" customWidth="1"/>
    <col min="3601" max="3601" width="9.625" style="3286" customWidth="1"/>
    <col min="3602" max="3603" width="15.5" style="3286" customWidth="1"/>
    <col min="3604" max="3604" width="12.875" style="3286" customWidth="1"/>
    <col min="3605" max="3606" width="22" style="3286" customWidth="1"/>
    <col min="3607" max="3607" width="17.875" style="3286" customWidth="1"/>
    <col min="3608" max="3608" width="7.875" style="3286" customWidth="1"/>
    <col min="3609" max="3612" width="9" style="3286" customWidth="1"/>
    <col min="3613" max="3613" width="67.625" style="3286" customWidth="1"/>
    <col min="3614" max="3614" width="7.875" style="3286" customWidth="1"/>
    <col min="3615" max="3615" width="32.75" style="3286" customWidth="1"/>
    <col min="3616" max="3616" width="26.125" style="3286" customWidth="1"/>
    <col min="3617" max="3619" width="10.625" style="3286" customWidth="1"/>
    <col min="3620" max="3621" width="16" style="3286" customWidth="1"/>
    <col min="3622" max="3623" width="14.375" style="3286" customWidth="1"/>
    <col min="3624" max="3625" width="21.875" style="3286" customWidth="1"/>
    <col min="3626" max="3626" width="6.25" style="3286" customWidth="1"/>
    <col min="3627" max="3627" width="19.5" style="3286" customWidth="1"/>
    <col min="3628" max="3628" width="16.875" style="3286" customWidth="1"/>
    <col min="3629" max="3630" width="20.125" style="3286" customWidth="1"/>
    <col min="3631" max="3631" width="7.875" style="3286" customWidth="1"/>
    <col min="3632" max="3840" width="9" style="3286"/>
    <col min="3841" max="3841" width="57.875" style="3286" customWidth="1"/>
    <col min="3842" max="3842" width="6.25" style="3286" customWidth="1"/>
    <col min="3843" max="3843" width="13.875" style="3286" customWidth="1"/>
    <col min="3844" max="3844" width="6.25" style="3286" customWidth="1"/>
    <col min="3845" max="3845" width="9.625" style="3286" customWidth="1"/>
    <col min="3846" max="3846" width="57.875" style="3286" customWidth="1"/>
    <col min="3847" max="3847" width="37.5" style="3286" customWidth="1"/>
    <col min="3848" max="3849" width="13.875" style="3286" customWidth="1"/>
    <col min="3850" max="3850" width="25.375" style="3286" customWidth="1"/>
    <col min="3851" max="3851" width="7.875" style="3286" customWidth="1"/>
    <col min="3852" max="3852" width="53.875" style="3286" customWidth="1"/>
    <col min="3853" max="3854" width="7.875" style="3286" customWidth="1"/>
    <col min="3855" max="3856" width="24.5" style="3286" customWidth="1"/>
    <col min="3857" max="3857" width="9.625" style="3286" customWidth="1"/>
    <col min="3858" max="3859" width="15.5" style="3286" customWidth="1"/>
    <col min="3860" max="3860" width="12.875" style="3286" customWidth="1"/>
    <col min="3861" max="3862" width="22" style="3286" customWidth="1"/>
    <col min="3863" max="3863" width="17.875" style="3286" customWidth="1"/>
    <col min="3864" max="3864" width="7.875" style="3286" customWidth="1"/>
    <col min="3865" max="3868" width="9" style="3286" customWidth="1"/>
    <col min="3869" max="3869" width="67.625" style="3286" customWidth="1"/>
    <col min="3870" max="3870" width="7.875" style="3286" customWidth="1"/>
    <col min="3871" max="3871" width="32.75" style="3286" customWidth="1"/>
    <col min="3872" max="3872" width="26.125" style="3286" customWidth="1"/>
    <col min="3873" max="3875" width="10.625" style="3286" customWidth="1"/>
    <col min="3876" max="3877" width="16" style="3286" customWidth="1"/>
    <col min="3878" max="3879" width="14.375" style="3286" customWidth="1"/>
    <col min="3880" max="3881" width="21.875" style="3286" customWidth="1"/>
    <col min="3882" max="3882" width="6.25" style="3286" customWidth="1"/>
    <col min="3883" max="3883" width="19.5" style="3286" customWidth="1"/>
    <col min="3884" max="3884" width="16.875" style="3286" customWidth="1"/>
    <col min="3885" max="3886" width="20.125" style="3286" customWidth="1"/>
    <col min="3887" max="3887" width="7.875" style="3286" customWidth="1"/>
    <col min="3888" max="4096" width="9" style="3286"/>
    <col min="4097" max="4097" width="57.875" style="3286" customWidth="1"/>
    <col min="4098" max="4098" width="6.25" style="3286" customWidth="1"/>
    <col min="4099" max="4099" width="13.875" style="3286" customWidth="1"/>
    <col min="4100" max="4100" width="6.25" style="3286" customWidth="1"/>
    <col min="4101" max="4101" width="9.625" style="3286" customWidth="1"/>
    <col min="4102" max="4102" width="57.875" style="3286" customWidth="1"/>
    <col min="4103" max="4103" width="37.5" style="3286" customWidth="1"/>
    <col min="4104" max="4105" width="13.875" style="3286" customWidth="1"/>
    <col min="4106" max="4106" width="25.375" style="3286" customWidth="1"/>
    <col min="4107" max="4107" width="7.875" style="3286" customWidth="1"/>
    <col min="4108" max="4108" width="53.875" style="3286" customWidth="1"/>
    <col min="4109" max="4110" width="7.875" style="3286" customWidth="1"/>
    <col min="4111" max="4112" width="24.5" style="3286" customWidth="1"/>
    <col min="4113" max="4113" width="9.625" style="3286" customWidth="1"/>
    <col min="4114" max="4115" width="15.5" style="3286" customWidth="1"/>
    <col min="4116" max="4116" width="12.875" style="3286" customWidth="1"/>
    <col min="4117" max="4118" width="22" style="3286" customWidth="1"/>
    <col min="4119" max="4119" width="17.875" style="3286" customWidth="1"/>
    <col min="4120" max="4120" width="7.875" style="3286" customWidth="1"/>
    <col min="4121" max="4124" width="9" style="3286" customWidth="1"/>
    <col min="4125" max="4125" width="67.625" style="3286" customWidth="1"/>
    <col min="4126" max="4126" width="7.875" style="3286" customWidth="1"/>
    <col min="4127" max="4127" width="32.75" style="3286" customWidth="1"/>
    <col min="4128" max="4128" width="26.125" style="3286" customWidth="1"/>
    <col min="4129" max="4131" width="10.625" style="3286" customWidth="1"/>
    <col min="4132" max="4133" width="16" style="3286" customWidth="1"/>
    <col min="4134" max="4135" width="14.375" style="3286" customWidth="1"/>
    <col min="4136" max="4137" width="21.875" style="3286" customWidth="1"/>
    <col min="4138" max="4138" width="6.25" style="3286" customWidth="1"/>
    <col min="4139" max="4139" width="19.5" style="3286" customWidth="1"/>
    <col min="4140" max="4140" width="16.875" style="3286" customWidth="1"/>
    <col min="4141" max="4142" width="20.125" style="3286" customWidth="1"/>
    <col min="4143" max="4143" width="7.875" style="3286" customWidth="1"/>
    <col min="4144" max="4352" width="9" style="3286"/>
    <col min="4353" max="4353" width="57.875" style="3286" customWidth="1"/>
    <col min="4354" max="4354" width="6.25" style="3286" customWidth="1"/>
    <col min="4355" max="4355" width="13.875" style="3286" customWidth="1"/>
    <col min="4356" max="4356" width="6.25" style="3286" customWidth="1"/>
    <col min="4357" max="4357" width="9.625" style="3286" customWidth="1"/>
    <col min="4358" max="4358" width="57.875" style="3286" customWidth="1"/>
    <col min="4359" max="4359" width="37.5" style="3286" customWidth="1"/>
    <col min="4360" max="4361" width="13.875" style="3286" customWidth="1"/>
    <col min="4362" max="4362" width="25.375" style="3286" customWidth="1"/>
    <col min="4363" max="4363" width="7.875" style="3286" customWidth="1"/>
    <col min="4364" max="4364" width="53.875" style="3286" customWidth="1"/>
    <col min="4365" max="4366" width="7.875" style="3286" customWidth="1"/>
    <col min="4367" max="4368" width="24.5" style="3286" customWidth="1"/>
    <col min="4369" max="4369" width="9.625" style="3286" customWidth="1"/>
    <col min="4370" max="4371" width="15.5" style="3286" customWidth="1"/>
    <col min="4372" max="4372" width="12.875" style="3286" customWidth="1"/>
    <col min="4373" max="4374" width="22" style="3286" customWidth="1"/>
    <col min="4375" max="4375" width="17.875" style="3286" customWidth="1"/>
    <col min="4376" max="4376" width="7.875" style="3286" customWidth="1"/>
    <col min="4377" max="4380" width="9" style="3286" customWidth="1"/>
    <col min="4381" max="4381" width="67.625" style="3286" customWidth="1"/>
    <col min="4382" max="4382" width="7.875" style="3286" customWidth="1"/>
    <col min="4383" max="4383" width="32.75" style="3286" customWidth="1"/>
    <col min="4384" max="4384" width="26.125" style="3286" customWidth="1"/>
    <col min="4385" max="4387" width="10.625" style="3286" customWidth="1"/>
    <col min="4388" max="4389" width="16" style="3286" customWidth="1"/>
    <col min="4390" max="4391" width="14.375" style="3286" customWidth="1"/>
    <col min="4392" max="4393" width="21.875" style="3286" customWidth="1"/>
    <col min="4394" max="4394" width="6.25" style="3286" customWidth="1"/>
    <col min="4395" max="4395" width="19.5" style="3286" customWidth="1"/>
    <col min="4396" max="4396" width="16.875" style="3286" customWidth="1"/>
    <col min="4397" max="4398" width="20.125" style="3286" customWidth="1"/>
    <col min="4399" max="4399" width="7.875" style="3286" customWidth="1"/>
    <col min="4400" max="4608" width="9" style="3286"/>
    <col min="4609" max="4609" width="57.875" style="3286" customWidth="1"/>
    <col min="4610" max="4610" width="6.25" style="3286" customWidth="1"/>
    <col min="4611" max="4611" width="13.875" style="3286" customWidth="1"/>
    <col min="4612" max="4612" width="6.25" style="3286" customWidth="1"/>
    <col min="4613" max="4613" width="9.625" style="3286" customWidth="1"/>
    <col min="4614" max="4614" width="57.875" style="3286" customWidth="1"/>
    <col min="4615" max="4615" width="37.5" style="3286" customWidth="1"/>
    <col min="4616" max="4617" width="13.875" style="3286" customWidth="1"/>
    <col min="4618" max="4618" width="25.375" style="3286" customWidth="1"/>
    <col min="4619" max="4619" width="7.875" style="3286" customWidth="1"/>
    <col min="4620" max="4620" width="53.875" style="3286" customWidth="1"/>
    <col min="4621" max="4622" width="7.875" style="3286" customWidth="1"/>
    <col min="4623" max="4624" width="24.5" style="3286" customWidth="1"/>
    <col min="4625" max="4625" width="9.625" style="3286" customWidth="1"/>
    <col min="4626" max="4627" width="15.5" style="3286" customWidth="1"/>
    <col min="4628" max="4628" width="12.875" style="3286" customWidth="1"/>
    <col min="4629" max="4630" width="22" style="3286" customWidth="1"/>
    <col min="4631" max="4631" width="17.875" style="3286" customWidth="1"/>
    <col min="4632" max="4632" width="7.875" style="3286" customWidth="1"/>
    <col min="4633" max="4636" width="9" style="3286" customWidth="1"/>
    <col min="4637" max="4637" width="67.625" style="3286" customWidth="1"/>
    <col min="4638" max="4638" width="7.875" style="3286" customWidth="1"/>
    <col min="4639" max="4639" width="32.75" style="3286" customWidth="1"/>
    <col min="4640" max="4640" width="26.125" style="3286" customWidth="1"/>
    <col min="4641" max="4643" width="10.625" style="3286" customWidth="1"/>
    <col min="4644" max="4645" width="16" style="3286" customWidth="1"/>
    <col min="4646" max="4647" width="14.375" style="3286" customWidth="1"/>
    <col min="4648" max="4649" width="21.875" style="3286" customWidth="1"/>
    <col min="4650" max="4650" width="6.25" style="3286" customWidth="1"/>
    <col min="4651" max="4651" width="19.5" style="3286" customWidth="1"/>
    <col min="4652" max="4652" width="16.875" style="3286" customWidth="1"/>
    <col min="4653" max="4654" width="20.125" style="3286" customWidth="1"/>
    <col min="4655" max="4655" width="7.875" style="3286" customWidth="1"/>
    <col min="4656" max="4864" width="9" style="3286"/>
    <col min="4865" max="4865" width="57.875" style="3286" customWidth="1"/>
    <col min="4866" max="4866" width="6.25" style="3286" customWidth="1"/>
    <col min="4867" max="4867" width="13.875" style="3286" customWidth="1"/>
    <col min="4868" max="4868" width="6.25" style="3286" customWidth="1"/>
    <col min="4869" max="4869" width="9.625" style="3286" customWidth="1"/>
    <col min="4870" max="4870" width="57.875" style="3286" customWidth="1"/>
    <col min="4871" max="4871" width="37.5" style="3286" customWidth="1"/>
    <col min="4872" max="4873" width="13.875" style="3286" customWidth="1"/>
    <col min="4874" max="4874" width="25.375" style="3286" customWidth="1"/>
    <col min="4875" max="4875" width="7.875" style="3286" customWidth="1"/>
    <col min="4876" max="4876" width="53.875" style="3286" customWidth="1"/>
    <col min="4877" max="4878" width="7.875" style="3286" customWidth="1"/>
    <col min="4879" max="4880" width="24.5" style="3286" customWidth="1"/>
    <col min="4881" max="4881" width="9.625" style="3286" customWidth="1"/>
    <col min="4882" max="4883" width="15.5" style="3286" customWidth="1"/>
    <col min="4884" max="4884" width="12.875" style="3286" customWidth="1"/>
    <col min="4885" max="4886" width="22" style="3286" customWidth="1"/>
    <col min="4887" max="4887" width="17.875" style="3286" customWidth="1"/>
    <col min="4888" max="4888" width="7.875" style="3286" customWidth="1"/>
    <col min="4889" max="4892" width="9" style="3286" customWidth="1"/>
    <col min="4893" max="4893" width="67.625" style="3286" customWidth="1"/>
    <col min="4894" max="4894" width="7.875" style="3286" customWidth="1"/>
    <col min="4895" max="4895" width="32.75" style="3286" customWidth="1"/>
    <col min="4896" max="4896" width="26.125" style="3286" customWidth="1"/>
    <col min="4897" max="4899" width="10.625" style="3286" customWidth="1"/>
    <col min="4900" max="4901" width="16" style="3286" customWidth="1"/>
    <col min="4902" max="4903" width="14.375" style="3286" customWidth="1"/>
    <col min="4904" max="4905" width="21.875" style="3286" customWidth="1"/>
    <col min="4906" max="4906" width="6.25" style="3286" customWidth="1"/>
    <col min="4907" max="4907" width="19.5" style="3286" customWidth="1"/>
    <col min="4908" max="4908" width="16.875" style="3286" customWidth="1"/>
    <col min="4909" max="4910" width="20.125" style="3286" customWidth="1"/>
    <col min="4911" max="4911" width="7.875" style="3286" customWidth="1"/>
    <col min="4912" max="5120" width="9" style="3286"/>
    <col min="5121" max="5121" width="57.875" style="3286" customWidth="1"/>
    <col min="5122" max="5122" width="6.25" style="3286" customWidth="1"/>
    <col min="5123" max="5123" width="13.875" style="3286" customWidth="1"/>
    <col min="5124" max="5124" width="6.25" style="3286" customWidth="1"/>
    <col min="5125" max="5125" width="9.625" style="3286" customWidth="1"/>
    <col min="5126" max="5126" width="57.875" style="3286" customWidth="1"/>
    <col min="5127" max="5127" width="37.5" style="3286" customWidth="1"/>
    <col min="5128" max="5129" width="13.875" style="3286" customWidth="1"/>
    <col min="5130" max="5130" width="25.375" style="3286" customWidth="1"/>
    <col min="5131" max="5131" width="7.875" style="3286" customWidth="1"/>
    <col min="5132" max="5132" width="53.875" style="3286" customWidth="1"/>
    <col min="5133" max="5134" width="7.875" style="3286" customWidth="1"/>
    <col min="5135" max="5136" width="24.5" style="3286" customWidth="1"/>
    <col min="5137" max="5137" width="9.625" style="3286" customWidth="1"/>
    <col min="5138" max="5139" width="15.5" style="3286" customWidth="1"/>
    <col min="5140" max="5140" width="12.875" style="3286" customWidth="1"/>
    <col min="5141" max="5142" width="22" style="3286" customWidth="1"/>
    <col min="5143" max="5143" width="17.875" style="3286" customWidth="1"/>
    <col min="5144" max="5144" width="7.875" style="3286" customWidth="1"/>
    <col min="5145" max="5148" width="9" style="3286" customWidth="1"/>
    <col min="5149" max="5149" width="67.625" style="3286" customWidth="1"/>
    <col min="5150" max="5150" width="7.875" style="3286" customWidth="1"/>
    <col min="5151" max="5151" width="32.75" style="3286" customWidth="1"/>
    <col min="5152" max="5152" width="26.125" style="3286" customWidth="1"/>
    <col min="5153" max="5155" width="10.625" style="3286" customWidth="1"/>
    <col min="5156" max="5157" width="16" style="3286" customWidth="1"/>
    <col min="5158" max="5159" width="14.375" style="3286" customWidth="1"/>
    <col min="5160" max="5161" width="21.875" style="3286" customWidth="1"/>
    <col min="5162" max="5162" width="6.25" style="3286" customWidth="1"/>
    <col min="5163" max="5163" width="19.5" style="3286" customWidth="1"/>
    <col min="5164" max="5164" width="16.875" style="3286" customWidth="1"/>
    <col min="5165" max="5166" width="20.125" style="3286" customWidth="1"/>
    <col min="5167" max="5167" width="7.875" style="3286" customWidth="1"/>
    <col min="5168" max="5376" width="9" style="3286"/>
    <col min="5377" max="5377" width="57.875" style="3286" customWidth="1"/>
    <col min="5378" max="5378" width="6.25" style="3286" customWidth="1"/>
    <col min="5379" max="5379" width="13.875" style="3286" customWidth="1"/>
    <col min="5380" max="5380" width="6.25" style="3286" customWidth="1"/>
    <col min="5381" max="5381" width="9.625" style="3286" customWidth="1"/>
    <col min="5382" max="5382" width="57.875" style="3286" customWidth="1"/>
    <col min="5383" max="5383" width="37.5" style="3286" customWidth="1"/>
    <col min="5384" max="5385" width="13.875" style="3286" customWidth="1"/>
    <col min="5386" max="5386" width="25.375" style="3286" customWidth="1"/>
    <col min="5387" max="5387" width="7.875" style="3286" customWidth="1"/>
    <col min="5388" max="5388" width="53.875" style="3286" customWidth="1"/>
    <col min="5389" max="5390" width="7.875" style="3286" customWidth="1"/>
    <col min="5391" max="5392" width="24.5" style="3286" customWidth="1"/>
    <col min="5393" max="5393" width="9.625" style="3286" customWidth="1"/>
    <col min="5394" max="5395" width="15.5" style="3286" customWidth="1"/>
    <col min="5396" max="5396" width="12.875" style="3286" customWidth="1"/>
    <col min="5397" max="5398" width="22" style="3286" customWidth="1"/>
    <col min="5399" max="5399" width="17.875" style="3286" customWidth="1"/>
    <col min="5400" max="5400" width="7.875" style="3286" customWidth="1"/>
    <col min="5401" max="5404" width="9" style="3286" customWidth="1"/>
    <col min="5405" max="5405" width="67.625" style="3286" customWidth="1"/>
    <col min="5406" max="5406" width="7.875" style="3286" customWidth="1"/>
    <col min="5407" max="5407" width="32.75" style="3286" customWidth="1"/>
    <col min="5408" max="5408" width="26.125" style="3286" customWidth="1"/>
    <col min="5409" max="5411" width="10.625" style="3286" customWidth="1"/>
    <col min="5412" max="5413" width="16" style="3286" customWidth="1"/>
    <col min="5414" max="5415" width="14.375" style="3286" customWidth="1"/>
    <col min="5416" max="5417" width="21.875" style="3286" customWidth="1"/>
    <col min="5418" max="5418" width="6.25" style="3286" customWidth="1"/>
    <col min="5419" max="5419" width="19.5" style="3286" customWidth="1"/>
    <col min="5420" max="5420" width="16.875" style="3286" customWidth="1"/>
    <col min="5421" max="5422" width="20.125" style="3286" customWidth="1"/>
    <col min="5423" max="5423" width="7.875" style="3286" customWidth="1"/>
    <col min="5424" max="5632" width="9" style="3286"/>
    <col min="5633" max="5633" width="57.875" style="3286" customWidth="1"/>
    <col min="5634" max="5634" width="6.25" style="3286" customWidth="1"/>
    <col min="5635" max="5635" width="13.875" style="3286" customWidth="1"/>
    <col min="5636" max="5636" width="6.25" style="3286" customWidth="1"/>
    <col min="5637" max="5637" width="9.625" style="3286" customWidth="1"/>
    <col min="5638" max="5638" width="57.875" style="3286" customWidth="1"/>
    <col min="5639" max="5639" width="37.5" style="3286" customWidth="1"/>
    <col min="5640" max="5641" width="13.875" style="3286" customWidth="1"/>
    <col min="5642" max="5642" width="25.375" style="3286" customWidth="1"/>
    <col min="5643" max="5643" width="7.875" style="3286" customWidth="1"/>
    <col min="5644" max="5644" width="53.875" style="3286" customWidth="1"/>
    <col min="5645" max="5646" width="7.875" style="3286" customWidth="1"/>
    <col min="5647" max="5648" width="24.5" style="3286" customWidth="1"/>
    <col min="5649" max="5649" width="9.625" style="3286" customWidth="1"/>
    <col min="5650" max="5651" width="15.5" style="3286" customWidth="1"/>
    <col min="5652" max="5652" width="12.875" style="3286" customWidth="1"/>
    <col min="5653" max="5654" width="22" style="3286" customWidth="1"/>
    <col min="5655" max="5655" width="17.875" style="3286" customWidth="1"/>
    <col min="5656" max="5656" width="7.875" style="3286" customWidth="1"/>
    <col min="5657" max="5660" width="9" style="3286" customWidth="1"/>
    <col min="5661" max="5661" width="67.625" style="3286" customWidth="1"/>
    <col min="5662" max="5662" width="7.875" style="3286" customWidth="1"/>
    <col min="5663" max="5663" width="32.75" style="3286" customWidth="1"/>
    <col min="5664" max="5664" width="26.125" style="3286" customWidth="1"/>
    <col min="5665" max="5667" width="10.625" style="3286" customWidth="1"/>
    <col min="5668" max="5669" width="16" style="3286" customWidth="1"/>
    <col min="5670" max="5671" width="14.375" style="3286" customWidth="1"/>
    <col min="5672" max="5673" width="21.875" style="3286" customWidth="1"/>
    <col min="5674" max="5674" width="6.25" style="3286" customWidth="1"/>
    <col min="5675" max="5675" width="19.5" style="3286" customWidth="1"/>
    <col min="5676" max="5676" width="16.875" style="3286" customWidth="1"/>
    <col min="5677" max="5678" width="20.125" style="3286" customWidth="1"/>
    <col min="5679" max="5679" width="7.875" style="3286" customWidth="1"/>
    <col min="5680" max="5888" width="9" style="3286"/>
    <col min="5889" max="5889" width="57.875" style="3286" customWidth="1"/>
    <col min="5890" max="5890" width="6.25" style="3286" customWidth="1"/>
    <col min="5891" max="5891" width="13.875" style="3286" customWidth="1"/>
    <col min="5892" max="5892" width="6.25" style="3286" customWidth="1"/>
    <col min="5893" max="5893" width="9.625" style="3286" customWidth="1"/>
    <col min="5894" max="5894" width="57.875" style="3286" customWidth="1"/>
    <col min="5895" max="5895" width="37.5" style="3286" customWidth="1"/>
    <col min="5896" max="5897" width="13.875" style="3286" customWidth="1"/>
    <col min="5898" max="5898" width="25.375" style="3286" customWidth="1"/>
    <col min="5899" max="5899" width="7.875" style="3286" customWidth="1"/>
    <col min="5900" max="5900" width="53.875" style="3286" customWidth="1"/>
    <col min="5901" max="5902" width="7.875" style="3286" customWidth="1"/>
    <col min="5903" max="5904" width="24.5" style="3286" customWidth="1"/>
    <col min="5905" max="5905" width="9.625" style="3286" customWidth="1"/>
    <col min="5906" max="5907" width="15.5" style="3286" customWidth="1"/>
    <col min="5908" max="5908" width="12.875" style="3286" customWidth="1"/>
    <col min="5909" max="5910" width="22" style="3286" customWidth="1"/>
    <col min="5911" max="5911" width="17.875" style="3286" customWidth="1"/>
    <col min="5912" max="5912" width="7.875" style="3286" customWidth="1"/>
    <col min="5913" max="5916" width="9" style="3286" customWidth="1"/>
    <col min="5917" max="5917" width="67.625" style="3286" customWidth="1"/>
    <col min="5918" max="5918" width="7.875" style="3286" customWidth="1"/>
    <col min="5919" max="5919" width="32.75" style="3286" customWidth="1"/>
    <col min="5920" max="5920" width="26.125" style="3286" customWidth="1"/>
    <col min="5921" max="5923" width="10.625" style="3286" customWidth="1"/>
    <col min="5924" max="5925" width="16" style="3286" customWidth="1"/>
    <col min="5926" max="5927" width="14.375" style="3286" customWidth="1"/>
    <col min="5928" max="5929" width="21.875" style="3286" customWidth="1"/>
    <col min="5930" max="5930" width="6.25" style="3286" customWidth="1"/>
    <col min="5931" max="5931" width="19.5" style="3286" customWidth="1"/>
    <col min="5932" max="5932" width="16.875" style="3286" customWidth="1"/>
    <col min="5933" max="5934" width="20.125" style="3286" customWidth="1"/>
    <col min="5935" max="5935" width="7.875" style="3286" customWidth="1"/>
    <col min="5936" max="6144" width="9" style="3286"/>
    <col min="6145" max="6145" width="57.875" style="3286" customWidth="1"/>
    <col min="6146" max="6146" width="6.25" style="3286" customWidth="1"/>
    <col min="6147" max="6147" width="13.875" style="3286" customWidth="1"/>
    <col min="6148" max="6148" width="6.25" style="3286" customWidth="1"/>
    <col min="6149" max="6149" width="9.625" style="3286" customWidth="1"/>
    <col min="6150" max="6150" width="57.875" style="3286" customWidth="1"/>
    <col min="6151" max="6151" width="37.5" style="3286" customWidth="1"/>
    <col min="6152" max="6153" width="13.875" style="3286" customWidth="1"/>
    <col min="6154" max="6154" width="25.375" style="3286" customWidth="1"/>
    <col min="6155" max="6155" width="7.875" style="3286" customWidth="1"/>
    <col min="6156" max="6156" width="53.875" style="3286" customWidth="1"/>
    <col min="6157" max="6158" width="7.875" style="3286" customWidth="1"/>
    <col min="6159" max="6160" width="24.5" style="3286" customWidth="1"/>
    <col min="6161" max="6161" width="9.625" style="3286" customWidth="1"/>
    <col min="6162" max="6163" width="15.5" style="3286" customWidth="1"/>
    <col min="6164" max="6164" width="12.875" style="3286" customWidth="1"/>
    <col min="6165" max="6166" width="22" style="3286" customWidth="1"/>
    <col min="6167" max="6167" width="17.875" style="3286" customWidth="1"/>
    <col min="6168" max="6168" width="7.875" style="3286" customWidth="1"/>
    <col min="6169" max="6172" width="9" style="3286" customWidth="1"/>
    <col min="6173" max="6173" width="67.625" style="3286" customWidth="1"/>
    <col min="6174" max="6174" width="7.875" style="3286" customWidth="1"/>
    <col min="6175" max="6175" width="32.75" style="3286" customWidth="1"/>
    <col min="6176" max="6176" width="26.125" style="3286" customWidth="1"/>
    <col min="6177" max="6179" width="10.625" style="3286" customWidth="1"/>
    <col min="6180" max="6181" width="16" style="3286" customWidth="1"/>
    <col min="6182" max="6183" width="14.375" style="3286" customWidth="1"/>
    <col min="6184" max="6185" width="21.875" style="3286" customWidth="1"/>
    <col min="6186" max="6186" width="6.25" style="3286" customWidth="1"/>
    <col min="6187" max="6187" width="19.5" style="3286" customWidth="1"/>
    <col min="6188" max="6188" width="16.875" style="3286" customWidth="1"/>
    <col min="6189" max="6190" width="20.125" style="3286" customWidth="1"/>
    <col min="6191" max="6191" width="7.875" style="3286" customWidth="1"/>
    <col min="6192" max="6400" width="9" style="3286"/>
    <col min="6401" max="6401" width="57.875" style="3286" customWidth="1"/>
    <col min="6402" max="6402" width="6.25" style="3286" customWidth="1"/>
    <col min="6403" max="6403" width="13.875" style="3286" customWidth="1"/>
    <col min="6404" max="6404" width="6.25" style="3286" customWidth="1"/>
    <col min="6405" max="6405" width="9.625" style="3286" customWidth="1"/>
    <col min="6406" max="6406" width="57.875" style="3286" customWidth="1"/>
    <col min="6407" max="6407" width="37.5" style="3286" customWidth="1"/>
    <col min="6408" max="6409" width="13.875" style="3286" customWidth="1"/>
    <col min="6410" max="6410" width="25.375" style="3286" customWidth="1"/>
    <col min="6411" max="6411" width="7.875" style="3286" customWidth="1"/>
    <col min="6412" max="6412" width="53.875" style="3286" customWidth="1"/>
    <col min="6413" max="6414" width="7.875" style="3286" customWidth="1"/>
    <col min="6415" max="6416" width="24.5" style="3286" customWidth="1"/>
    <col min="6417" max="6417" width="9.625" style="3286" customWidth="1"/>
    <col min="6418" max="6419" width="15.5" style="3286" customWidth="1"/>
    <col min="6420" max="6420" width="12.875" style="3286" customWidth="1"/>
    <col min="6421" max="6422" width="22" style="3286" customWidth="1"/>
    <col min="6423" max="6423" width="17.875" style="3286" customWidth="1"/>
    <col min="6424" max="6424" width="7.875" style="3286" customWidth="1"/>
    <col min="6425" max="6428" width="9" style="3286" customWidth="1"/>
    <col min="6429" max="6429" width="67.625" style="3286" customWidth="1"/>
    <col min="6430" max="6430" width="7.875" style="3286" customWidth="1"/>
    <col min="6431" max="6431" width="32.75" style="3286" customWidth="1"/>
    <col min="6432" max="6432" width="26.125" style="3286" customWidth="1"/>
    <col min="6433" max="6435" width="10.625" style="3286" customWidth="1"/>
    <col min="6436" max="6437" width="16" style="3286" customWidth="1"/>
    <col min="6438" max="6439" width="14.375" style="3286" customWidth="1"/>
    <col min="6440" max="6441" width="21.875" style="3286" customWidth="1"/>
    <col min="6442" max="6442" width="6.25" style="3286" customWidth="1"/>
    <col min="6443" max="6443" width="19.5" style="3286" customWidth="1"/>
    <col min="6444" max="6444" width="16.875" style="3286" customWidth="1"/>
    <col min="6445" max="6446" width="20.125" style="3286" customWidth="1"/>
    <col min="6447" max="6447" width="7.875" style="3286" customWidth="1"/>
    <col min="6448" max="6656" width="9" style="3286"/>
    <col min="6657" max="6657" width="57.875" style="3286" customWidth="1"/>
    <col min="6658" max="6658" width="6.25" style="3286" customWidth="1"/>
    <col min="6659" max="6659" width="13.875" style="3286" customWidth="1"/>
    <col min="6660" max="6660" width="6.25" style="3286" customWidth="1"/>
    <col min="6661" max="6661" width="9.625" style="3286" customWidth="1"/>
    <col min="6662" max="6662" width="57.875" style="3286" customWidth="1"/>
    <col min="6663" max="6663" width="37.5" style="3286" customWidth="1"/>
    <col min="6664" max="6665" width="13.875" style="3286" customWidth="1"/>
    <col min="6666" max="6666" width="25.375" style="3286" customWidth="1"/>
    <col min="6667" max="6667" width="7.875" style="3286" customWidth="1"/>
    <col min="6668" max="6668" width="53.875" style="3286" customWidth="1"/>
    <col min="6669" max="6670" width="7.875" style="3286" customWidth="1"/>
    <col min="6671" max="6672" width="24.5" style="3286" customWidth="1"/>
    <col min="6673" max="6673" width="9.625" style="3286" customWidth="1"/>
    <col min="6674" max="6675" width="15.5" style="3286" customWidth="1"/>
    <col min="6676" max="6676" width="12.875" style="3286" customWidth="1"/>
    <col min="6677" max="6678" width="22" style="3286" customWidth="1"/>
    <col min="6679" max="6679" width="17.875" style="3286" customWidth="1"/>
    <col min="6680" max="6680" width="7.875" style="3286" customWidth="1"/>
    <col min="6681" max="6684" width="9" style="3286" customWidth="1"/>
    <col min="6685" max="6685" width="67.625" style="3286" customWidth="1"/>
    <col min="6686" max="6686" width="7.875" style="3286" customWidth="1"/>
    <col min="6687" max="6687" width="32.75" style="3286" customWidth="1"/>
    <col min="6688" max="6688" width="26.125" style="3286" customWidth="1"/>
    <col min="6689" max="6691" width="10.625" style="3286" customWidth="1"/>
    <col min="6692" max="6693" width="16" style="3286" customWidth="1"/>
    <col min="6694" max="6695" width="14.375" style="3286" customWidth="1"/>
    <col min="6696" max="6697" width="21.875" style="3286" customWidth="1"/>
    <col min="6698" max="6698" width="6.25" style="3286" customWidth="1"/>
    <col min="6699" max="6699" width="19.5" style="3286" customWidth="1"/>
    <col min="6700" max="6700" width="16.875" style="3286" customWidth="1"/>
    <col min="6701" max="6702" width="20.125" style="3286" customWidth="1"/>
    <col min="6703" max="6703" width="7.875" style="3286" customWidth="1"/>
    <col min="6704" max="6912" width="9" style="3286"/>
    <col min="6913" max="6913" width="57.875" style="3286" customWidth="1"/>
    <col min="6914" max="6914" width="6.25" style="3286" customWidth="1"/>
    <col min="6915" max="6915" width="13.875" style="3286" customWidth="1"/>
    <col min="6916" max="6916" width="6.25" style="3286" customWidth="1"/>
    <col min="6917" max="6917" width="9.625" style="3286" customWidth="1"/>
    <col min="6918" max="6918" width="57.875" style="3286" customWidth="1"/>
    <col min="6919" max="6919" width="37.5" style="3286" customWidth="1"/>
    <col min="6920" max="6921" width="13.875" style="3286" customWidth="1"/>
    <col min="6922" max="6922" width="25.375" style="3286" customWidth="1"/>
    <col min="6923" max="6923" width="7.875" style="3286" customWidth="1"/>
    <col min="6924" max="6924" width="53.875" style="3286" customWidth="1"/>
    <col min="6925" max="6926" width="7.875" style="3286" customWidth="1"/>
    <col min="6927" max="6928" width="24.5" style="3286" customWidth="1"/>
    <col min="6929" max="6929" width="9.625" style="3286" customWidth="1"/>
    <col min="6930" max="6931" width="15.5" style="3286" customWidth="1"/>
    <col min="6932" max="6932" width="12.875" style="3286" customWidth="1"/>
    <col min="6933" max="6934" width="22" style="3286" customWidth="1"/>
    <col min="6935" max="6935" width="17.875" style="3286" customWidth="1"/>
    <col min="6936" max="6936" width="7.875" style="3286" customWidth="1"/>
    <col min="6937" max="6940" width="9" style="3286" customWidth="1"/>
    <col min="6941" max="6941" width="67.625" style="3286" customWidth="1"/>
    <col min="6942" max="6942" width="7.875" style="3286" customWidth="1"/>
    <col min="6943" max="6943" width="32.75" style="3286" customWidth="1"/>
    <col min="6944" max="6944" width="26.125" style="3286" customWidth="1"/>
    <col min="6945" max="6947" width="10.625" style="3286" customWidth="1"/>
    <col min="6948" max="6949" width="16" style="3286" customWidth="1"/>
    <col min="6950" max="6951" width="14.375" style="3286" customWidth="1"/>
    <col min="6952" max="6953" width="21.875" style="3286" customWidth="1"/>
    <col min="6954" max="6954" width="6.25" style="3286" customWidth="1"/>
    <col min="6955" max="6955" width="19.5" style="3286" customWidth="1"/>
    <col min="6956" max="6956" width="16.875" style="3286" customWidth="1"/>
    <col min="6957" max="6958" width="20.125" style="3286" customWidth="1"/>
    <col min="6959" max="6959" width="7.875" style="3286" customWidth="1"/>
    <col min="6960" max="7168" width="9" style="3286"/>
    <col min="7169" max="7169" width="57.875" style="3286" customWidth="1"/>
    <col min="7170" max="7170" width="6.25" style="3286" customWidth="1"/>
    <col min="7171" max="7171" width="13.875" style="3286" customWidth="1"/>
    <col min="7172" max="7172" width="6.25" style="3286" customWidth="1"/>
    <col min="7173" max="7173" width="9.625" style="3286" customWidth="1"/>
    <col min="7174" max="7174" width="57.875" style="3286" customWidth="1"/>
    <col min="7175" max="7175" width="37.5" style="3286" customWidth="1"/>
    <col min="7176" max="7177" width="13.875" style="3286" customWidth="1"/>
    <col min="7178" max="7178" width="25.375" style="3286" customWidth="1"/>
    <col min="7179" max="7179" width="7.875" style="3286" customWidth="1"/>
    <col min="7180" max="7180" width="53.875" style="3286" customWidth="1"/>
    <col min="7181" max="7182" width="7.875" style="3286" customWidth="1"/>
    <col min="7183" max="7184" width="24.5" style="3286" customWidth="1"/>
    <col min="7185" max="7185" width="9.625" style="3286" customWidth="1"/>
    <col min="7186" max="7187" width="15.5" style="3286" customWidth="1"/>
    <col min="7188" max="7188" width="12.875" style="3286" customWidth="1"/>
    <col min="7189" max="7190" width="22" style="3286" customWidth="1"/>
    <col min="7191" max="7191" width="17.875" style="3286" customWidth="1"/>
    <col min="7192" max="7192" width="7.875" style="3286" customWidth="1"/>
    <col min="7193" max="7196" width="9" style="3286" customWidth="1"/>
    <col min="7197" max="7197" width="67.625" style="3286" customWidth="1"/>
    <col min="7198" max="7198" width="7.875" style="3286" customWidth="1"/>
    <col min="7199" max="7199" width="32.75" style="3286" customWidth="1"/>
    <col min="7200" max="7200" width="26.125" style="3286" customWidth="1"/>
    <col min="7201" max="7203" width="10.625" style="3286" customWidth="1"/>
    <col min="7204" max="7205" width="16" style="3286" customWidth="1"/>
    <col min="7206" max="7207" width="14.375" style="3286" customWidth="1"/>
    <col min="7208" max="7209" width="21.875" style="3286" customWidth="1"/>
    <col min="7210" max="7210" width="6.25" style="3286" customWidth="1"/>
    <col min="7211" max="7211" width="19.5" style="3286" customWidth="1"/>
    <col min="7212" max="7212" width="16.875" style="3286" customWidth="1"/>
    <col min="7213" max="7214" width="20.125" style="3286" customWidth="1"/>
    <col min="7215" max="7215" width="7.875" style="3286" customWidth="1"/>
    <col min="7216" max="7424" width="9" style="3286"/>
    <col min="7425" max="7425" width="57.875" style="3286" customWidth="1"/>
    <col min="7426" max="7426" width="6.25" style="3286" customWidth="1"/>
    <col min="7427" max="7427" width="13.875" style="3286" customWidth="1"/>
    <col min="7428" max="7428" width="6.25" style="3286" customWidth="1"/>
    <col min="7429" max="7429" width="9.625" style="3286" customWidth="1"/>
    <col min="7430" max="7430" width="57.875" style="3286" customWidth="1"/>
    <col min="7431" max="7431" width="37.5" style="3286" customWidth="1"/>
    <col min="7432" max="7433" width="13.875" style="3286" customWidth="1"/>
    <col min="7434" max="7434" width="25.375" style="3286" customWidth="1"/>
    <col min="7435" max="7435" width="7.875" style="3286" customWidth="1"/>
    <col min="7436" max="7436" width="53.875" style="3286" customWidth="1"/>
    <col min="7437" max="7438" width="7.875" style="3286" customWidth="1"/>
    <col min="7439" max="7440" width="24.5" style="3286" customWidth="1"/>
    <col min="7441" max="7441" width="9.625" style="3286" customWidth="1"/>
    <col min="7442" max="7443" width="15.5" style="3286" customWidth="1"/>
    <col min="7444" max="7444" width="12.875" style="3286" customWidth="1"/>
    <col min="7445" max="7446" width="22" style="3286" customWidth="1"/>
    <col min="7447" max="7447" width="17.875" style="3286" customWidth="1"/>
    <col min="7448" max="7448" width="7.875" style="3286" customWidth="1"/>
    <col min="7449" max="7452" width="9" style="3286" customWidth="1"/>
    <col min="7453" max="7453" width="67.625" style="3286" customWidth="1"/>
    <col min="7454" max="7454" width="7.875" style="3286" customWidth="1"/>
    <col min="7455" max="7455" width="32.75" style="3286" customWidth="1"/>
    <col min="7456" max="7456" width="26.125" style="3286" customWidth="1"/>
    <col min="7457" max="7459" width="10.625" style="3286" customWidth="1"/>
    <col min="7460" max="7461" width="16" style="3286" customWidth="1"/>
    <col min="7462" max="7463" width="14.375" style="3286" customWidth="1"/>
    <col min="7464" max="7465" width="21.875" style="3286" customWidth="1"/>
    <col min="7466" max="7466" width="6.25" style="3286" customWidth="1"/>
    <col min="7467" max="7467" width="19.5" style="3286" customWidth="1"/>
    <col min="7468" max="7468" width="16.875" style="3286" customWidth="1"/>
    <col min="7469" max="7470" width="20.125" style="3286" customWidth="1"/>
    <col min="7471" max="7471" width="7.875" style="3286" customWidth="1"/>
    <col min="7472" max="7680" width="9" style="3286"/>
    <col min="7681" max="7681" width="57.875" style="3286" customWidth="1"/>
    <col min="7682" max="7682" width="6.25" style="3286" customWidth="1"/>
    <col min="7683" max="7683" width="13.875" style="3286" customWidth="1"/>
    <col min="7684" max="7684" width="6.25" style="3286" customWidth="1"/>
    <col min="7685" max="7685" width="9.625" style="3286" customWidth="1"/>
    <col min="7686" max="7686" width="57.875" style="3286" customWidth="1"/>
    <col min="7687" max="7687" width="37.5" style="3286" customWidth="1"/>
    <col min="7688" max="7689" width="13.875" style="3286" customWidth="1"/>
    <col min="7690" max="7690" width="25.375" style="3286" customWidth="1"/>
    <col min="7691" max="7691" width="7.875" style="3286" customWidth="1"/>
    <col min="7692" max="7692" width="53.875" style="3286" customWidth="1"/>
    <col min="7693" max="7694" width="7.875" style="3286" customWidth="1"/>
    <col min="7695" max="7696" width="24.5" style="3286" customWidth="1"/>
    <col min="7697" max="7697" width="9.625" style="3286" customWidth="1"/>
    <col min="7698" max="7699" width="15.5" style="3286" customWidth="1"/>
    <col min="7700" max="7700" width="12.875" style="3286" customWidth="1"/>
    <col min="7701" max="7702" width="22" style="3286" customWidth="1"/>
    <col min="7703" max="7703" width="17.875" style="3286" customWidth="1"/>
    <col min="7704" max="7704" width="7.875" style="3286" customWidth="1"/>
    <col min="7705" max="7708" width="9" style="3286" customWidth="1"/>
    <col min="7709" max="7709" width="67.625" style="3286" customWidth="1"/>
    <col min="7710" max="7710" width="7.875" style="3286" customWidth="1"/>
    <col min="7711" max="7711" width="32.75" style="3286" customWidth="1"/>
    <col min="7712" max="7712" width="26.125" style="3286" customWidth="1"/>
    <col min="7713" max="7715" width="10.625" style="3286" customWidth="1"/>
    <col min="7716" max="7717" width="16" style="3286" customWidth="1"/>
    <col min="7718" max="7719" width="14.375" style="3286" customWidth="1"/>
    <col min="7720" max="7721" width="21.875" style="3286" customWidth="1"/>
    <col min="7722" max="7722" width="6.25" style="3286" customWidth="1"/>
    <col min="7723" max="7723" width="19.5" style="3286" customWidth="1"/>
    <col min="7724" max="7724" width="16.875" style="3286" customWidth="1"/>
    <col min="7725" max="7726" width="20.125" style="3286" customWidth="1"/>
    <col min="7727" max="7727" width="7.875" style="3286" customWidth="1"/>
    <col min="7728" max="7936" width="9" style="3286"/>
    <col min="7937" max="7937" width="57.875" style="3286" customWidth="1"/>
    <col min="7938" max="7938" width="6.25" style="3286" customWidth="1"/>
    <col min="7939" max="7939" width="13.875" style="3286" customWidth="1"/>
    <col min="7940" max="7940" width="6.25" style="3286" customWidth="1"/>
    <col min="7941" max="7941" width="9.625" style="3286" customWidth="1"/>
    <col min="7942" max="7942" width="57.875" style="3286" customWidth="1"/>
    <col min="7943" max="7943" width="37.5" style="3286" customWidth="1"/>
    <col min="7944" max="7945" width="13.875" style="3286" customWidth="1"/>
    <col min="7946" max="7946" width="25.375" style="3286" customWidth="1"/>
    <col min="7947" max="7947" width="7.875" style="3286" customWidth="1"/>
    <col min="7948" max="7948" width="53.875" style="3286" customWidth="1"/>
    <col min="7949" max="7950" width="7.875" style="3286" customWidth="1"/>
    <col min="7951" max="7952" width="24.5" style="3286" customWidth="1"/>
    <col min="7953" max="7953" width="9.625" style="3286" customWidth="1"/>
    <col min="7954" max="7955" width="15.5" style="3286" customWidth="1"/>
    <col min="7956" max="7956" width="12.875" style="3286" customWidth="1"/>
    <col min="7957" max="7958" width="22" style="3286" customWidth="1"/>
    <col min="7959" max="7959" width="17.875" style="3286" customWidth="1"/>
    <col min="7960" max="7960" width="7.875" style="3286" customWidth="1"/>
    <col min="7961" max="7964" width="9" style="3286" customWidth="1"/>
    <col min="7965" max="7965" width="67.625" style="3286" customWidth="1"/>
    <col min="7966" max="7966" width="7.875" style="3286" customWidth="1"/>
    <col min="7967" max="7967" width="32.75" style="3286" customWidth="1"/>
    <col min="7968" max="7968" width="26.125" style="3286" customWidth="1"/>
    <col min="7969" max="7971" width="10.625" style="3286" customWidth="1"/>
    <col min="7972" max="7973" width="16" style="3286" customWidth="1"/>
    <col min="7974" max="7975" width="14.375" style="3286" customWidth="1"/>
    <col min="7976" max="7977" width="21.875" style="3286" customWidth="1"/>
    <col min="7978" max="7978" width="6.25" style="3286" customWidth="1"/>
    <col min="7979" max="7979" width="19.5" style="3286" customWidth="1"/>
    <col min="7980" max="7980" width="16.875" style="3286" customWidth="1"/>
    <col min="7981" max="7982" width="20.125" style="3286" customWidth="1"/>
    <col min="7983" max="7983" width="7.875" style="3286" customWidth="1"/>
    <col min="7984" max="8192" width="9" style="3286"/>
    <col min="8193" max="8193" width="57.875" style="3286" customWidth="1"/>
    <col min="8194" max="8194" width="6.25" style="3286" customWidth="1"/>
    <col min="8195" max="8195" width="13.875" style="3286" customWidth="1"/>
    <col min="8196" max="8196" width="6.25" style="3286" customWidth="1"/>
    <col min="8197" max="8197" width="9.625" style="3286" customWidth="1"/>
    <col min="8198" max="8198" width="57.875" style="3286" customWidth="1"/>
    <col min="8199" max="8199" width="37.5" style="3286" customWidth="1"/>
    <col min="8200" max="8201" width="13.875" style="3286" customWidth="1"/>
    <col min="8202" max="8202" width="25.375" style="3286" customWidth="1"/>
    <col min="8203" max="8203" width="7.875" style="3286" customWidth="1"/>
    <col min="8204" max="8204" width="53.875" style="3286" customWidth="1"/>
    <col min="8205" max="8206" width="7.875" style="3286" customWidth="1"/>
    <col min="8207" max="8208" width="24.5" style="3286" customWidth="1"/>
    <col min="8209" max="8209" width="9.625" style="3286" customWidth="1"/>
    <col min="8210" max="8211" width="15.5" style="3286" customWidth="1"/>
    <col min="8212" max="8212" width="12.875" style="3286" customWidth="1"/>
    <col min="8213" max="8214" width="22" style="3286" customWidth="1"/>
    <col min="8215" max="8215" width="17.875" style="3286" customWidth="1"/>
    <col min="8216" max="8216" width="7.875" style="3286" customWidth="1"/>
    <col min="8217" max="8220" width="9" style="3286" customWidth="1"/>
    <col min="8221" max="8221" width="67.625" style="3286" customWidth="1"/>
    <col min="8222" max="8222" width="7.875" style="3286" customWidth="1"/>
    <col min="8223" max="8223" width="32.75" style="3286" customWidth="1"/>
    <col min="8224" max="8224" width="26.125" style="3286" customWidth="1"/>
    <col min="8225" max="8227" width="10.625" style="3286" customWidth="1"/>
    <col min="8228" max="8229" width="16" style="3286" customWidth="1"/>
    <col min="8230" max="8231" width="14.375" style="3286" customWidth="1"/>
    <col min="8232" max="8233" width="21.875" style="3286" customWidth="1"/>
    <col min="8234" max="8234" width="6.25" style="3286" customWidth="1"/>
    <col min="8235" max="8235" width="19.5" style="3286" customWidth="1"/>
    <col min="8236" max="8236" width="16.875" style="3286" customWidth="1"/>
    <col min="8237" max="8238" width="20.125" style="3286" customWidth="1"/>
    <col min="8239" max="8239" width="7.875" style="3286" customWidth="1"/>
    <col min="8240" max="8448" width="9" style="3286"/>
    <col min="8449" max="8449" width="57.875" style="3286" customWidth="1"/>
    <col min="8450" max="8450" width="6.25" style="3286" customWidth="1"/>
    <col min="8451" max="8451" width="13.875" style="3286" customWidth="1"/>
    <col min="8452" max="8452" width="6.25" style="3286" customWidth="1"/>
    <col min="8453" max="8453" width="9.625" style="3286" customWidth="1"/>
    <col min="8454" max="8454" width="57.875" style="3286" customWidth="1"/>
    <col min="8455" max="8455" width="37.5" style="3286" customWidth="1"/>
    <col min="8456" max="8457" width="13.875" style="3286" customWidth="1"/>
    <col min="8458" max="8458" width="25.375" style="3286" customWidth="1"/>
    <col min="8459" max="8459" width="7.875" style="3286" customWidth="1"/>
    <col min="8460" max="8460" width="53.875" style="3286" customWidth="1"/>
    <col min="8461" max="8462" width="7.875" style="3286" customWidth="1"/>
    <col min="8463" max="8464" width="24.5" style="3286" customWidth="1"/>
    <col min="8465" max="8465" width="9.625" style="3286" customWidth="1"/>
    <col min="8466" max="8467" width="15.5" style="3286" customWidth="1"/>
    <col min="8468" max="8468" width="12.875" style="3286" customWidth="1"/>
    <col min="8469" max="8470" width="22" style="3286" customWidth="1"/>
    <col min="8471" max="8471" width="17.875" style="3286" customWidth="1"/>
    <col min="8472" max="8472" width="7.875" style="3286" customWidth="1"/>
    <col min="8473" max="8476" width="9" style="3286" customWidth="1"/>
    <col min="8477" max="8477" width="67.625" style="3286" customWidth="1"/>
    <col min="8478" max="8478" width="7.875" style="3286" customWidth="1"/>
    <col min="8479" max="8479" width="32.75" style="3286" customWidth="1"/>
    <col min="8480" max="8480" width="26.125" style="3286" customWidth="1"/>
    <col min="8481" max="8483" width="10.625" style="3286" customWidth="1"/>
    <col min="8484" max="8485" width="16" style="3286" customWidth="1"/>
    <col min="8486" max="8487" width="14.375" style="3286" customWidth="1"/>
    <col min="8488" max="8489" width="21.875" style="3286" customWidth="1"/>
    <col min="8490" max="8490" width="6.25" style="3286" customWidth="1"/>
    <col min="8491" max="8491" width="19.5" style="3286" customWidth="1"/>
    <col min="8492" max="8492" width="16.875" style="3286" customWidth="1"/>
    <col min="8493" max="8494" width="20.125" style="3286" customWidth="1"/>
    <col min="8495" max="8495" width="7.875" style="3286" customWidth="1"/>
    <col min="8496" max="8704" width="9" style="3286"/>
    <col min="8705" max="8705" width="57.875" style="3286" customWidth="1"/>
    <col min="8706" max="8706" width="6.25" style="3286" customWidth="1"/>
    <col min="8707" max="8707" width="13.875" style="3286" customWidth="1"/>
    <col min="8708" max="8708" width="6.25" style="3286" customWidth="1"/>
    <col min="8709" max="8709" width="9.625" style="3286" customWidth="1"/>
    <col min="8710" max="8710" width="57.875" style="3286" customWidth="1"/>
    <col min="8711" max="8711" width="37.5" style="3286" customWidth="1"/>
    <col min="8712" max="8713" width="13.875" style="3286" customWidth="1"/>
    <col min="8714" max="8714" width="25.375" style="3286" customWidth="1"/>
    <col min="8715" max="8715" width="7.875" style="3286" customWidth="1"/>
    <col min="8716" max="8716" width="53.875" style="3286" customWidth="1"/>
    <col min="8717" max="8718" width="7.875" style="3286" customWidth="1"/>
    <col min="8719" max="8720" width="24.5" style="3286" customWidth="1"/>
    <col min="8721" max="8721" width="9.625" style="3286" customWidth="1"/>
    <col min="8722" max="8723" width="15.5" style="3286" customWidth="1"/>
    <col min="8724" max="8724" width="12.875" style="3286" customWidth="1"/>
    <col min="8725" max="8726" width="22" style="3286" customWidth="1"/>
    <col min="8727" max="8727" width="17.875" style="3286" customWidth="1"/>
    <col min="8728" max="8728" width="7.875" style="3286" customWidth="1"/>
    <col min="8729" max="8732" width="9" style="3286" customWidth="1"/>
    <col min="8733" max="8733" width="67.625" style="3286" customWidth="1"/>
    <col min="8734" max="8734" width="7.875" style="3286" customWidth="1"/>
    <col min="8735" max="8735" width="32.75" style="3286" customWidth="1"/>
    <col min="8736" max="8736" width="26.125" style="3286" customWidth="1"/>
    <col min="8737" max="8739" width="10.625" style="3286" customWidth="1"/>
    <col min="8740" max="8741" width="16" style="3286" customWidth="1"/>
    <col min="8742" max="8743" width="14.375" style="3286" customWidth="1"/>
    <col min="8744" max="8745" width="21.875" style="3286" customWidth="1"/>
    <col min="8746" max="8746" width="6.25" style="3286" customWidth="1"/>
    <col min="8747" max="8747" width="19.5" style="3286" customWidth="1"/>
    <col min="8748" max="8748" width="16.875" style="3286" customWidth="1"/>
    <col min="8749" max="8750" width="20.125" style="3286" customWidth="1"/>
    <col min="8751" max="8751" width="7.875" style="3286" customWidth="1"/>
    <col min="8752" max="8960" width="9" style="3286"/>
    <col min="8961" max="8961" width="57.875" style="3286" customWidth="1"/>
    <col min="8962" max="8962" width="6.25" style="3286" customWidth="1"/>
    <col min="8963" max="8963" width="13.875" style="3286" customWidth="1"/>
    <col min="8964" max="8964" width="6.25" style="3286" customWidth="1"/>
    <col min="8965" max="8965" width="9.625" style="3286" customWidth="1"/>
    <col min="8966" max="8966" width="57.875" style="3286" customWidth="1"/>
    <col min="8967" max="8967" width="37.5" style="3286" customWidth="1"/>
    <col min="8968" max="8969" width="13.875" style="3286" customWidth="1"/>
    <col min="8970" max="8970" width="25.375" style="3286" customWidth="1"/>
    <col min="8971" max="8971" width="7.875" style="3286" customWidth="1"/>
    <col min="8972" max="8972" width="53.875" style="3286" customWidth="1"/>
    <col min="8973" max="8974" width="7.875" style="3286" customWidth="1"/>
    <col min="8975" max="8976" width="24.5" style="3286" customWidth="1"/>
    <col min="8977" max="8977" width="9.625" style="3286" customWidth="1"/>
    <col min="8978" max="8979" width="15.5" style="3286" customWidth="1"/>
    <col min="8980" max="8980" width="12.875" style="3286" customWidth="1"/>
    <col min="8981" max="8982" width="22" style="3286" customWidth="1"/>
    <col min="8983" max="8983" width="17.875" style="3286" customWidth="1"/>
    <col min="8984" max="8984" width="7.875" style="3286" customWidth="1"/>
    <col min="8985" max="8988" width="9" style="3286" customWidth="1"/>
    <col min="8989" max="8989" width="67.625" style="3286" customWidth="1"/>
    <col min="8990" max="8990" width="7.875" style="3286" customWidth="1"/>
    <col min="8991" max="8991" width="32.75" style="3286" customWidth="1"/>
    <col min="8992" max="8992" width="26.125" style="3286" customWidth="1"/>
    <col min="8993" max="8995" width="10.625" style="3286" customWidth="1"/>
    <col min="8996" max="8997" width="16" style="3286" customWidth="1"/>
    <col min="8998" max="8999" width="14.375" style="3286" customWidth="1"/>
    <col min="9000" max="9001" width="21.875" style="3286" customWidth="1"/>
    <col min="9002" max="9002" width="6.25" style="3286" customWidth="1"/>
    <col min="9003" max="9003" width="19.5" style="3286" customWidth="1"/>
    <col min="9004" max="9004" width="16.875" style="3286" customWidth="1"/>
    <col min="9005" max="9006" width="20.125" style="3286" customWidth="1"/>
    <col min="9007" max="9007" width="7.875" style="3286" customWidth="1"/>
    <col min="9008" max="9216" width="9" style="3286"/>
    <col min="9217" max="9217" width="57.875" style="3286" customWidth="1"/>
    <col min="9218" max="9218" width="6.25" style="3286" customWidth="1"/>
    <col min="9219" max="9219" width="13.875" style="3286" customWidth="1"/>
    <col min="9220" max="9220" width="6.25" style="3286" customWidth="1"/>
    <col min="9221" max="9221" width="9.625" style="3286" customWidth="1"/>
    <col min="9222" max="9222" width="57.875" style="3286" customWidth="1"/>
    <col min="9223" max="9223" width="37.5" style="3286" customWidth="1"/>
    <col min="9224" max="9225" width="13.875" style="3286" customWidth="1"/>
    <col min="9226" max="9226" width="25.375" style="3286" customWidth="1"/>
    <col min="9227" max="9227" width="7.875" style="3286" customWidth="1"/>
    <col min="9228" max="9228" width="53.875" style="3286" customWidth="1"/>
    <col min="9229" max="9230" width="7.875" style="3286" customWidth="1"/>
    <col min="9231" max="9232" width="24.5" style="3286" customWidth="1"/>
    <col min="9233" max="9233" width="9.625" style="3286" customWidth="1"/>
    <col min="9234" max="9235" width="15.5" style="3286" customWidth="1"/>
    <col min="9236" max="9236" width="12.875" style="3286" customWidth="1"/>
    <col min="9237" max="9238" width="22" style="3286" customWidth="1"/>
    <col min="9239" max="9239" width="17.875" style="3286" customWidth="1"/>
    <col min="9240" max="9240" width="7.875" style="3286" customWidth="1"/>
    <col min="9241" max="9244" width="9" style="3286" customWidth="1"/>
    <col min="9245" max="9245" width="67.625" style="3286" customWidth="1"/>
    <col min="9246" max="9246" width="7.875" style="3286" customWidth="1"/>
    <col min="9247" max="9247" width="32.75" style="3286" customWidth="1"/>
    <col min="9248" max="9248" width="26.125" style="3286" customWidth="1"/>
    <col min="9249" max="9251" width="10.625" style="3286" customWidth="1"/>
    <col min="9252" max="9253" width="16" style="3286" customWidth="1"/>
    <col min="9254" max="9255" width="14.375" style="3286" customWidth="1"/>
    <col min="9256" max="9257" width="21.875" style="3286" customWidth="1"/>
    <col min="9258" max="9258" width="6.25" style="3286" customWidth="1"/>
    <col min="9259" max="9259" width="19.5" style="3286" customWidth="1"/>
    <col min="9260" max="9260" width="16.875" style="3286" customWidth="1"/>
    <col min="9261" max="9262" width="20.125" style="3286" customWidth="1"/>
    <col min="9263" max="9263" width="7.875" style="3286" customWidth="1"/>
    <col min="9264" max="9472" width="9" style="3286"/>
    <col min="9473" max="9473" width="57.875" style="3286" customWidth="1"/>
    <col min="9474" max="9474" width="6.25" style="3286" customWidth="1"/>
    <col min="9475" max="9475" width="13.875" style="3286" customWidth="1"/>
    <col min="9476" max="9476" width="6.25" style="3286" customWidth="1"/>
    <col min="9477" max="9477" width="9.625" style="3286" customWidth="1"/>
    <col min="9478" max="9478" width="57.875" style="3286" customWidth="1"/>
    <col min="9479" max="9479" width="37.5" style="3286" customWidth="1"/>
    <col min="9480" max="9481" width="13.875" style="3286" customWidth="1"/>
    <col min="9482" max="9482" width="25.375" style="3286" customWidth="1"/>
    <col min="9483" max="9483" width="7.875" style="3286" customWidth="1"/>
    <col min="9484" max="9484" width="53.875" style="3286" customWidth="1"/>
    <col min="9485" max="9486" width="7.875" style="3286" customWidth="1"/>
    <col min="9487" max="9488" width="24.5" style="3286" customWidth="1"/>
    <col min="9489" max="9489" width="9.625" style="3286" customWidth="1"/>
    <col min="9490" max="9491" width="15.5" style="3286" customWidth="1"/>
    <col min="9492" max="9492" width="12.875" style="3286" customWidth="1"/>
    <col min="9493" max="9494" width="22" style="3286" customWidth="1"/>
    <col min="9495" max="9495" width="17.875" style="3286" customWidth="1"/>
    <col min="9496" max="9496" width="7.875" style="3286" customWidth="1"/>
    <col min="9497" max="9500" width="9" style="3286" customWidth="1"/>
    <col min="9501" max="9501" width="67.625" style="3286" customWidth="1"/>
    <col min="9502" max="9502" width="7.875" style="3286" customWidth="1"/>
    <col min="9503" max="9503" width="32.75" style="3286" customWidth="1"/>
    <col min="9504" max="9504" width="26.125" style="3286" customWidth="1"/>
    <col min="9505" max="9507" width="10.625" style="3286" customWidth="1"/>
    <col min="9508" max="9509" width="16" style="3286" customWidth="1"/>
    <col min="9510" max="9511" width="14.375" style="3286" customWidth="1"/>
    <col min="9512" max="9513" width="21.875" style="3286" customWidth="1"/>
    <col min="9514" max="9514" width="6.25" style="3286" customWidth="1"/>
    <col min="9515" max="9515" width="19.5" style="3286" customWidth="1"/>
    <col min="9516" max="9516" width="16.875" style="3286" customWidth="1"/>
    <col min="9517" max="9518" width="20.125" style="3286" customWidth="1"/>
    <col min="9519" max="9519" width="7.875" style="3286" customWidth="1"/>
    <col min="9520" max="9728" width="9" style="3286"/>
    <col min="9729" max="9729" width="57.875" style="3286" customWidth="1"/>
    <col min="9730" max="9730" width="6.25" style="3286" customWidth="1"/>
    <col min="9731" max="9731" width="13.875" style="3286" customWidth="1"/>
    <col min="9732" max="9732" width="6.25" style="3286" customWidth="1"/>
    <col min="9733" max="9733" width="9.625" style="3286" customWidth="1"/>
    <col min="9734" max="9734" width="57.875" style="3286" customWidth="1"/>
    <col min="9735" max="9735" width="37.5" style="3286" customWidth="1"/>
    <col min="9736" max="9737" width="13.875" style="3286" customWidth="1"/>
    <col min="9738" max="9738" width="25.375" style="3286" customWidth="1"/>
    <col min="9739" max="9739" width="7.875" style="3286" customWidth="1"/>
    <col min="9740" max="9740" width="53.875" style="3286" customWidth="1"/>
    <col min="9741" max="9742" width="7.875" style="3286" customWidth="1"/>
    <col min="9743" max="9744" width="24.5" style="3286" customWidth="1"/>
    <col min="9745" max="9745" width="9.625" style="3286" customWidth="1"/>
    <col min="9746" max="9747" width="15.5" style="3286" customWidth="1"/>
    <col min="9748" max="9748" width="12.875" style="3286" customWidth="1"/>
    <col min="9749" max="9750" width="22" style="3286" customWidth="1"/>
    <col min="9751" max="9751" width="17.875" style="3286" customWidth="1"/>
    <col min="9752" max="9752" width="7.875" style="3286" customWidth="1"/>
    <col min="9753" max="9756" width="9" style="3286" customWidth="1"/>
    <col min="9757" max="9757" width="67.625" style="3286" customWidth="1"/>
    <col min="9758" max="9758" width="7.875" style="3286" customWidth="1"/>
    <col min="9759" max="9759" width="32.75" style="3286" customWidth="1"/>
    <col min="9760" max="9760" width="26.125" style="3286" customWidth="1"/>
    <col min="9761" max="9763" width="10.625" style="3286" customWidth="1"/>
    <col min="9764" max="9765" width="16" style="3286" customWidth="1"/>
    <col min="9766" max="9767" width="14.375" style="3286" customWidth="1"/>
    <col min="9768" max="9769" width="21.875" style="3286" customWidth="1"/>
    <col min="9770" max="9770" width="6.25" style="3286" customWidth="1"/>
    <col min="9771" max="9771" width="19.5" style="3286" customWidth="1"/>
    <col min="9772" max="9772" width="16.875" style="3286" customWidth="1"/>
    <col min="9773" max="9774" width="20.125" style="3286" customWidth="1"/>
    <col min="9775" max="9775" width="7.875" style="3286" customWidth="1"/>
    <col min="9776" max="9984" width="9" style="3286"/>
    <col min="9985" max="9985" width="57.875" style="3286" customWidth="1"/>
    <col min="9986" max="9986" width="6.25" style="3286" customWidth="1"/>
    <col min="9987" max="9987" width="13.875" style="3286" customWidth="1"/>
    <col min="9988" max="9988" width="6.25" style="3286" customWidth="1"/>
    <col min="9989" max="9989" width="9.625" style="3286" customWidth="1"/>
    <col min="9990" max="9990" width="57.875" style="3286" customWidth="1"/>
    <col min="9991" max="9991" width="37.5" style="3286" customWidth="1"/>
    <col min="9992" max="9993" width="13.875" style="3286" customWidth="1"/>
    <col min="9994" max="9994" width="25.375" style="3286" customWidth="1"/>
    <col min="9995" max="9995" width="7.875" style="3286" customWidth="1"/>
    <col min="9996" max="9996" width="53.875" style="3286" customWidth="1"/>
    <col min="9997" max="9998" width="7.875" style="3286" customWidth="1"/>
    <col min="9999" max="10000" width="24.5" style="3286" customWidth="1"/>
    <col min="10001" max="10001" width="9.625" style="3286" customWidth="1"/>
    <col min="10002" max="10003" width="15.5" style="3286" customWidth="1"/>
    <col min="10004" max="10004" width="12.875" style="3286" customWidth="1"/>
    <col min="10005" max="10006" width="22" style="3286" customWidth="1"/>
    <col min="10007" max="10007" width="17.875" style="3286" customWidth="1"/>
    <col min="10008" max="10008" width="7.875" style="3286" customWidth="1"/>
    <col min="10009" max="10012" width="9" style="3286" customWidth="1"/>
    <col min="10013" max="10013" width="67.625" style="3286" customWidth="1"/>
    <col min="10014" max="10014" width="7.875" style="3286" customWidth="1"/>
    <col min="10015" max="10015" width="32.75" style="3286" customWidth="1"/>
    <col min="10016" max="10016" width="26.125" style="3286" customWidth="1"/>
    <col min="10017" max="10019" width="10.625" style="3286" customWidth="1"/>
    <col min="10020" max="10021" width="16" style="3286" customWidth="1"/>
    <col min="10022" max="10023" width="14.375" style="3286" customWidth="1"/>
    <col min="10024" max="10025" width="21.875" style="3286" customWidth="1"/>
    <col min="10026" max="10026" width="6.25" style="3286" customWidth="1"/>
    <col min="10027" max="10027" width="19.5" style="3286" customWidth="1"/>
    <col min="10028" max="10028" width="16.875" style="3286" customWidth="1"/>
    <col min="10029" max="10030" width="20.125" style="3286" customWidth="1"/>
    <col min="10031" max="10031" width="7.875" style="3286" customWidth="1"/>
    <col min="10032" max="10240" width="9" style="3286"/>
    <col min="10241" max="10241" width="57.875" style="3286" customWidth="1"/>
    <col min="10242" max="10242" width="6.25" style="3286" customWidth="1"/>
    <col min="10243" max="10243" width="13.875" style="3286" customWidth="1"/>
    <col min="10244" max="10244" width="6.25" style="3286" customWidth="1"/>
    <col min="10245" max="10245" width="9.625" style="3286" customWidth="1"/>
    <col min="10246" max="10246" width="57.875" style="3286" customWidth="1"/>
    <col min="10247" max="10247" width="37.5" style="3286" customWidth="1"/>
    <col min="10248" max="10249" width="13.875" style="3286" customWidth="1"/>
    <col min="10250" max="10250" width="25.375" style="3286" customWidth="1"/>
    <col min="10251" max="10251" width="7.875" style="3286" customWidth="1"/>
    <col min="10252" max="10252" width="53.875" style="3286" customWidth="1"/>
    <col min="10253" max="10254" width="7.875" style="3286" customWidth="1"/>
    <col min="10255" max="10256" width="24.5" style="3286" customWidth="1"/>
    <col min="10257" max="10257" width="9.625" style="3286" customWidth="1"/>
    <col min="10258" max="10259" width="15.5" style="3286" customWidth="1"/>
    <col min="10260" max="10260" width="12.875" style="3286" customWidth="1"/>
    <col min="10261" max="10262" width="22" style="3286" customWidth="1"/>
    <col min="10263" max="10263" width="17.875" style="3286" customWidth="1"/>
    <col min="10264" max="10264" width="7.875" style="3286" customWidth="1"/>
    <col min="10265" max="10268" width="9" style="3286" customWidth="1"/>
    <col min="10269" max="10269" width="67.625" style="3286" customWidth="1"/>
    <col min="10270" max="10270" width="7.875" style="3286" customWidth="1"/>
    <col min="10271" max="10271" width="32.75" style="3286" customWidth="1"/>
    <col min="10272" max="10272" width="26.125" style="3286" customWidth="1"/>
    <col min="10273" max="10275" width="10.625" style="3286" customWidth="1"/>
    <col min="10276" max="10277" width="16" style="3286" customWidth="1"/>
    <col min="10278" max="10279" width="14.375" style="3286" customWidth="1"/>
    <col min="10280" max="10281" width="21.875" style="3286" customWidth="1"/>
    <col min="10282" max="10282" width="6.25" style="3286" customWidth="1"/>
    <col min="10283" max="10283" width="19.5" style="3286" customWidth="1"/>
    <col min="10284" max="10284" width="16.875" style="3286" customWidth="1"/>
    <col min="10285" max="10286" width="20.125" style="3286" customWidth="1"/>
    <col min="10287" max="10287" width="7.875" style="3286" customWidth="1"/>
    <col min="10288" max="10496" width="9" style="3286"/>
    <col min="10497" max="10497" width="57.875" style="3286" customWidth="1"/>
    <col min="10498" max="10498" width="6.25" style="3286" customWidth="1"/>
    <col min="10499" max="10499" width="13.875" style="3286" customWidth="1"/>
    <col min="10500" max="10500" width="6.25" style="3286" customWidth="1"/>
    <col min="10501" max="10501" width="9.625" style="3286" customWidth="1"/>
    <col min="10502" max="10502" width="57.875" style="3286" customWidth="1"/>
    <col min="10503" max="10503" width="37.5" style="3286" customWidth="1"/>
    <col min="10504" max="10505" width="13.875" style="3286" customWidth="1"/>
    <col min="10506" max="10506" width="25.375" style="3286" customWidth="1"/>
    <col min="10507" max="10507" width="7.875" style="3286" customWidth="1"/>
    <col min="10508" max="10508" width="53.875" style="3286" customWidth="1"/>
    <col min="10509" max="10510" width="7.875" style="3286" customWidth="1"/>
    <col min="10511" max="10512" width="24.5" style="3286" customWidth="1"/>
    <col min="10513" max="10513" width="9.625" style="3286" customWidth="1"/>
    <col min="10514" max="10515" width="15.5" style="3286" customWidth="1"/>
    <col min="10516" max="10516" width="12.875" style="3286" customWidth="1"/>
    <col min="10517" max="10518" width="22" style="3286" customWidth="1"/>
    <col min="10519" max="10519" width="17.875" style="3286" customWidth="1"/>
    <col min="10520" max="10520" width="7.875" style="3286" customWidth="1"/>
    <col min="10521" max="10524" width="9" style="3286" customWidth="1"/>
    <col min="10525" max="10525" width="67.625" style="3286" customWidth="1"/>
    <col min="10526" max="10526" width="7.875" style="3286" customWidth="1"/>
    <col min="10527" max="10527" width="32.75" style="3286" customWidth="1"/>
    <col min="10528" max="10528" width="26.125" style="3286" customWidth="1"/>
    <col min="10529" max="10531" width="10.625" style="3286" customWidth="1"/>
    <col min="10532" max="10533" width="16" style="3286" customWidth="1"/>
    <col min="10534" max="10535" width="14.375" style="3286" customWidth="1"/>
    <col min="10536" max="10537" width="21.875" style="3286" customWidth="1"/>
    <col min="10538" max="10538" width="6.25" style="3286" customWidth="1"/>
    <col min="10539" max="10539" width="19.5" style="3286" customWidth="1"/>
    <col min="10540" max="10540" width="16.875" style="3286" customWidth="1"/>
    <col min="10541" max="10542" width="20.125" style="3286" customWidth="1"/>
    <col min="10543" max="10543" width="7.875" style="3286" customWidth="1"/>
    <col min="10544" max="10752" width="9" style="3286"/>
    <col min="10753" max="10753" width="57.875" style="3286" customWidth="1"/>
    <col min="10754" max="10754" width="6.25" style="3286" customWidth="1"/>
    <col min="10755" max="10755" width="13.875" style="3286" customWidth="1"/>
    <col min="10756" max="10756" width="6.25" style="3286" customWidth="1"/>
    <col min="10757" max="10757" width="9.625" style="3286" customWidth="1"/>
    <col min="10758" max="10758" width="57.875" style="3286" customWidth="1"/>
    <col min="10759" max="10759" width="37.5" style="3286" customWidth="1"/>
    <col min="10760" max="10761" width="13.875" style="3286" customWidth="1"/>
    <col min="10762" max="10762" width="25.375" style="3286" customWidth="1"/>
    <col min="10763" max="10763" width="7.875" style="3286" customWidth="1"/>
    <col min="10764" max="10764" width="53.875" style="3286" customWidth="1"/>
    <col min="10765" max="10766" width="7.875" style="3286" customWidth="1"/>
    <col min="10767" max="10768" width="24.5" style="3286" customWidth="1"/>
    <col min="10769" max="10769" width="9.625" style="3286" customWidth="1"/>
    <col min="10770" max="10771" width="15.5" style="3286" customWidth="1"/>
    <col min="10772" max="10772" width="12.875" style="3286" customWidth="1"/>
    <col min="10773" max="10774" width="22" style="3286" customWidth="1"/>
    <col min="10775" max="10775" width="17.875" style="3286" customWidth="1"/>
    <col min="10776" max="10776" width="7.875" style="3286" customWidth="1"/>
    <col min="10777" max="10780" width="9" style="3286" customWidth="1"/>
    <col min="10781" max="10781" width="67.625" style="3286" customWidth="1"/>
    <col min="10782" max="10782" width="7.875" style="3286" customWidth="1"/>
    <col min="10783" max="10783" width="32.75" style="3286" customWidth="1"/>
    <col min="10784" max="10784" width="26.125" style="3286" customWidth="1"/>
    <col min="10785" max="10787" width="10.625" style="3286" customWidth="1"/>
    <col min="10788" max="10789" width="16" style="3286" customWidth="1"/>
    <col min="10790" max="10791" width="14.375" style="3286" customWidth="1"/>
    <col min="10792" max="10793" width="21.875" style="3286" customWidth="1"/>
    <col min="10794" max="10794" width="6.25" style="3286" customWidth="1"/>
    <col min="10795" max="10795" width="19.5" style="3286" customWidth="1"/>
    <col min="10796" max="10796" width="16.875" style="3286" customWidth="1"/>
    <col min="10797" max="10798" width="20.125" style="3286" customWidth="1"/>
    <col min="10799" max="10799" width="7.875" style="3286" customWidth="1"/>
    <col min="10800" max="11008" width="9" style="3286"/>
    <col min="11009" max="11009" width="57.875" style="3286" customWidth="1"/>
    <col min="11010" max="11010" width="6.25" style="3286" customWidth="1"/>
    <col min="11011" max="11011" width="13.875" style="3286" customWidth="1"/>
    <col min="11012" max="11012" width="6.25" style="3286" customWidth="1"/>
    <col min="11013" max="11013" width="9.625" style="3286" customWidth="1"/>
    <col min="11014" max="11014" width="57.875" style="3286" customWidth="1"/>
    <col min="11015" max="11015" width="37.5" style="3286" customWidth="1"/>
    <col min="11016" max="11017" width="13.875" style="3286" customWidth="1"/>
    <col min="11018" max="11018" width="25.375" style="3286" customWidth="1"/>
    <col min="11019" max="11019" width="7.875" style="3286" customWidth="1"/>
    <col min="11020" max="11020" width="53.875" style="3286" customWidth="1"/>
    <col min="11021" max="11022" width="7.875" style="3286" customWidth="1"/>
    <col min="11023" max="11024" width="24.5" style="3286" customWidth="1"/>
    <col min="11025" max="11025" width="9.625" style="3286" customWidth="1"/>
    <col min="11026" max="11027" width="15.5" style="3286" customWidth="1"/>
    <col min="11028" max="11028" width="12.875" style="3286" customWidth="1"/>
    <col min="11029" max="11030" width="22" style="3286" customWidth="1"/>
    <col min="11031" max="11031" width="17.875" style="3286" customWidth="1"/>
    <col min="11032" max="11032" width="7.875" style="3286" customWidth="1"/>
    <col min="11033" max="11036" width="9" style="3286" customWidth="1"/>
    <col min="11037" max="11037" width="67.625" style="3286" customWidth="1"/>
    <col min="11038" max="11038" width="7.875" style="3286" customWidth="1"/>
    <col min="11039" max="11039" width="32.75" style="3286" customWidth="1"/>
    <col min="11040" max="11040" width="26.125" style="3286" customWidth="1"/>
    <col min="11041" max="11043" width="10.625" style="3286" customWidth="1"/>
    <col min="11044" max="11045" width="16" style="3286" customWidth="1"/>
    <col min="11046" max="11047" width="14.375" style="3286" customWidth="1"/>
    <col min="11048" max="11049" width="21.875" style="3286" customWidth="1"/>
    <col min="11050" max="11050" width="6.25" style="3286" customWidth="1"/>
    <col min="11051" max="11051" width="19.5" style="3286" customWidth="1"/>
    <col min="11052" max="11052" width="16.875" style="3286" customWidth="1"/>
    <col min="11053" max="11054" width="20.125" style="3286" customWidth="1"/>
    <col min="11055" max="11055" width="7.875" style="3286" customWidth="1"/>
    <col min="11056" max="11264" width="9" style="3286"/>
    <col min="11265" max="11265" width="57.875" style="3286" customWidth="1"/>
    <col min="11266" max="11266" width="6.25" style="3286" customWidth="1"/>
    <col min="11267" max="11267" width="13.875" style="3286" customWidth="1"/>
    <col min="11268" max="11268" width="6.25" style="3286" customWidth="1"/>
    <col min="11269" max="11269" width="9.625" style="3286" customWidth="1"/>
    <col min="11270" max="11270" width="57.875" style="3286" customWidth="1"/>
    <col min="11271" max="11271" width="37.5" style="3286" customWidth="1"/>
    <col min="11272" max="11273" width="13.875" style="3286" customWidth="1"/>
    <col min="11274" max="11274" width="25.375" style="3286" customWidth="1"/>
    <col min="11275" max="11275" width="7.875" style="3286" customWidth="1"/>
    <col min="11276" max="11276" width="53.875" style="3286" customWidth="1"/>
    <col min="11277" max="11278" width="7.875" style="3286" customWidth="1"/>
    <col min="11279" max="11280" width="24.5" style="3286" customWidth="1"/>
    <col min="11281" max="11281" width="9.625" style="3286" customWidth="1"/>
    <col min="11282" max="11283" width="15.5" style="3286" customWidth="1"/>
    <col min="11284" max="11284" width="12.875" style="3286" customWidth="1"/>
    <col min="11285" max="11286" width="22" style="3286" customWidth="1"/>
    <col min="11287" max="11287" width="17.875" style="3286" customWidth="1"/>
    <col min="11288" max="11288" width="7.875" style="3286" customWidth="1"/>
    <col min="11289" max="11292" width="9" style="3286" customWidth="1"/>
    <col min="11293" max="11293" width="67.625" style="3286" customWidth="1"/>
    <col min="11294" max="11294" width="7.875" style="3286" customWidth="1"/>
    <col min="11295" max="11295" width="32.75" style="3286" customWidth="1"/>
    <col min="11296" max="11296" width="26.125" style="3286" customWidth="1"/>
    <col min="11297" max="11299" width="10.625" style="3286" customWidth="1"/>
    <col min="11300" max="11301" width="16" style="3286" customWidth="1"/>
    <col min="11302" max="11303" width="14.375" style="3286" customWidth="1"/>
    <col min="11304" max="11305" width="21.875" style="3286" customWidth="1"/>
    <col min="11306" max="11306" width="6.25" style="3286" customWidth="1"/>
    <col min="11307" max="11307" width="19.5" style="3286" customWidth="1"/>
    <col min="11308" max="11308" width="16.875" style="3286" customWidth="1"/>
    <col min="11309" max="11310" width="20.125" style="3286" customWidth="1"/>
    <col min="11311" max="11311" width="7.875" style="3286" customWidth="1"/>
    <col min="11312" max="11520" width="9" style="3286"/>
    <col min="11521" max="11521" width="57.875" style="3286" customWidth="1"/>
    <col min="11522" max="11522" width="6.25" style="3286" customWidth="1"/>
    <col min="11523" max="11523" width="13.875" style="3286" customWidth="1"/>
    <col min="11524" max="11524" width="6.25" style="3286" customWidth="1"/>
    <col min="11525" max="11525" width="9.625" style="3286" customWidth="1"/>
    <col min="11526" max="11526" width="57.875" style="3286" customWidth="1"/>
    <col min="11527" max="11527" width="37.5" style="3286" customWidth="1"/>
    <col min="11528" max="11529" width="13.875" style="3286" customWidth="1"/>
    <col min="11530" max="11530" width="25.375" style="3286" customWidth="1"/>
    <col min="11531" max="11531" width="7.875" style="3286" customWidth="1"/>
    <col min="11532" max="11532" width="53.875" style="3286" customWidth="1"/>
    <col min="11533" max="11534" width="7.875" style="3286" customWidth="1"/>
    <col min="11535" max="11536" width="24.5" style="3286" customWidth="1"/>
    <col min="11537" max="11537" width="9.625" style="3286" customWidth="1"/>
    <col min="11538" max="11539" width="15.5" style="3286" customWidth="1"/>
    <col min="11540" max="11540" width="12.875" style="3286" customWidth="1"/>
    <col min="11541" max="11542" width="22" style="3286" customWidth="1"/>
    <col min="11543" max="11543" width="17.875" style="3286" customWidth="1"/>
    <col min="11544" max="11544" width="7.875" style="3286" customWidth="1"/>
    <col min="11545" max="11548" width="9" style="3286" customWidth="1"/>
    <col min="11549" max="11549" width="67.625" style="3286" customWidth="1"/>
    <col min="11550" max="11550" width="7.875" style="3286" customWidth="1"/>
    <col min="11551" max="11551" width="32.75" style="3286" customWidth="1"/>
    <col min="11552" max="11552" width="26.125" style="3286" customWidth="1"/>
    <col min="11553" max="11555" width="10.625" style="3286" customWidth="1"/>
    <col min="11556" max="11557" width="16" style="3286" customWidth="1"/>
    <col min="11558" max="11559" width="14.375" style="3286" customWidth="1"/>
    <col min="11560" max="11561" width="21.875" style="3286" customWidth="1"/>
    <col min="11562" max="11562" width="6.25" style="3286" customWidth="1"/>
    <col min="11563" max="11563" width="19.5" style="3286" customWidth="1"/>
    <col min="11564" max="11564" width="16.875" style="3286" customWidth="1"/>
    <col min="11565" max="11566" width="20.125" style="3286" customWidth="1"/>
    <col min="11567" max="11567" width="7.875" style="3286" customWidth="1"/>
    <col min="11568" max="11776" width="9" style="3286"/>
    <col min="11777" max="11777" width="57.875" style="3286" customWidth="1"/>
    <col min="11778" max="11778" width="6.25" style="3286" customWidth="1"/>
    <col min="11779" max="11779" width="13.875" style="3286" customWidth="1"/>
    <col min="11780" max="11780" width="6.25" style="3286" customWidth="1"/>
    <col min="11781" max="11781" width="9.625" style="3286" customWidth="1"/>
    <col min="11782" max="11782" width="57.875" style="3286" customWidth="1"/>
    <col min="11783" max="11783" width="37.5" style="3286" customWidth="1"/>
    <col min="11784" max="11785" width="13.875" style="3286" customWidth="1"/>
    <col min="11786" max="11786" width="25.375" style="3286" customWidth="1"/>
    <col min="11787" max="11787" width="7.875" style="3286" customWidth="1"/>
    <col min="11788" max="11788" width="53.875" style="3286" customWidth="1"/>
    <col min="11789" max="11790" width="7.875" style="3286" customWidth="1"/>
    <col min="11791" max="11792" width="24.5" style="3286" customWidth="1"/>
    <col min="11793" max="11793" width="9.625" style="3286" customWidth="1"/>
    <col min="11794" max="11795" width="15.5" style="3286" customWidth="1"/>
    <col min="11796" max="11796" width="12.875" style="3286" customWidth="1"/>
    <col min="11797" max="11798" width="22" style="3286" customWidth="1"/>
    <col min="11799" max="11799" width="17.875" style="3286" customWidth="1"/>
    <col min="11800" max="11800" width="7.875" style="3286" customWidth="1"/>
    <col min="11801" max="11804" width="9" style="3286" customWidth="1"/>
    <col min="11805" max="11805" width="67.625" style="3286" customWidth="1"/>
    <col min="11806" max="11806" width="7.875" style="3286" customWidth="1"/>
    <col min="11807" max="11807" width="32.75" style="3286" customWidth="1"/>
    <col min="11808" max="11808" width="26.125" style="3286" customWidth="1"/>
    <col min="11809" max="11811" width="10.625" style="3286" customWidth="1"/>
    <col min="11812" max="11813" width="16" style="3286" customWidth="1"/>
    <col min="11814" max="11815" width="14.375" style="3286" customWidth="1"/>
    <col min="11816" max="11817" width="21.875" style="3286" customWidth="1"/>
    <col min="11818" max="11818" width="6.25" style="3286" customWidth="1"/>
    <col min="11819" max="11819" width="19.5" style="3286" customWidth="1"/>
    <col min="11820" max="11820" width="16.875" style="3286" customWidth="1"/>
    <col min="11821" max="11822" width="20.125" style="3286" customWidth="1"/>
    <col min="11823" max="11823" width="7.875" style="3286" customWidth="1"/>
    <col min="11824" max="12032" width="9" style="3286"/>
    <col min="12033" max="12033" width="57.875" style="3286" customWidth="1"/>
    <col min="12034" max="12034" width="6.25" style="3286" customWidth="1"/>
    <col min="12035" max="12035" width="13.875" style="3286" customWidth="1"/>
    <col min="12036" max="12036" width="6.25" style="3286" customWidth="1"/>
    <col min="12037" max="12037" width="9.625" style="3286" customWidth="1"/>
    <col min="12038" max="12038" width="57.875" style="3286" customWidth="1"/>
    <col min="12039" max="12039" width="37.5" style="3286" customWidth="1"/>
    <col min="12040" max="12041" width="13.875" style="3286" customWidth="1"/>
    <col min="12042" max="12042" width="25.375" style="3286" customWidth="1"/>
    <col min="12043" max="12043" width="7.875" style="3286" customWidth="1"/>
    <col min="12044" max="12044" width="53.875" style="3286" customWidth="1"/>
    <col min="12045" max="12046" width="7.875" style="3286" customWidth="1"/>
    <col min="12047" max="12048" width="24.5" style="3286" customWidth="1"/>
    <col min="12049" max="12049" width="9.625" style="3286" customWidth="1"/>
    <col min="12050" max="12051" width="15.5" style="3286" customWidth="1"/>
    <col min="12052" max="12052" width="12.875" style="3286" customWidth="1"/>
    <col min="12053" max="12054" width="22" style="3286" customWidth="1"/>
    <col min="12055" max="12055" width="17.875" style="3286" customWidth="1"/>
    <col min="12056" max="12056" width="7.875" style="3286" customWidth="1"/>
    <col min="12057" max="12060" width="9" style="3286" customWidth="1"/>
    <col min="12061" max="12061" width="67.625" style="3286" customWidth="1"/>
    <col min="12062" max="12062" width="7.875" style="3286" customWidth="1"/>
    <col min="12063" max="12063" width="32.75" style="3286" customWidth="1"/>
    <col min="12064" max="12064" width="26.125" style="3286" customWidth="1"/>
    <col min="12065" max="12067" width="10.625" style="3286" customWidth="1"/>
    <col min="12068" max="12069" width="16" style="3286" customWidth="1"/>
    <col min="12070" max="12071" width="14.375" style="3286" customWidth="1"/>
    <col min="12072" max="12073" width="21.875" style="3286" customWidth="1"/>
    <col min="12074" max="12074" width="6.25" style="3286" customWidth="1"/>
    <col min="12075" max="12075" width="19.5" style="3286" customWidth="1"/>
    <col min="12076" max="12076" width="16.875" style="3286" customWidth="1"/>
    <col min="12077" max="12078" width="20.125" style="3286" customWidth="1"/>
    <col min="12079" max="12079" width="7.875" style="3286" customWidth="1"/>
    <col min="12080" max="12288" width="9" style="3286"/>
    <col min="12289" max="12289" width="57.875" style="3286" customWidth="1"/>
    <col min="12290" max="12290" width="6.25" style="3286" customWidth="1"/>
    <col min="12291" max="12291" width="13.875" style="3286" customWidth="1"/>
    <col min="12292" max="12292" width="6.25" style="3286" customWidth="1"/>
    <col min="12293" max="12293" width="9.625" style="3286" customWidth="1"/>
    <col min="12294" max="12294" width="57.875" style="3286" customWidth="1"/>
    <col min="12295" max="12295" width="37.5" style="3286" customWidth="1"/>
    <col min="12296" max="12297" width="13.875" style="3286" customWidth="1"/>
    <col min="12298" max="12298" width="25.375" style="3286" customWidth="1"/>
    <col min="12299" max="12299" width="7.875" style="3286" customWidth="1"/>
    <col min="12300" max="12300" width="53.875" style="3286" customWidth="1"/>
    <col min="12301" max="12302" width="7.875" style="3286" customWidth="1"/>
    <col min="12303" max="12304" width="24.5" style="3286" customWidth="1"/>
    <col min="12305" max="12305" width="9.625" style="3286" customWidth="1"/>
    <col min="12306" max="12307" width="15.5" style="3286" customWidth="1"/>
    <col min="12308" max="12308" width="12.875" style="3286" customWidth="1"/>
    <col min="12309" max="12310" width="22" style="3286" customWidth="1"/>
    <col min="12311" max="12311" width="17.875" style="3286" customWidth="1"/>
    <col min="12312" max="12312" width="7.875" style="3286" customWidth="1"/>
    <col min="12313" max="12316" width="9" style="3286" customWidth="1"/>
    <col min="12317" max="12317" width="67.625" style="3286" customWidth="1"/>
    <col min="12318" max="12318" width="7.875" style="3286" customWidth="1"/>
    <col min="12319" max="12319" width="32.75" style="3286" customWidth="1"/>
    <col min="12320" max="12320" width="26.125" style="3286" customWidth="1"/>
    <col min="12321" max="12323" width="10.625" style="3286" customWidth="1"/>
    <col min="12324" max="12325" width="16" style="3286" customWidth="1"/>
    <col min="12326" max="12327" width="14.375" style="3286" customWidth="1"/>
    <col min="12328" max="12329" width="21.875" style="3286" customWidth="1"/>
    <col min="12330" max="12330" width="6.25" style="3286" customWidth="1"/>
    <col min="12331" max="12331" width="19.5" style="3286" customWidth="1"/>
    <col min="12332" max="12332" width="16.875" style="3286" customWidth="1"/>
    <col min="12333" max="12334" width="20.125" style="3286" customWidth="1"/>
    <col min="12335" max="12335" width="7.875" style="3286" customWidth="1"/>
    <col min="12336" max="12544" width="9" style="3286"/>
    <col min="12545" max="12545" width="57.875" style="3286" customWidth="1"/>
    <col min="12546" max="12546" width="6.25" style="3286" customWidth="1"/>
    <col min="12547" max="12547" width="13.875" style="3286" customWidth="1"/>
    <col min="12548" max="12548" width="6.25" style="3286" customWidth="1"/>
    <col min="12549" max="12549" width="9.625" style="3286" customWidth="1"/>
    <col min="12550" max="12550" width="57.875" style="3286" customWidth="1"/>
    <col min="12551" max="12551" width="37.5" style="3286" customWidth="1"/>
    <col min="12552" max="12553" width="13.875" style="3286" customWidth="1"/>
    <col min="12554" max="12554" width="25.375" style="3286" customWidth="1"/>
    <col min="12555" max="12555" width="7.875" style="3286" customWidth="1"/>
    <col min="12556" max="12556" width="53.875" style="3286" customWidth="1"/>
    <col min="12557" max="12558" width="7.875" style="3286" customWidth="1"/>
    <col min="12559" max="12560" width="24.5" style="3286" customWidth="1"/>
    <col min="12561" max="12561" width="9.625" style="3286" customWidth="1"/>
    <col min="12562" max="12563" width="15.5" style="3286" customWidth="1"/>
    <col min="12564" max="12564" width="12.875" style="3286" customWidth="1"/>
    <col min="12565" max="12566" width="22" style="3286" customWidth="1"/>
    <col min="12567" max="12567" width="17.875" style="3286" customWidth="1"/>
    <col min="12568" max="12568" width="7.875" style="3286" customWidth="1"/>
    <col min="12569" max="12572" width="9" style="3286" customWidth="1"/>
    <col min="12573" max="12573" width="67.625" style="3286" customWidth="1"/>
    <col min="12574" max="12574" width="7.875" style="3286" customWidth="1"/>
    <col min="12575" max="12575" width="32.75" style="3286" customWidth="1"/>
    <col min="12576" max="12576" width="26.125" style="3286" customWidth="1"/>
    <col min="12577" max="12579" width="10.625" style="3286" customWidth="1"/>
    <col min="12580" max="12581" width="16" style="3286" customWidth="1"/>
    <col min="12582" max="12583" width="14.375" style="3286" customWidth="1"/>
    <col min="12584" max="12585" width="21.875" style="3286" customWidth="1"/>
    <col min="12586" max="12586" width="6.25" style="3286" customWidth="1"/>
    <col min="12587" max="12587" width="19.5" style="3286" customWidth="1"/>
    <col min="12588" max="12588" width="16.875" style="3286" customWidth="1"/>
    <col min="12589" max="12590" width="20.125" style="3286" customWidth="1"/>
    <col min="12591" max="12591" width="7.875" style="3286" customWidth="1"/>
    <col min="12592" max="12800" width="9" style="3286"/>
    <col min="12801" max="12801" width="57.875" style="3286" customWidth="1"/>
    <col min="12802" max="12802" width="6.25" style="3286" customWidth="1"/>
    <col min="12803" max="12803" width="13.875" style="3286" customWidth="1"/>
    <col min="12804" max="12804" width="6.25" style="3286" customWidth="1"/>
    <col min="12805" max="12805" width="9.625" style="3286" customWidth="1"/>
    <col min="12806" max="12806" width="57.875" style="3286" customWidth="1"/>
    <col min="12807" max="12807" width="37.5" style="3286" customWidth="1"/>
    <col min="12808" max="12809" width="13.875" style="3286" customWidth="1"/>
    <col min="12810" max="12810" width="25.375" style="3286" customWidth="1"/>
    <col min="12811" max="12811" width="7.875" style="3286" customWidth="1"/>
    <col min="12812" max="12812" width="53.875" style="3286" customWidth="1"/>
    <col min="12813" max="12814" width="7.875" style="3286" customWidth="1"/>
    <col min="12815" max="12816" width="24.5" style="3286" customWidth="1"/>
    <col min="12817" max="12817" width="9.625" style="3286" customWidth="1"/>
    <col min="12818" max="12819" width="15.5" style="3286" customWidth="1"/>
    <col min="12820" max="12820" width="12.875" style="3286" customWidth="1"/>
    <col min="12821" max="12822" width="22" style="3286" customWidth="1"/>
    <col min="12823" max="12823" width="17.875" style="3286" customWidth="1"/>
    <col min="12824" max="12824" width="7.875" style="3286" customWidth="1"/>
    <col min="12825" max="12828" width="9" style="3286" customWidth="1"/>
    <col min="12829" max="12829" width="67.625" style="3286" customWidth="1"/>
    <col min="12830" max="12830" width="7.875" style="3286" customWidth="1"/>
    <col min="12831" max="12831" width="32.75" style="3286" customWidth="1"/>
    <col min="12832" max="12832" width="26.125" style="3286" customWidth="1"/>
    <col min="12833" max="12835" width="10.625" style="3286" customWidth="1"/>
    <col min="12836" max="12837" width="16" style="3286" customWidth="1"/>
    <col min="12838" max="12839" width="14.375" style="3286" customWidth="1"/>
    <col min="12840" max="12841" width="21.875" style="3286" customWidth="1"/>
    <col min="12842" max="12842" width="6.25" style="3286" customWidth="1"/>
    <col min="12843" max="12843" width="19.5" style="3286" customWidth="1"/>
    <col min="12844" max="12844" width="16.875" style="3286" customWidth="1"/>
    <col min="12845" max="12846" width="20.125" style="3286" customWidth="1"/>
    <col min="12847" max="12847" width="7.875" style="3286" customWidth="1"/>
    <col min="12848" max="13056" width="9" style="3286"/>
    <col min="13057" max="13057" width="57.875" style="3286" customWidth="1"/>
    <col min="13058" max="13058" width="6.25" style="3286" customWidth="1"/>
    <col min="13059" max="13059" width="13.875" style="3286" customWidth="1"/>
    <col min="13060" max="13060" width="6.25" style="3286" customWidth="1"/>
    <col min="13061" max="13061" width="9.625" style="3286" customWidth="1"/>
    <col min="13062" max="13062" width="57.875" style="3286" customWidth="1"/>
    <col min="13063" max="13063" width="37.5" style="3286" customWidth="1"/>
    <col min="13064" max="13065" width="13.875" style="3286" customWidth="1"/>
    <col min="13066" max="13066" width="25.375" style="3286" customWidth="1"/>
    <col min="13067" max="13067" width="7.875" style="3286" customWidth="1"/>
    <col min="13068" max="13068" width="53.875" style="3286" customWidth="1"/>
    <col min="13069" max="13070" width="7.875" style="3286" customWidth="1"/>
    <col min="13071" max="13072" width="24.5" style="3286" customWidth="1"/>
    <col min="13073" max="13073" width="9.625" style="3286" customWidth="1"/>
    <col min="13074" max="13075" width="15.5" style="3286" customWidth="1"/>
    <col min="13076" max="13076" width="12.875" style="3286" customWidth="1"/>
    <col min="13077" max="13078" width="22" style="3286" customWidth="1"/>
    <col min="13079" max="13079" width="17.875" style="3286" customWidth="1"/>
    <col min="13080" max="13080" width="7.875" style="3286" customWidth="1"/>
    <col min="13081" max="13084" width="9" style="3286" customWidth="1"/>
    <col min="13085" max="13085" width="67.625" style="3286" customWidth="1"/>
    <col min="13086" max="13086" width="7.875" style="3286" customWidth="1"/>
    <col min="13087" max="13087" width="32.75" style="3286" customWidth="1"/>
    <col min="13088" max="13088" width="26.125" style="3286" customWidth="1"/>
    <col min="13089" max="13091" width="10.625" style="3286" customWidth="1"/>
    <col min="13092" max="13093" width="16" style="3286" customWidth="1"/>
    <col min="13094" max="13095" width="14.375" style="3286" customWidth="1"/>
    <col min="13096" max="13097" width="21.875" style="3286" customWidth="1"/>
    <col min="13098" max="13098" width="6.25" style="3286" customWidth="1"/>
    <col min="13099" max="13099" width="19.5" style="3286" customWidth="1"/>
    <col min="13100" max="13100" width="16.875" style="3286" customWidth="1"/>
    <col min="13101" max="13102" width="20.125" style="3286" customWidth="1"/>
    <col min="13103" max="13103" width="7.875" style="3286" customWidth="1"/>
    <col min="13104" max="13312" width="9" style="3286"/>
    <col min="13313" max="13313" width="57.875" style="3286" customWidth="1"/>
    <col min="13314" max="13314" width="6.25" style="3286" customWidth="1"/>
    <col min="13315" max="13315" width="13.875" style="3286" customWidth="1"/>
    <col min="13316" max="13316" width="6.25" style="3286" customWidth="1"/>
    <col min="13317" max="13317" width="9.625" style="3286" customWidth="1"/>
    <col min="13318" max="13318" width="57.875" style="3286" customWidth="1"/>
    <col min="13319" max="13319" width="37.5" style="3286" customWidth="1"/>
    <col min="13320" max="13321" width="13.875" style="3286" customWidth="1"/>
    <col min="13322" max="13322" width="25.375" style="3286" customWidth="1"/>
    <col min="13323" max="13323" width="7.875" style="3286" customWidth="1"/>
    <col min="13324" max="13324" width="53.875" style="3286" customWidth="1"/>
    <col min="13325" max="13326" width="7.875" style="3286" customWidth="1"/>
    <col min="13327" max="13328" width="24.5" style="3286" customWidth="1"/>
    <col min="13329" max="13329" width="9.625" style="3286" customWidth="1"/>
    <col min="13330" max="13331" width="15.5" style="3286" customWidth="1"/>
    <col min="13332" max="13332" width="12.875" style="3286" customWidth="1"/>
    <col min="13333" max="13334" width="22" style="3286" customWidth="1"/>
    <col min="13335" max="13335" width="17.875" style="3286" customWidth="1"/>
    <col min="13336" max="13336" width="7.875" style="3286" customWidth="1"/>
    <col min="13337" max="13340" width="9" style="3286" customWidth="1"/>
    <col min="13341" max="13341" width="67.625" style="3286" customWidth="1"/>
    <col min="13342" max="13342" width="7.875" style="3286" customWidth="1"/>
    <col min="13343" max="13343" width="32.75" style="3286" customWidth="1"/>
    <col min="13344" max="13344" width="26.125" style="3286" customWidth="1"/>
    <col min="13345" max="13347" width="10.625" style="3286" customWidth="1"/>
    <col min="13348" max="13349" width="16" style="3286" customWidth="1"/>
    <col min="13350" max="13351" width="14.375" style="3286" customWidth="1"/>
    <col min="13352" max="13353" width="21.875" style="3286" customWidth="1"/>
    <col min="13354" max="13354" width="6.25" style="3286" customWidth="1"/>
    <col min="13355" max="13355" width="19.5" style="3286" customWidth="1"/>
    <col min="13356" max="13356" width="16.875" style="3286" customWidth="1"/>
    <col min="13357" max="13358" width="20.125" style="3286" customWidth="1"/>
    <col min="13359" max="13359" width="7.875" style="3286" customWidth="1"/>
    <col min="13360" max="13568" width="9" style="3286"/>
    <col min="13569" max="13569" width="57.875" style="3286" customWidth="1"/>
    <col min="13570" max="13570" width="6.25" style="3286" customWidth="1"/>
    <col min="13571" max="13571" width="13.875" style="3286" customWidth="1"/>
    <col min="13572" max="13572" width="6.25" style="3286" customWidth="1"/>
    <col min="13573" max="13573" width="9.625" style="3286" customWidth="1"/>
    <col min="13574" max="13574" width="57.875" style="3286" customWidth="1"/>
    <col min="13575" max="13575" width="37.5" style="3286" customWidth="1"/>
    <col min="13576" max="13577" width="13.875" style="3286" customWidth="1"/>
    <col min="13578" max="13578" width="25.375" style="3286" customWidth="1"/>
    <col min="13579" max="13579" width="7.875" style="3286" customWidth="1"/>
    <col min="13580" max="13580" width="53.875" style="3286" customWidth="1"/>
    <col min="13581" max="13582" width="7.875" style="3286" customWidth="1"/>
    <col min="13583" max="13584" width="24.5" style="3286" customWidth="1"/>
    <col min="13585" max="13585" width="9.625" style="3286" customWidth="1"/>
    <col min="13586" max="13587" width="15.5" style="3286" customWidth="1"/>
    <col min="13588" max="13588" width="12.875" style="3286" customWidth="1"/>
    <col min="13589" max="13590" width="22" style="3286" customWidth="1"/>
    <col min="13591" max="13591" width="17.875" style="3286" customWidth="1"/>
    <col min="13592" max="13592" width="7.875" style="3286" customWidth="1"/>
    <col min="13593" max="13596" width="9" style="3286" customWidth="1"/>
    <col min="13597" max="13597" width="67.625" style="3286" customWidth="1"/>
    <col min="13598" max="13598" width="7.875" style="3286" customWidth="1"/>
    <col min="13599" max="13599" width="32.75" style="3286" customWidth="1"/>
    <col min="13600" max="13600" width="26.125" style="3286" customWidth="1"/>
    <col min="13601" max="13603" width="10.625" style="3286" customWidth="1"/>
    <col min="13604" max="13605" width="16" style="3286" customWidth="1"/>
    <col min="13606" max="13607" width="14.375" style="3286" customWidth="1"/>
    <col min="13608" max="13609" width="21.875" style="3286" customWidth="1"/>
    <col min="13610" max="13610" width="6.25" style="3286" customWidth="1"/>
    <col min="13611" max="13611" width="19.5" style="3286" customWidth="1"/>
    <col min="13612" max="13612" width="16.875" style="3286" customWidth="1"/>
    <col min="13613" max="13614" width="20.125" style="3286" customWidth="1"/>
    <col min="13615" max="13615" width="7.875" style="3286" customWidth="1"/>
    <col min="13616" max="13824" width="9" style="3286"/>
    <col min="13825" max="13825" width="57.875" style="3286" customWidth="1"/>
    <col min="13826" max="13826" width="6.25" style="3286" customWidth="1"/>
    <col min="13827" max="13827" width="13.875" style="3286" customWidth="1"/>
    <col min="13828" max="13828" width="6.25" style="3286" customWidth="1"/>
    <col min="13829" max="13829" width="9.625" style="3286" customWidth="1"/>
    <col min="13830" max="13830" width="57.875" style="3286" customWidth="1"/>
    <col min="13831" max="13831" width="37.5" style="3286" customWidth="1"/>
    <col min="13832" max="13833" width="13.875" style="3286" customWidth="1"/>
    <col min="13834" max="13834" width="25.375" style="3286" customWidth="1"/>
    <col min="13835" max="13835" width="7.875" style="3286" customWidth="1"/>
    <col min="13836" max="13836" width="53.875" style="3286" customWidth="1"/>
    <col min="13837" max="13838" width="7.875" style="3286" customWidth="1"/>
    <col min="13839" max="13840" width="24.5" style="3286" customWidth="1"/>
    <col min="13841" max="13841" width="9.625" style="3286" customWidth="1"/>
    <col min="13842" max="13843" width="15.5" style="3286" customWidth="1"/>
    <col min="13844" max="13844" width="12.875" style="3286" customWidth="1"/>
    <col min="13845" max="13846" width="22" style="3286" customWidth="1"/>
    <col min="13847" max="13847" width="17.875" style="3286" customWidth="1"/>
    <col min="13848" max="13848" width="7.875" style="3286" customWidth="1"/>
    <col min="13849" max="13852" width="9" style="3286" customWidth="1"/>
    <col min="13853" max="13853" width="67.625" style="3286" customWidth="1"/>
    <col min="13854" max="13854" width="7.875" style="3286" customWidth="1"/>
    <col min="13855" max="13855" width="32.75" style="3286" customWidth="1"/>
    <col min="13856" max="13856" width="26.125" style="3286" customWidth="1"/>
    <col min="13857" max="13859" width="10.625" style="3286" customWidth="1"/>
    <col min="13860" max="13861" width="16" style="3286" customWidth="1"/>
    <col min="13862" max="13863" width="14.375" style="3286" customWidth="1"/>
    <col min="13864" max="13865" width="21.875" style="3286" customWidth="1"/>
    <col min="13866" max="13866" width="6.25" style="3286" customWidth="1"/>
    <col min="13867" max="13867" width="19.5" style="3286" customWidth="1"/>
    <col min="13868" max="13868" width="16.875" style="3286" customWidth="1"/>
    <col min="13869" max="13870" width="20.125" style="3286" customWidth="1"/>
    <col min="13871" max="13871" width="7.875" style="3286" customWidth="1"/>
    <col min="13872" max="14080" width="9" style="3286"/>
    <col min="14081" max="14081" width="57.875" style="3286" customWidth="1"/>
    <col min="14082" max="14082" width="6.25" style="3286" customWidth="1"/>
    <col min="14083" max="14083" width="13.875" style="3286" customWidth="1"/>
    <col min="14084" max="14084" width="6.25" style="3286" customWidth="1"/>
    <col min="14085" max="14085" width="9.625" style="3286" customWidth="1"/>
    <col min="14086" max="14086" width="57.875" style="3286" customWidth="1"/>
    <col min="14087" max="14087" width="37.5" style="3286" customWidth="1"/>
    <col min="14088" max="14089" width="13.875" style="3286" customWidth="1"/>
    <col min="14090" max="14090" width="25.375" style="3286" customWidth="1"/>
    <col min="14091" max="14091" width="7.875" style="3286" customWidth="1"/>
    <col min="14092" max="14092" width="53.875" style="3286" customWidth="1"/>
    <col min="14093" max="14094" width="7.875" style="3286" customWidth="1"/>
    <col min="14095" max="14096" width="24.5" style="3286" customWidth="1"/>
    <col min="14097" max="14097" width="9.625" style="3286" customWidth="1"/>
    <col min="14098" max="14099" width="15.5" style="3286" customWidth="1"/>
    <col min="14100" max="14100" width="12.875" style="3286" customWidth="1"/>
    <col min="14101" max="14102" width="22" style="3286" customWidth="1"/>
    <col min="14103" max="14103" width="17.875" style="3286" customWidth="1"/>
    <col min="14104" max="14104" width="7.875" style="3286" customWidth="1"/>
    <col min="14105" max="14108" width="9" style="3286" customWidth="1"/>
    <col min="14109" max="14109" width="67.625" style="3286" customWidth="1"/>
    <col min="14110" max="14110" width="7.875" style="3286" customWidth="1"/>
    <col min="14111" max="14111" width="32.75" style="3286" customWidth="1"/>
    <col min="14112" max="14112" width="26.125" style="3286" customWidth="1"/>
    <col min="14113" max="14115" width="10.625" style="3286" customWidth="1"/>
    <col min="14116" max="14117" width="16" style="3286" customWidth="1"/>
    <col min="14118" max="14119" width="14.375" style="3286" customWidth="1"/>
    <col min="14120" max="14121" width="21.875" style="3286" customWidth="1"/>
    <col min="14122" max="14122" width="6.25" style="3286" customWidth="1"/>
    <col min="14123" max="14123" width="19.5" style="3286" customWidth="1"/>
    <col min="14124" max="14124" width="16.875" style="3286" customWidth="1"/>
    <col min="14125" max="14126" width="20.125" style="3286" customWidth="1"/>
    <col min="14127" max="14127" width="7.875" style="3286" customWidth="1"/>
    <col min="14128" max="14336" width="9" style="3286"/>
    <col min="14337" max="14337" width="57.875" style="3286" customWidth="1"/>
    <col min="14338" max="14338" width="6.25" style="3286" customWidth="1"/>
    <col min="14339" max="14339" width="13.875" style="3286" customWidth="1"/>
    <col min="14340" max="14340" width="6.25" style="3286" customWidth="1"/>
    <col min="14341" max="14341" width="9.625" style="3286" customWidth="1"/>
    <col min="14342" max="14342" width="57.875" style="3286" customWidth="1"/>
    <col min="14343" max="14343" width="37.5" style="3286" customWidth="1"/>
    <col min="14344" max="14345" width="13.875" style="3286" customWidth="1"/>
    <col min="14346" max="14346" width="25.375" style="3286" customWidth="1"/>
    <col min="14347" max="14347" width="7.875" style="3286" customWidth="1"/>
    <col min="14348" max="14348" width="53.875" style="3286" customWidth="1"/>
    <col min="14349" max="14350" width="7.875" style="3286" customWidth="1"/>
    <col min="14351" max="14352" width="24.5" style="3286" customWidth="1"/>
    <col min="14353" max="14353" width="9.625" style="3286" customWidth="1"/>
    <col min="14354" max="14355" width="15.5" style="3286" customWidth="1"/>
    <col min="14356" max="14356" width="12.875" style="3286" customWidth="1"/>
    <col min="14357" max="14358" width="22" style="3286" customWidth="1"/>
    <col min="14359" max="14359" width="17.875" style="3286" customWidth="1"/>
    <col min="14360" max="14360" width="7.875" style="3286" customWidth="1"/>
    <col min="14361" max="14364" width="9" style="3286" customWidth="1"/>
    <col min="14365" max="14365" width="67.625" style="3286" customWidth="1"/>
    <col min="14366" max="14366" width="7.875" style="3286" customWidth="1"/>
    <col min="14367" max="14367" width="32.75" style="3286" customWidth="1"/>
    <col min="14368" max="14368" width="26.125" style="3286" customWidth="1"/>
    <col min="14369" max="14371" width="10.625" style="3286" customWidth="1"/>
    <col min="14372" max="14373" width="16" style="3286" customWidth="1"/>
    <col min="14374" max="14375" width="14.375" style="3286" customWidth="1"/>
    <col min="14376" max="14377" width="21.875" style="3286" customWidth="1"/>
    <col min="14378" max="14378" width="6.25" style="3286" customWidth="1"/>
    <col min="14379" max="14379" width="19.5" style="3286" customWidth="1"/>
    <col min="14380" max="14380" width="16.875" style="3286" customWidth="1"/>
    <col min="14381" max="14382" width="20.125" style="3286" customWidth="1"/>
    <col min="14383" max="14383" width="7.875" style="3286" customWidth="1"/>
    <col min="14384" max="14592" width="9" style="3286"/>
    <col min="14593" max="14593" width="57.875" style="3286" customWidth="1"/>
    <col min="14594" max="14594" width="6.25" style="3286" customWidth="1"/>
    <col min="14595" max="14595" width="13.875" style="3286" customWidth="1"/>
    <col min="14596" max="14596" width="6.25" style="3286" customWidth="1"/>
    <col min="14597" max="14597" width="9.625" style="3286" customWidth="1"/>
    <col min="14598" max="14598" width="57.875" style="3286" customWidth="1"/>
    <col min="14599" max="14599" width="37.5" style="3286" customWidth="1"/>
    <col min="14600" max="14601" width="13.875" style="3286" customWidth="1"/>
    <col min="14602" max="14602" width="25.375" style="3286" customWidth="1"/>
    <col min="14603" max="14603" width="7.875" style="3286" customWidth="1"/>
    <col min="14604" max="14604" width="53.875" style="3286" customWidth="1"/>
    <col min="14605" max="14606" width="7.875" style="3286" customWidth="1"/>
    <col min="14607" max="14608" width="24.5" style="3286" customWidth="1"/>
    <col min="14609" max="14609" width="9.625" style="3286" customWidth="1"/>
    <col min="14610" max="14611" width="15.5" style="3286" customWidth="1"/>
    <col min="14612" max="14612" width="12.875" style="3286" customWidth="1"/>
    <col min="14613" max="14614" width="22" style="3286" customWidth="1"/>
    <col min="14615" max="14615" width="17.875" style="3286" customWidth="1"/>
    <col min="14616" max="14616" width="7.875" style="3286" customWidth="1"/>
    <col min="14617" max="14620" width="9" style="3286" customWidth="1"/>
    <col min="14621" max="14621" width="67.625" style="3286" customWidth="1"/>
    <col min="14622" max="14622" width="7.875" style="3286" customWidth="1"/>
    <col min="14623" max="14623" width="32.75" style="3286" customWidth="1"/>
    <col min="14624" max="14624" width="26.125" style="3286" customWidth="1"/>
    <col min="14625" max="14627" width="10.625" style="3286" customWidth="1"/>
    <col min="14628" max="14629" width="16" style="3286" customWidth="1"/>
    <col min="14630" max="14631" width="14.375" style="3286" customWidth="1"/>
    <col min="14632" max="14633" width="21.875" style="3286" customWidth="1"/>
    <col min="14634" max="14634" width="6.25" style="3286" customWidth="1"/>
    <col min="14635" max="14635" width="19.5" style="3286" customWidth="1"/>
    <col min="14636" max="14636" width="16.875" style="3286" customWidth="1"/>
    <col min="14637" max="14638" width="20.125" style="3286" customWidth="1"/>
    <col min="14639" max="14639" width="7.875" style="3286" customWidth="1"/>
    <col min="14640" max="14848" width="9" style="3286"/>
    <col min="14849" max="14849" width="57.875" style="3286" customWidth="1"/>
    <col min="14850" max="14850" width="6.25" style="3286" customWidth="1"/>
    <col min="14851" max="14851" width="13.875" style="3286" customWidth="1"/>
    <col min="14852" max="14852" width="6.25" style="3286" customWidth="1"/>
    <col min="14853" max="14853" width="9.625" style="3286" customWidth="1"/>
    <col min="14854" max="14854" width="57.875" style="3286" customWidth="1"/>
    <col min="14855" max="14855" width="37.5" style="3286" customWidth="1"/>
    <col min="14856" max="14857" width="13.875" style="3286" customWidth="1"/>
    <col min="14858" max="14858" width="25.375" style="3286" customWidth="1"/>
    <col min="14859" max="14859" width="7.875" style="3286" customWidth="1"/>
    <col min="14860" max="14860" width="53.875" style="3286" customWidth="1"/>
    <col min="14861" max="14862" width="7.875" style="3286" customWidth="1"/>
    <col min="14863" max="14864" width="24.5" style="3286" customWidth="1"/>
    <col min="14865" max="14865" width="9.625" style="3286" customWidth="1"/>
    <col min="14866" max="14867" width="15.5" style="3286" customWidth="1"/>
    <col min="14868" max="14868" width="12.875" style="3286" customWidth="1"/>
    <col min="14869" max="14870" width="22" style="3286" customWidth="1"/>
    <col min="14871" max="14871" width="17.875" style="3286" customWidth="1"/>
    <col min="14872" max="14872" width="7.875" style="3286" customWidth="1"/>
    <col min="14873" max="14876" width="9" style="3286" customWidth="1"/>
    <col min="14877" max="14877" width="67.625" style="3286" customWidth="1"/>
    <col min="14878" max="14878" width="7.875" style="3286" customWidth="1"/>
    <col min="14879" max="14879" width="32.75" style="3286" customWidth="1"/>
    <col min="14880" max="14880" width="26.125" style="3286" customWidth="1"/>
    <col min="14881" max="14883" width="10.625" style="3286" customWidth="1"/>
    <col min="14884" max="14885" width="16" style="3286" customWidth="1"/>
    <col min="14886" max="14887" width="14.375" style="3286" customWidth="1"/>
    <col min="14888" max="14889" width="21.875" style="3286" customWidth="1"/>
    <col min="14890" max="14890" width="6.25" style="3286" customWidth="1"/>
    <col min="14891" max="14891" width="19.5" style="3286" customWidth="1"/>
    <col min="14892" max="14892" width="16.875" style="3286" customWidth="1"/>
    <col min="14893" max="14894" width="20.125" style="3286" customWidth="1"/>
    <col min="14895" max="14895" width="7.875" style="3286" customWidth="1"/>
    <col min="14896" max="15104" width="9" style="3286"/>
    <col min="15105" max="15105" width="57.875" style="3286" customWidth="1"/>
    <col min="15106" max="15106" width="6.25" style="3286" customWidth="1"/>
    <col min="15107" max="15107" width="13.875" style="3286" customWidth="1"/>
    <col min="15108" max="15108" width="6.25" style="3286" customWidth="1"/>
    <col min="15109" max="15109" width="9.625" style="3286" customWidth="1"/>
    <col min="15110" max="15110" width="57.875" style="3286" customWidth="1"/>
    <col min="15111" max="15111" width="37.5" style="3286" customWidth="1"/>
    <col min="15112" max="15113" width="13.875" style="3286" customWidth="1"/>
    <col min="15114" max="15114" width="25.375" style="3286" customWidth="1"/>
    <col min="15115" max="15115" width="7.875" style="3286" customWidth="1"/>
    <col min="15116" max="15116" width="53.875" style="3286" customWidth="1"/>
    <col min="15117" max="15118" width="7.875" style="3286" customWidth="1"/>
    <col min="15119" max="15120" width="24.5" style="3286" customWidth="1"/>
    <col min="15121" max="15121" width="9.625" style="3286" customWidth="1"/>
    <col min="15122" max="15123" width="15.5" style="3286" customWidth="1"/>
    <col min="15124" max="15124" width="12.875" style="3286" customWidth="1"/>
    <col min="15125" max="15126" width="22" style="3286" customWidth="1"/>
    <col min="15127" max="15127" width="17.875" style="3286" customWidth="1"/>
    <col min="15128" max="15128" width="7.875" style="3286" customWidth="1"/>
    <col min="15129" max="15132" width="9" style="3286" customWidth="1"/>
    <col min="15133" max="15133" width="67.625" style="3286" customWidth="1"/>
    <col min="15134" max="15134" width="7.875" style="3286" customWidth="1"/>
    <col min="15135" max="15135" width="32.75" style="3286" customWidth="1"/>
    <col min="15136" max="15136" width="26.125" style="3286" customWidth="1"/>
    <col min="15137" max="15139" width="10.625" style="3286" customWidth="1"/>
    <col min="15140" max="15141" width="16" style="3286" customWidth="1"/>
    <col min="15142" max="15143" width="14.375" style="3286" customWidth="1"/>
    <col min="15144" max="15145" width="21.875" style="3286" customWidth="1"/>
    <col min="15146" max="15146" width="6.25" style="3286" customWidth="1"/>
    <col min="15147" max="15147" width="19.5" style="3286" customWidth="1"/>
    <col min="15148" max="15148" width="16.875" style="3286" customWidth="1"/>
    <col min="15149" max="15150" width="20.125" style="3286" customWidth="1"/>
    <col min="15151" max="15151" width="7.875" style="3286" customWidth="1"/>
    <col min="15152" max="15360" width="9" style="3286"/>
    <col min="15361" max="15361" width="57.875" style="3286" customWidth="1"/>
    <col min="15362" max="15362" width="6.25" style="3286" customWidth="1"/>
    <col min="15363" max="15363" width="13.875" style="3286" customWidth="1"/>
    <col min="15364" max="15364" width="6.25" style="3286" customWidth="1"/>
    <col min="15365" max="15365" width="9.625" style="3286" customWidth="1"/>
    <col min="15366" max="15366" width="57.875" style="3286" customWidth="1"/>
    <col min="15367" max="15367" width="37.5" style="3286" customWidth="1"/>
    <col min="15368" max="15369" width="13.875" style="3286" customWidth="1"/>
    <col min="15370" max="15370" width="25.375" style="3286" customWidth="1"/>
    <col min="15371" max="15371" width="7.875" style="3286" customWidth="1"/>
    <col min="15372" max="15372" width="53.875" style="3286" customWidth="1"/>
    <col min="15373" max="15374" width="7.875" style="3286" customWidth="1"/>
    <col min="15375" max="15376" width="24.5" style="3286" customWidth="1"/>
    <col min="15377" max="15377" width="9.625" style="3286" customWidth="1"/>
    <col min="15378" max="15379" width="15.5" style="3286" customWidth="1"/>
    <col min="15380" max="15380" width="12.875" style="3286" customWidth="1"/>
    <col min="15381" max="15382" width="22" style="3286" customWidth="1"/>
    <col min="15383" max="15383" width="17.875" style="3286" customWidth="1"/>
    <col min="15384" max="15384" width="7.875" style="3286" customWidth="1"/>
    <col min="15385" max="15388" width="9" style="3286" customWidth="1"/>
    <col min="15389" max="15389" width="67.625" style="3286" customWidth="1"/>
    <col min="15390" max="15390" width="7.875" style="3286" customWidth="1"/>
    <col min="15391" max="15391" width="32.75" style="3286" customWidth="1"/>
    <col min="15392" max="15392" width="26.125" style="3286" customWidth="1"/>
    <col min="15393" max="15395" width="10.625" style="3286" customWidth="1"/>
    <col min="15396" max="15397" width="16" style="3286" customWidth="1"/>
    <col min="15398" max="15399" width="14.375" style="3286" customWidth="1"/>
    <col min="15400" max="15401" width="21.875" style="3286" customWidth="1"/>
    <col min="15402" max="15402" width="6.25" style="3286" customWidth="1"/>
    <col min="15403" max="15403" width="19.5" style="3286" customWidth="1"/>
    <col min="15404" max="15404" width="16.875" style="3286" customWidth="1"/>
    <col min="15405" max="15406" width="20.125" style="3286" customWidth="1"/>
    <col min="15407" max="15407" width="7.875" style="3286" customWidth="1"/>
    <col min="15408" max="15616" width="9" style="3286"/>
    <col min="15617" max="15617" width="57.875" style="3286" customWidth="1"/>
    <col min="15618" max="15618" width="6.25" style="3286" customWidth="1"/>
    <col min="15619" max="15619" width="13.875" style="3286" customWidth="1"/>
    <col min="15620" max="15620" width="6.25" style="3286" customWidth="1"/>
    <col min="15621" max="15621" width="9.625" style="3286" customWidth="1"/>
    <col min="15622" max="15622" width="57.875" style="3286" customWidth="1"/>
    <col min="15623" max="15623" width="37.5" style="3286" customWidth="1"/>
    <col min="15624" max="15625" width="13.875" style="3286" customWidth="1"/>
    <col min="15626" max="15626" width="25.375" style="3286" customWidth="1"/>
    <col min="15627" max="15627" width="7.875" style="3286" customWidth="1"/>
    <col min="15628" max="15628" width="53.875" style="3286" customWidth="1"/>
    <col min="15629" max="15630" width="7.875" style="3286" customWidth="1"/>
    <col min="15631" max="15632" width="24.5" style="3286" customWidth="1"/>
    <col min="15633" max="15633" width="9.625" style="3286" customWidth="1"/>
    <col min="15634" max="15635" width="15.5" style="3286" customWidth="1"/>
    <col min="15636" max="15636" width="12.875" style="3286" customWidth="1"/>
    <col min="15637" max="15638" width="22" style="3286" customWidth="1"/>
    <col min="15639" max="15639" width="17.875" style="3286" customWidth="1"/>
    <col min="15640" max="15640" width="7.875" style="3286" customWidth="1"/>
    <col min="15641" max="15644" width="9" style="3286" customWidth="1"/>
    <col min="15645" max="15645" width="67.625" style="3286" customWidth="1"/>
    <col min="15646" max="15646" width="7.875" style="3286" customWidth="1"/>
    <col min="15647" max="15647" width="32.75" style="3286" customWidth="1"/>
    <col min="15648" max="15648" width="26.125" style="3286" customWidth="1"/>
    <col min="15649" max="15651" width="10.625" style="3286" customWidth="1"/>
    <col min="15652" max="15653" width="16" style="3286" customWidth="1"/>
    <col min="15654" max="15655" width="14.375" style="3286" customWidth="1"/>
    <col min="15656" max="15657" width="21.875" style="3286" customWidth="1"/>
    <col min="15658" max="15658" width="6.25" style="3286" customWidth="1"/>
    <col min="15659" max="15659" width="19.5" style="3286" customWidth="1"/>
    <col min="15660" max="15660" width="16.875" style="3286" customWidth="1"/>
    <col min="15661" max="15662" width="20.125" style="3286" customWidth="1"/>
    <col min="15663" max="15663" width="7.875" style="3286" customWidth="1"/>
    <col min="15664" max="15872" width="9" style="3286"/>
    <col min="15873" max="15873" width="57.875" style="3286" customWidth="1"/>
    <col min="15874" max="15874" width="6.25" style="3286" customWidth="1"/>
    <col min="15875" max="15875" width="13.875" style="3286" customWidth="1"/>
    <col min="15876" max="15876" width="6.25" style="3286" customWidth="1"/>
    <col min="15877" max="15877" width="9.625" style="3286" customWidth="1"/>
    <col min="15878" max="15878" width="57.875" style="3286" customWidth="1"/>
    <col min="15879" max="15879" width="37.5" style="3286" customWidth="1"/>
    <col min="15880" max="15881" width="13.875" style="3286" customWidth="1"/>
    <col min="15882" max="15882" width="25.375" style="3286" customWidth="1"/>
    <col min="15883" max="15883" width="7.875" style="3286" customWidth="1"/>
    <col min="15884" max="15884" width="53.875" style="3286" customWidth="1"/>
    <col min="15885" max="15886" width="7.875" style="3286" customWidth="1"/>
    <col min="15887" max="15888" width="24.5" style="3286" customWidth="1"/>
    <col min="15889" max="15889" width="9.625" style="3286" customWidth="1"/>
    <col min="15890" max="15891" width="15.5" style="3286" customWidth="1"/>
    <col min="15892" max="15892" width="12.875" style="3286" customWidth="1"/>
    <col min="15893" max="15894" width="22" style="3286" customWidth="1"/>
    <col min="15895" max="15895" width="17.875" style="3286" customWidth="1"/>
    <col min="15896" max="15896" width="7.875" style="3286" customWidth="1"/>
    <col min="15897" max="15900" width="9" style="3286" customWidth="1"/>
    <col min="15901" max="15901" width="67.625" style="3286" customWidth="1"/>
    <col min="15902" max="15902" width="7.875" style="3286" customWidth="1"/>
    <col min="15903" max="15903" width="32.75" style="3286" customWidth="1"/>
    <col min="15904" max="15904" width="26.125" style="3286" customWidth="1"/>
    <col min="15905" max="15907" width="10.625" style="3286" customWidth="1"/>
    <col min="15908" max="15909" width="16" style="3286" customWidth="1"/>
    <col min="15910" max="15911" width="14.375" style="3286" customWidth="1"/>
    <col min="15912" max="15913" width="21.875" style="3286" customWidth="1"/>
    <col min="15914" max="15914" width="6.25" style="3286" customWidth="1"/>
    <col min="15915" max="15915" width="19.5" style="3286" customWidth="1"/>
    <col min="15916" max="15916" width="16.875" style="3286" customWidth="1"/>
    <col min="15917" max="15918" width="20.125" style="3286" customWidth="1"/>
    <col min="15919" max="15919" width="7.875" style="3286" customWidth="1"/>
    <col min="15920" max="16128" width="9" style="3286"/>
    <col min="16129" max="16129" width="57.875" style="3286" customWidth="1"/>
    <col min="16130" max="16130" width="6.25" style="3286" customWidth="1"/>
    <col min="16131" max="16131" width="13.875" style="3286" customWidth="1"/>
    <col min="16132" max="16132" width="6.25" style="3286" customWidth="1"/>
    <col min="16133" max="16133" width="9.625" style="3286" customWidth="1"/>
    <col min="16134" max="16134" width="57.875" style="3286" customWidth="1"/>
    <col min="16135" max="16135" width="37.5" style="3286" customWidth="1"/>
    <col min="16136" max="16137" width="13.875" style="3286" customWidth="1"/>
    <col min="16138" max="16138" width="25.375" style="3286" customWidth="1"/>
    <col min="16139" max="16139" width="7.875" style="3286" customWidth="1"/>
    <col min="16140" max="16140" width="53.875" style="3286" customWidth="1"/>
    <col min="16141" max="16142" width="7.875" style="3286" customWidth="1"/>
    <col min="16143" max="16144" width="24.5" style="3286" customWidth="1"/>
    <col min="16145" max="16145" width="9.625" style="3286" customWidth="1"/>
    <col min="16146" max="16147" width="15.5" style="3286" customWidth="1"/>
    <col min="16148" max="16148" width="12.875" style="3286" customWidth="1"/>
    <col min="16149" max="16150" width="22" style="3286" customWidth="1"/>
    <col min="16151" max="16151" width="17.875" style="3286" customWidth="1"/>
    <col min="16152" max="16152" width="7.875" style="3286" customWidth="1"/>
    <col min="16153" max="16156" width="9" style="3286" customWidth="1"/>
    <col min="16157" max="16157" width="67.625" style="3286" customWidth="1"/>
    <col min="16158" max="16158" width="7.875" style="3286" customWidth="1"/>
    <col min="16159" max="16159" width="32.75" style="3286" customWidth="1"/>
    <col min="16160" max="16160" width="26.125" style="3286" customWidth="1"/>
    <col min="16161" max="16163" width="10.625" style="3286" customWidth="1"/>
    <col min="16164" max="16165" width="16" style="3286" customWidth="1"/>
    <col min="16166" max="16167" width="14.375" style="3286" customWidth="1"/>
    <col min="16168" max="16169" width="21.875" style="3286" customWidth="1"/>
    <col min="16170" max="16170" width="6.25" style="3286" customWidth="1"/>
    <col min="16171" max="16171" width="19.5" style="3286" customWidth="1"/>
    <col min="16172" max="16172" width="16.875" style="3286" customWidth="1"/>
    <col min="16173" max="16174" width="20.125" style="3286" customWidth="1"/>
    <col min="16175" max="16175" width="7.875" style="3286" customWidth="1"/>
    <col min="16176" max="16384" width="9" style="3286"/>
  </cols>
  <sheetData>
    <row r="1" spans="1:47">
      <c r="A1" s="3286" t="s">
        <v>3016</v>
      </c>
      <c r="B1" s="3286" t="s">
        <v>3017</v>
      </c>
      <c r="C1" s="3286" t="s">
        <v>3018</v>
      </c>
      <c r="D1" s="3286" t="s">
        <v>3019</v>
      </c>
      <c r="E1" s="3286" t="s">
        <v>3020</v>
      </c>
      <c r="F1" s="3286" t="s">
        <v>3021</v>
      </c>
      <c r="G1" s="3286" t="s">
        <v>3022</v>
      </c>
      <c r="H1" s="3286" t="s">
        <v>3023</v>
      </c>
      <c r="I1" s="3286" t="s">
        <v>3024</v>
      </c>
      <c r="J1" s="3286" t="s">
        <v>2021</v>
      </c>
      <c r="K1" s="3286" t="s">
        <v>3025</v>
      </c>
      <c r="L1" s="3286" t="s">
        <v>3026</v>
      </c>
      <c r="M1" s="3286" t="s">
        <v>3027</v>
      </c>
      <c r="N1" s="3286" t="s">
        <v>3028</v>
      </c>
      <c r="O1" s="3286" t="s">
        <v>3029</v>
      </c>
      <c r="P1" s="3286" t="s">
        <v>3030</v>
      </c>
      <c r="Q1" s="3286" t="s">
        <v>3031</v>
      </c>
      <c r="R1" s="3286" t="s">
        <v>3032</v>
      </c>
      <c r="S1" s="3286" t="s">
        <v>3033</v>
      </c>
      <c r="T1" s="3286" t="s">
        <v>3034</v>
      </c>
      <c r="U1" s="3286" t="s">
        <v>3035</v>
      </c>
      <c r="V1" s="3286" t="s">
        <v>3036</v>
      </c>
      <c r="W1" s="3286" t="s">
        <v>3037</v>
      </c>
      <c r="X1" s="3286" t="s">
        <v>3038</v>
      </c>
      <c r="Y1" s="3286" t="s">
        <v>3039</v>
      </c>
      <c r="Z1" s="3286" t="s">
        <v>3040</v>
      </c>
      <c r="AA1" s="3286" t="s">
        <v>3041</v>
      </c>
      <c r="AB1" s="3286" t="s">
        <v>3042</v>
      </c>
      <c r="AC1" s="3286" t="s">
        <v>3043</v>
      </c>
      <c r="AD1" s="3286" t="s">
        <v>3044</v>
      </c>
      <c r="AE1" s="3286" t="s">
        <v>3045</v>
      </c>
      <c r="AF1" s="3286" t="s">
        <v>3046</v>
      </c>
      <c r="AG1" s="3286" t="s">
        <v>3047</v>
      </c>
      <c r="AH1" s="3286" t="s">
        <v>3048</v>
      </c>
      <c r="AI1" s="3286" t="s">
        <v>3049</v>
      </c>
      <c r="AJ1" s="3286" t="s">
        <v>3050</v>
      </c>
      <c r="AK1" s="3286" t="s">
        <v>3051</v>
      </c>
      <c r="AL1" s="3286" t="s">
        <v>3052</v>
      </c>
      <c r="AM1" s="3286" t="s">
        <v>3053</v>
      </c>
      <c r="AN1" s="3286" t="s">
        <v>3054</v>
      </c>
      <c r="AO1" s="3286" t="s">
        <v>3055</v>
      </c>
      <c r="AP1" s="3286" t="s">
        <v>3056</v>
      </c>
      <c r="AQ1" s="3286" t="s">
        <v>3057</v>
      </c>
      <c r="AR1" s="3286" t="s">
        <v>3058</v>
      </c>
      <c r="AS1" s="3286" t="s">
        <v>3059</v>
      </c>
      <c r="AT1" s="3286" t="s">
        <v>3060</v>
      </c>
      <c r="AU1" s="3286" t="s">
        <v>3061</v>
      </c>
    </row>
    <row r="2" spans="1:47">
      <c r="A2" s="3286" t="s">
        <v>3062</v>
      </c>
      <c r="B2" s="3286" t="s">
        <v>3063</v>
      </c>
      <c r="C2" s="3286" t="s">
        <v>3064</v>
      </c>
      <c r="D2" s="3286" t="s">
        <v>3065</v>
      </c>
      <c r="E2" s="3286" t="s">
        <v>3066</v>
      </c>
      <c r="F2" s="3286" t="s">
        <v>3067</v>
      </c>
      <c r="G2" s="3286" t="s">
        <v>3062</v>
      </c>
      <c r="H2" s="3286">
        <v>8296</v>
      </c>
      <c r="I2" s="3286">
        <v>9125.6</v>
      </c>
      <c r="J2" s="3286" t="s">
        <v>3068</v>
      </c>
      <c r="K2" s="3286" t="s">
        <v>3069</v>
      </c>
      <c r="L2" s="3286" t="s">
        <v>3070</v>
      </c>
      <c r="M2" s="3286">
        <v>0</v>
      </c>
      <c r="N2" s="3286" t="s">
        <v>2797</v>
      </c>
      <c r="O2" s="3286" t="s">
        <v>2797</v>
      </c>
      <c r="P2" s="3286" t="s">
        <v>2797</v>
      </c>
      <c r="Q2" s="3286" t="s">
        <v>2797</v>
      </c>
      <c r="R2" s="3286" t="s">
        <v>2797</v>
      </c>
      <c r="S2" s="3286" t="s">
        <v>2797</v>
      </c>
      <c r="T2" s="3286" t="s">
        <v>2797</v>
      </c>
      <c r="U2" s="3286" t="s">
        <v>3071</v>
      </c>
      <c r="V2" s="3286" t="s">
        <v>3071</v>
      </c>
      <c r="W2" s="3286" t="s">
        <v>2797</v>
      </c>
      <c r="X2" s="3286" t="s">
        <v>3072</v>
      </c>
      <c r="Y2" s="3286" t="s">
        <v>3073</v>
      </c>
      <c r="Z2" s="3286" t="s">
        <v>3074</v>
      </c>
      <c r="AA2" s="3286" t="s">
        <v>3074</v>
      </c>
      <c r="AB2" s="3286" t="s">
        <v>3074</v>
      </c>
      <c r="AC2" s="3286" t="s">
        <v>3075</v>
      </c>
      <c r="AD2" s="3286" t="s">
        <v>3076</v>
      </c>
      <c r="AE2" s="3286" t="s">
        <v>3077</v>
      </c>
      <c r="AF2" s="3286" t="s">
        <v>2797</v>
      </c>
      <c r="AG2" s="3286">
        <v>311</v>
      </c>
      <c r="AH2" s="3286">
        <v>1035</v>
      </c>
      <c r="AI2" s="3286">
        <v>1335</v>
      </c>
      <c r="AJ2" s="3286">
        <v>83.17</v>
      </c>
      <c r="AK2" s="3286">
        <v>107.28</v>
      </c>
      <c r="AL2" s="3286">
        <v>1134.17</v>
      </c>
      <c r="AM2" s="3286">
        <v>1462.92</v>
      </c>
      <c r="AN2" s="3286" t="s">
        <v>2797</v>
      </c>
      <c r="AO2" s="3286" t="s">
        <v>2797</v>
      </c>
      <c r="AP2" s="3286">
        <v>28.99</v>
      </c>
      <c r="AQ2" s="3286" t="s">
        <v>3078</v>
      </c>
      <c r="AR2" s="3286" t="s">
        <v>2797</v>
      </c>
      <c r="AS2" s="3286" t="s">
        <v>2797</v>
      </c>
      <c r="AT2" s="3286" t="s">
        <v>2797</v>
      </c>
      <c r="AU2" s="3286" t="s">
        <v>3079</v>
      </c>
    </row>
    <row r="3" spans="1:47" s="3287" customFormat="1">
      <c r="A3" s="3287" t="s">
        <v>3080</v>
      </c>
      <c r="B3" s="3287" t="s">
        <v>3063</v>
      </c>
      <c r="C3" s="3287" t="s">
        <v>3064</v>
      </c>
      <c r="D3" s="3287" t="s">
        <v>3065</v>
      </c>
      <c r="E3" s="3287" t="s">
        <v>3081</v>
      </c>
      <c r="F3" s="3287" t="s">
        <v>3082</v>
      </c>
      <c r="G3" s="3287" t="s">
        <v>3080</v>
      </c>
      <c r="H3" s="3287">
        <v>45034</v>
      </c>
      <c r="I3" s="3287">
        <v>67551</v>
      </c>
      <c r="J3" s="3287" t="s">
        <v>3083</v>
      </c>
      <c r="K3" s="3287" t="s">
        <v>3069</v>
      </c>
      <c r="L3" s="3287" t="s">
        <v>3070</v>
      </c>
      <c r="M3" s="3287">
        <v>0</v>
      </c>
      <c r="N3" s="3287" t="s">
        <v>2797</v>
      </c>
      <c r="O3" s="3287" t="s">
        <v>2797</v>
      </c>
      <c r="P3" s="3287" t="s">
        <v>2797</v>
      </c>
      <c r="Q3" s="3287" t="s">
        <v>2797</v>
      </c>
      <c r="R3" s="3287" t="s">
        <v>2797</v>
      </c>
      <c r="S3" s="3287">
        <v>6800</v>
      </c>
      <c r="T3" s="3287" t="s">
        <v>2797</v>
      </c>
      <c r="U3" s="3287" t="s">
        <v>3071</v>
      </c>
      <c r="V3" s="3287" t="s">
        <v>3071</v>
      </c>
      <c r="W3" s="3287" t="s">
        <v>2797</v>
      </c>
      <c r="X3" s="3287" t="s">
        <v>3072</v>
      </c>
      <c r="Y3" s="3287" t="s">
        <v>3084</v>
      </c>
      <c r="Z3" s="3287" t="s">
        <v>3085</v>
      </c>
      <c r="AA3" s="3287" t="s">
        <v>3085</v>
      </c>
      <c r="AB3" s="3287" t="s">
        <v>3085</v>
      </c>
      <c r="AC3" s="3287" t="s">
        <v>3086</v>
      </c>
      <c r="AD3" s="3287" t="s">
        <v>3076</v>
      </c>
      <c r="AE3" s="3287" t="s">
        <v>3087</v>
      </c>
      <c r="AF3" s="3287" t="s">
        <v>2797</v>
      </c>
      <c r="AG3" s="3287">
        <v>9323</v>
      </c>
      <c r="AH3" s="3287">
        <v>31074</v>
      </c>
      <c r="AI3" s="3287">
        <v>46574</v>
      </c>
      <c r="AJ3" s="3287">
        <v>460.01</v>
      </c>
      <c r="AK3" s="3287">
        <v>689.46</v>
      </c>
      <c r="AL3" s="3287">
        <v>4600.07</v>
      </c>
      <c r="AM3" s="3287">
        <v>6894.64</v>
      </c>
      <c r="AN3" s="3287" t="s">
        <v>2797</v>
      </c>
      <c r="AO3" s="3287">
        <v>7666</v>
      </c>
      <c r="AP3" s="3287">
        <v>49.88</v>
      </c>
      <c r="AQ3" s="3287" t="s">
        <v>3078</v>
      </c>
      <c r="AR3" s="3287" t="s">
        <v>2797</v>
      </c>
      <c r="AS3" s="3287" t="s">
        <v>2797</v>
      </c>
      <c r="AT3" s="3287" t="s">
        <v>2797</v>
      </c>
      <c r="AU3" s="3287" t="s">
        <v>3088</v>
      </c>
    </row>
    <row r="4" spans="1:47">
      <c r="A4" s="3286" t="s">
        <v>3089</v>
      </c>
      <c r="B4" s="3286" t="s">
        <v>3063</v>
      </c>
      <c r="C4" s="3286" t="s">
        <v>3064</v>
      </c>
      <c r="D4" s="3286" t="s">
        <v>3065</v>
      </c>
      <c r="E4" s="3286" t="s">
        <v>3090</v>
      </c>
      <c r="F4" s="3286" t="s">
        <v>3091</v>
      </c>
      <c r="G4" s="3286" t="s">
        <v>3089</v>
      </c>
      <c r="H4" s="3286">
        <v>5228</v>
      </c>
      <c r="I4" s="3286">
        <v>9410.4</v>
      </c>
      <c r="J4" s="3286" t="s">
        <v>3092</v>
      </c>
      <c r="K4" s="3286" t="s">
        <v>3069</v>
      </c>
      <c r="L4" s="3286" t="s">
        <v>3070</v>
      </c>
      <c r="M4" s="3286">
        <v>0</v>
      </c>
      <c r="N4" s="3286" t="s">
        <v>2797</v>
      </c>
      <c r="O4" s="3286" t="s">
        <v>2797</v>
      </c>
      <c r="P4" s="3286" t="s">
        <v>2797</v>
      </c>
      <c r="Q4" s="3286" t="s">
        <v>2797</v>
      </c>
      <c r="R4" s="3286" t="s">
        <v>2797</v>
      </c>
      <c r="S4" s="3286" t="s">
        <v>2797</v>
      </c>
      <c r="T4" s="3286" t="s">
        <v>2797</v>
      </c>
      <c r="U4" s="3286" t="s">
        <v>3093</v>
      </c>
      <c r="V4" s="3286" t="s">
        <v>3094</v>
      </c>
      <c r="W4" s="3286" t="s">
        <v>2797</v>
      </c>
      <c r="X4" s="3286" t="s">
        <v>3072</v>
      </c>
      <c r="Y4" s="3286" t="s">
        <v>3095</v>
      </c>
      <c r="Z4" s="3286" t="s">
        <v>3096</v>
      </c>
      <c r="AA4" s="3286" t="s">
        <v>3096</v>
      </c>
      <c r="AB4" s="3286" t="s">
        <v>3096</v>
      </c>
      <c r="AC4" s="3286" t="s">
        <v>3097</v>
      </c>
      <c r="AD4" s="3286" t="s">
        <v>3076</v>
      </c>
      <c r="AE4" s="3286" t="s">
        <v>3098</v>
      </c>
      <c r="AF4" s="3286" t="s">
        <v>2797</v>
      </c>
      <c r="AG4" s="3286">
        <v>1140</v>
      </c>
      <c r="AH4" s="3286">
        <v>1140</v>
      </c>
      <c r="AI4" s="3286">
        <v>1140</v>
      </c>
      <c r="AJ4" s="3286">
        <v>145.37</v>
      </c>
      <c r="AK4" s="3286">
        <v>145.37</v>
      </c>
      <c r="AL4" s="3286">
        <v>1211.42</v>
      </c>
      <c r="AM4" s="3286">
        <v>1211.43</v>
      </c>
      <c r="AN4" s="3286" t="s">
        <v>2797</v>
      </c>
      <c r="AO4" s="3286" t="s">
        <v>2797</v>
      </c>
      <c r="AP4" s="3286">
        <v>0</v>
      </c>
      <c r="AQ4" s="3286" t="s">
        <v>3099</v>
      </c>
      <c r="AR4" s="3286" t="s">
        <v>2797</v>
      </c>
      <c r="AS4" s="3286" t="s">
        <v>2797</v>
      </c>
      <c r="AT4" s="3286" t="s">
        <v>2797</v>
      </c>
      <c r="AU4" s="3286" t="s">
        <v>3079</v>
      </c>
    </row>
    <row r="5" spans="1:47">
      <c r="A5" s="3286" t="s">
        <v>3100</v>
      </c>
      <c r="B5" s="3286" t="s">
        <v>3063</v>
      </c>
      <c r="C5" s="3286" t="s">
        <v>3064</v>
      </c>
      <c r="D5" s="3286" t="s">
        <v>3065</v>
      </c>
      <c r="E5" s="3286" t="s">
        <v>3066</v>
      </c>
      <c r="F5" s="3286" t="s">
        <v>3101</v>
      </c>
      <c r="G5" s="3286" t="s">
        <v>3100</v>
      </c>
      <c r="H5" s="3286">
        <v>11196</v>
      </c>
      <c r="I5" s="3286">
        <v>11307.96</v>
      </c>
      <c r="J5" s="3286" t="s">
        <v>3102</v>
      </c>
      <c r="K5" s="3286" t="s">
        <v>3069</v>
      </c>
      <c r="L5" s="3286" t="s">
        <v>3070</v>
      </c>
      <c r="M5" s="3286">
        <v>0</v>
      </c>
      <c r="N5" s="3286" t="s">
        <v>2797</v>
      </c>
      <c r="O5" s="3286" t="s">
        <v>2797</v>
      </c>
      <c r="P5" s="3286" t="s">
        <v>2797</v>
      </c>
      <c r="Q5" s="3286" t="s">
        <v>2797</v>
      </c>
      <c r="R5" s="3286" t="s">
        <v>2797</v>
      </c>
      <c r="S5" s="3286" t="s">
        <v>2797</v>
      </c>
      <c r="T5" s="3286" t="s">
        <v>2797</v>
      </c>
      <c r="U5" s="3286" t="s">
        <v>3103</v>
      </c>
      <c r="V5" s="3286" t="s">
        <v>3104</v>
      </c>
      <c r="W5" s="3286" t="s">
        <v>2797</v>
      </c>
      <c r="X5" s="3286" t="s">
        <v>3072</v>
      </c>
      <c r="Y5" s="3286" t="s">
        <v>3105</v>
      </c>
      <c r="Z5" s="3286" t="s">
        <v>3106</v>
      </c>
      <c r="AA5" s="3286" t="s">
        <v>3106</v>
      </c>
      <c r="AB5" s="3286" t="s">
        <v>3106</v>
      </c>
      <c r="AC5" s="3286" t="s">
        <v>3107</v>
      </c>
      <c r="AD5" s="3286" t="s">
        <v>3076</v>
      </c>
      <c r="AE5" s="3286" t="s">
        <v>3108</v>
      </c>
      <c r="AF5" s="3286" t="s">
        <v>2797</v>
      </c>
      <c r="AG5" s="3286">
        <v>377</v>
      </c>
      <c r="AH5" s="3286">
        <v>1256</v>
      </c>
      <c r="AI5" s="3286">
        <v>1256</v>
      </c>
      <c r="AJ5" s="3286">
        <v>74.790000000000006</v>
      </c>
      <c r="AK5" s="3286">
        <v>74.790000000000006</v>
      </c>
      <c r="AL5" s="3286">
        <v>1110.72</v>
      </c>
      <c r="AM5" s="3286">
        <v>1110.72</v>
      </c>
      <c r="AN5" s="3286" t="s">
        <v>2797</v>
      </c>
      <c r="AO5" s="3286" t="s">
        <v>2797</v>
      </c>
      <c r="AP5" s="3286">
        <v>0</v>
      </c>
      <c r="AQ5" s="3286" t="s">
        <v>3109</v>
      </c>
      <c r="AR5" s="3286" t="s">
        <v>2797</v>
      </c>
      <c r="AS5" s="3286" t="s">
        <v>2797</v>
      </c>
      <c r="AT5" s="3286" t="s">
        <v>2797</v>
      </c>
      <c r="AU5" s="3286" t="s">
        <v>3110</v>
      </c>
    </row>
    <row r="6" spans="1:47">
      <c r="A6" s="3286" t="s">
        <v>3111</v>
      </c>
      <c r="B6" s="3286" t="s">
        <v>3063</v>
      </c>
      <c r="C6" s="3286" t="s">
        <v>3064</v>
      </c>
      <c r="D6" s="3286" t="s">
        <v>3065</v>
      </c>
      <c r="E6" s="3286" t="s">
        <v>3066</v>
      </c>
      <c r="F6" s="3286" t="s">
        <v>3112</v>
      </c>
      <c r="G6" s="3286" t="s">
        <v>3111</v>
      </c>
      <c r="H6" s="3286">
        <v>18284</v>
      </c>
      <c r="I6" s="3286">
        <v>18466.84</v>
      </c>
      <c r="J6" s="3286" t="s">
        <v>3102</v>
      </c>
      <c r="K6" s="3286" t="s">
        <v>3069</v>
      </c>
      <c r="L6" s="3286" t="s">
        <v>3070</v>
      </c>
      <c r="M6" s="3286">
        <v>0</v>
      </c>
      <c r="N6" s="3286" t="s">
        <v>2797</v>
      </c>
      <c r="O6" s="3286" t="s">
        <v>2797</v>
      </c>
      <c r="P6" s="3286" t="s">
        <v>2797</v>
      </c>
      <c r="Q6" s="3286" t="s">
        <v>2797</v>
      </c>
      <c r="R6" s="3286" t="s">
        <v>2797</v>
      </c>
      <c r="S6" s="3286" t="s">
        <v>2797</v>
      </c>
      <c r="T6" s="3286" t="s">
        <v>2797</v>
      </c>
      <c r="U6" s="3286" t="s">
        <v>3103</v>
      </c>
      <c r="V6" s="3286" t="s">
        <v>3104</v>
      </c>
      <c r="W6" s="3286" t="s">
        <v>2797</v>
      </c>
      <c r="X6" s="3286" t="s">
        <v>3072</v>
      </c>
      <c r="Y6" s="3286" t="s">
        <v>3105</v>
      </c>
      <c r="Z6" s="3286" t="s">
        <v>3106</v>
      </c>
      <c r="AA6" s="3286" t="s">
        <v>3106</v>
      </c>
      <c r="AB6" s="3286" t="s">
        <v>3106</v>
      </c>
      <c r="AC6" s="3286" t="s">
        <v>3107</v>
      </c>
      <c r="AD6" s="3286" t="s">
        <v>3076</v>
      </c>
      <c r="AE6" s="3286" t="s">
        <v>3113</v>
      </c>
      <c r="AF6" s="3286" t="s">
        <v>2797</v>
      </c>
      <c r="AG6" s="3286">
        <v>648</v>
      </c>
      <c r="AH6" s="3286">
        <v>2161</v>
      </c>
      <c r="AI6" s="3286">
        <v>2161</v>
      </c>
      <c r="AJ6" s="3286">
        <v>78.790000000000006</v>
      </c>
      <c r="AK6" s="3286">
        <v>78.790000000000006</v>
      </c>
      <c r="AL6" s="3286">
        <v>1170.2</v>
      </c>
      <c r="AM6" s="3286">
        <v>1170.21</v>
      </c>
      <c r="AN6" s="3286" t="s">
        <v>2797</v>
      </c>
      <c r="AO6" s="3286" t="s">
        <v>2797</v>
      </c>
      <c r="AP6" s="3286">
        <v>0</v>
      </c>
      <c r="AQ6" s="3286" t="s">
        <v>3109</v>
      </c>
      <c r="AR6" s="3286" t="s">
        <v>2797</v>
      </c>
      <c r="AS6" s="3286" t="s">
        <v>2797</v>
      </c>
      <c r="AT6" s="3286" t="s">
        <v>2797</v>
      </c>
      <c r="AU6" s="3286" t="s">
        <v>3110</v>
      </c>
    </row>
    <row r="7" spans="1:47">
      <c r="A7" s="3286" t="s">
        <v>3114</v>
      </c>
      <c r="B7" s="3286" t="s">
        <v>3063</v>
      </c>
      <c r="C7" s="3286" t="s">
        <v>3064</v>
      </c>
      <c r="D7" s="3286" t="s">
        <v>3065</v>
      </c>
      <c r="E7" s="3286" t="s">
        <v>3066</v>
      </c>
      <c r="F7" s="3286" t="s">
        <v>3115</v>
      </c>
      <c r="G7" s="3286" t="s">
        <v>3114</v>
      </c>
      <c r="H7" s="3286">
        <v>57056</v>
      </c>
      <c r="I7" s="3286">
        <v>68467.199999999997</v>
      </c>
      <c r="J7" s="3286" t="s">
        <v>3116</v>
      </c>
      <c r="K7" s="3286" t="s">
        <v>3069</v>
      </c>
      <c r="L7" s="3286" t="s">
        <v>3070</v>
      </c>
      <c r="M7" s="3286">
        <v>0</v>
      </c>
      <c r="N7" s="3286" t="s">
        <v>2797</v>
      </c>
      <c r="O7" s="3286" t="s">
        <v>2797</v>
      </c>
      <c r="P7" s="3286" t="s">
        <v>2797</v>
      </c>
      <c r="Q7" s="3286" t="s">
        <v>2797</v>
      </c>
      <c r="R7" s="3286" t="s">
        <v>2797</v>
      </c>
      <c r="S7" s="3286" t="s">
        <v>2797</v>
      </c>
      <c r="T7" s="3286" t="s">
        <v>2797</v>
      </c>
      <c r="U7" s="3286" t="s">
        <v>3103</v>
      </c>
      <c r="V7" s="3286" t="s">
        <v>3104</v>
      </c>
      <c r="W7" s="3286" t="s">
        <v>2797</v>
      </c>
      <c r="X7" s="3286" t="s">
        <v>3072</v>
      </c>
      <c r="Y7" s="3286" t="s">
        <v>3105</v>
      </c>
      <c r="Z7" s="3286" t="s">
        <v>3106</v>
      </c>
      <c r="AA7" s="3286" t="s">
        <v>3106</v>
      </c>
      <c r="AB7" s="3286" t="s">
        <v>3106</v>
      </c>
      <c r="AC7" s="3286" t="s">
        <v>3107</v>
      </c>
      <c r="AD7" s="3286" t="s">
        <v>3076</v>
      </c>
      <c r="AE7" s="3286" t="s">
        <v>3117</v>
      </c>
      <c r="AF7" s="3286" t="s">
        <v>2797</v>
      </c>
      <c r="AG7" s="3286">
        <v>2093</v>
      </c>
      <c r="AH7" s="3286">
        <v>6978</v>
      </c>
      <c r="AI7" s="3286">
        <v>6978</v>
      </c>
      <c r="AJ7" s="3286">
        <v>81.53</v>
      </c>
      <c r="AK7" s="3286">
        <v>81.53</v>
      </c>
      <c r="AL7" s="3286">
        <v>1019.17</v>
      </c>
      <c r="AM7" s="3286">
        <v>1019.16</v>
      </c>
      <c r="AN7" s="3286" t="s">
        <v>2797</v>
      </c>
      <c r="AO7" s="3286" t="s">
        <v>2797</v>
      </c>
      <c r="AP7" s="3286">
        <v>0</v>
      </c>
      <c r="AQ7" s="3286" t="s">
        <v>3109</v>
      </c>
      <c r="AR7" s="3286" t="s">
        <v>2797</v>
      </c>
      <c r="AS7" s="3286" t="s">
        <v>2797</v>
      </c>
      <c r="AT7" s="3286" t="s">
        <v>2797</v>
      </c>
      <c r="AU7" s="3286" t="s">
        <v>3079</v>
      </c>
    </row>
    <row r="8" spans="1:47">
      <c r="A8" s="3286" t="s">
        <v>3118</v>
      </c>
      <c r="B8" s="3286" t="s">
        <v>3063</v>
      </c>
      <c r="C8" s="3286" t="s">
        <v>3064</v>
      </c>
      <c r="D8" s="3286" t="s">
        <v>3065</v>
      </c>
      <c r="E8" s="3286" t="s">
        <v>3066</v>
      </c>
      <c r="F8" s="3286" t="s">
        <v>3115</v>
      </c>
      <c r="G8" s="3286" t="s">
        <v>3118</v>
      </c>
      <c r="H8" s="3286">
        <v>45477</v>
      </c>
      <c r="I8" s="3286">
        <v>45931.77</v>
      </c>
      <c r="J8" s="3286" t="s">
        <v>3102</v>
      </c>
      <c r="K8" s="3286" t="s">
        <v>3069</v>
      </c>
      <c r="L8" s="3286" t="s">
        <v>3070</v>
      </c>
      <c r="M8" s="3286">
        <v>0</v>
      </c>
      <c r="N8" s="3286" t="s">
        <v>2797</v>
      </c>
      <c r="O8" s="3286" t="s">
        <v>2797</v>
      </c>
      <c r="P8" s="3286" t="s">
        <v>2797</v>
      </c>
      <c r="Q8" s="3286" t="s">
        <v>2797</v>
      </c>
      <c r="R8" s="3286" t="s">
        <v>2797</v>
      </c>
      <c r="S8" s="3286" t="s">
        <v>2797</v>
      </c>
      <c r="T8" s="3286" t="s">
        <v>2797</v>
      </c>
      <c r="U8" s="3286" t="s">
        <v>3103</v>
      </c>
      <c r="V8" s="3286" t="s">
        <v>3104</v>
      </c>
      <c r="W8" s="3286" t="s">
        <v>2797</v>
      </c>
      <c r="X8" s="3286" t="s">
        <v>3072</v>
      </c>
      <c r="Y8" s="3286" t="s">
        <v>3105</v>
      </c>
      <c r="Z8" s="3286" t="s">
        <v>3106</v>
      </c>
      <c r="AA8" s="3286" t="s">
        <v>3106</v>
      </c>
      <c r="AB8" s="3286" t="s">
        <v>3106</v>
      </c>
      <c r="AC8" s="3286" t="s">
        <v>3107</v>
      </c>
      <c r="AD8" s="3286" t="s">
        <v>3076</v>
      </c>
      <c r="AE8" s="3286" t="s">
        <v>3117</v>
      </c>
      <c r="AF8" s="3286" t="s">
        <v>2797</v>
      </c>
      <c r="AG8" s="3286">
        <v>1700</v>
      </c>
      <c r="AH8" s="3286">
        <v>5666</v>
      </c>
      <c r="AI8" s="3286">
        <v>5666</v>
      </c>
      <c r="AJ8" s="3286">
        <v>83.06</v>
      </c>
      <c r="AK8" s="3286">
        <v>83.06</v>
      </c>
      <c r="AL8" s="3286">
        <v>1233.56</v>
      </c>
      <c r="AM8" s="3286">
        <v>1233.56</v>
      </c>
      <c r="AN8" s="3286" t="s">
        <v>2797</v>
      </c>
      <c r="AO8" s="3286" t="s">
        <v>2797</v>
      </c>
      <c r="AP8" s="3286">
        <v>0</v>
      </c>
      <c r="AQ8" s="3286" t="s">
        <v>3109</v>
      </c>
      <c r="AR8" s="3286" t="s">
        <v>2797</v>
      </c>
      <c r="AS8" s="3286" t="s">
        <v>2797</v>
      </c>
      <c r="AT8" s="3286" t="s">
        <v>2797</v>
      </c>
      <c r="AU8" s="3286" t="s">
        <v>3079</v>
      </c>
    </row>
    <row r="9" spans="1:47">
      <c r="A9" s="3286" t="s">
        <v>3119</v>
      </c>
      <c r="B9" s="3286" t="s">
        <v>3063</v>
      </c>
      <c r="C9" s="3286" t="s">
        <v>3120</v>
      </c>
      <c r="D9" s="3286" t="s">
        <v>3065</v>
      </c>
      <c r="E9" s="3286" t="s">
        <v>3066</v>
      </c>
      <c r="F9" s="3286" t="s">
        <v>3115</v>
      </c>
      <c r="G9" s="3286" t="s">
        <v>3119</v>
      </c>
      <c r="H9" s="3286">
        <v>67916</v>
      </c>
      <c r="I9" s="3286">
        <v>81499.199999999997</v>
      </c>
      <c r="J9" s="3286" t="s">
        <v>3116</v>
      </c>
      <c r="K9" s="3286" t="s">
        <v>3069</v>
      </c>
      <c r="L9" s="3286" t="s">
        <v>3121</v>
      </c>
      <c r="M9" s="3286">
        <v>0</v>
      </c>
      <c r="N9" s="3286" t="s">
        <v>2797</v>
      </c>
      <c r="O9" s="3286" t="s">
        <v>2797</v>
      </c>
      <c r="P9" s="3286" t="s">
        <v>2797</v>
      </c>
      <c r="Q9" s="3286" t="s">
        <v>2797</v>
      </c>
      <c r="R9" s="3286" t="s">
        <v>2797</v>
      </c>
      <c r="S9" s="3286" t="s">
        <v>2797</v>
      </c>
      <c r="T9" s="3286" t="s">
        <v>2797</v>
      </c>
      <c r="U9" s="3286" t="s">
        <v>3093</v>
      </c>
      <c r="V9" s="3286" t="s">
        <v>3094</v>
      </c>
      <c r="W9" s="3286" t="s">
        <v>2797</v>
      </c>
      <c r="X9" s="3286" t="s">
        <v>3072</v>
      </c>
      <c r="Y9" s="3286" t="s">
        <v>3122</v>
      </c>
      <c r="Z9" s="3286" t="s">
        <v>3123</v>
      </c>
      <c r="AA9" s="3286" t="s">
        <v>3123</v>
      </c>
      <c r="AB9" s="3286" t="s">
        <v>3123</v>
      </c>
      <c r="AC9" s="3286" t="s">
        <v>3124</v>
      </c>
      <c r="AD9" s="3286" t="s">
        <v>3076</v>
      </c>
      <c r="AE9" s="3286" t="s">
        <v>3125</v>
      </c>
      <c r="AF9" s="3286" t="s">
        <v>2797</v>
      </c>
      <c r="AG9" s="3286">
        <v>2249</v>
      </c>
      <c r="AH9" s="3286">
        <v>7498</v>
      </c>
      <c r="AI9" s="3286">
        <v>7498</v>
      </c>
      <c r="AJ9" s="3286">
        <v>73.599999999999994</v>
      </c>
      <c r="AK9" s="3286">
        <v>73.599999999999994</v>
      </c>
      <c r="AL9" s="3286">
        <v>920</v>
      </c>
      <c r="AM9" s="3286">
        <v>920</v>
      </c>
      <c r="AN9" s="3286" t="s">
        <v>2797</v>
      </c>
      <c r="AO9" s="3286" t="s">
        <v>2797</v>
      </c>
      <c r="AP9" s="3286">
        <v>0</v>
      </c>
      <c r="AQ9" s="3286" t="s">
        <v>3109</v>
      </c>
      <c r="AR9" s="3286" t="s">
        <v>2797</v>
      </c>
      <c r="AS9" s="3286" t="s">
        <v>2797</v>
      </c>
      <c r="AT9" s="3286" t="s">
        <v>2797</v>
      </c>
      <c r="AU9" s="3286" t="s">
        <v>3079</v>
      </c>
    </row>
    <row r="10" spans="1:47">
      <c r="A10" s="3286" t="s">
        <v>3126</v>
      </c>
      <c r="B10" s="3286" t="s">
        <v>3063</v>
      </c>
      <c r="C10" s="3286" t="s">
        <v>3120</v>
      </c>
      <c r="D10" s="3286" t="s">
        <v>3065</v>
      </c>
      <c r="E10" s="3286" t="s">
        <v>3066</v>
      </c>
      <c r="F10" s="3286" t="s">
        <v>3115</v>
      </c>
      <c r="G10" s="3286" t="s">
        <v>3126</v>
      </c>
      <c r="H10" s="3286">
        <v>69267</v>
      </c>
      <c r="I10" s="3286">
        <v>103900.5</v>
      </c>
      <c r="J10" s="3286" t="s">
        <v>3083</v>
      </c>
      <c r="K10" s="3286" t="s">
        <v>3069</v>
      </c>
      <c r="L10" s="3286" t="s">
        <v>3121</v>
      </c>
      <c r="M10" s="3286">
        <v>0</v>
      </c>
      <c r="N10" s="3286" t="s">
        <v>2797</v>
      </c>
      <c r="O10" s="3286" t="s">
        <v>2797</v>
      </c>
      <c r="P10" s="3286" t="s">
        <v>2797</v>
      </c>
      <c r="Q10" s="3286" t="s">
        <v>2797</v>
      </c>
      <c r="R10" s="3286" t="s">
        <v>2797</v>
      </c>
      <c r="S10" s="3286" t="s">
        <v>2797</v>
      </c>
      <c r="T10" s="3286" t="s">
        <v>2797</v>
      </c>
      <c r="U10" s="3286" t="s">
        <v>3093</v>
      </c>
      <c r="V10" s="3286" t="s">
        <v>3094</v>
      </c>
      <c r="W10" s="3286" t="s">
        <v>2797</v>
      </c>
      <c r="X10" s="3286" t="s">
        <v>3072</v>
      </c>
      <c r="Y10" s="3286" t="s">
        <v>3122</v>
      </c>
      <c r="Z10" s="3286" t="s">
        <v>3123</v>
      </c>
      <c r="AA10" s="3286" t="s">
        <v>3123</v>
      </c>
      <c r="AB10" s="3286" t="s">
        <v>3123</v>
      </c>
      <c r="AC10" s="3286" t="s">
        <v>3124</v>
      </c>
      <c r="AD10" s="3286" t="s">
        <v>3076</v>
      </c>
      <c r="AE10" s="3286" t="s">
        <v>3127</v>
      </c>
      <c r="AF10" s="3286" t="s">
        <v>2797</v>
      </c>
      <c r="AG10" s="3286">
        <v>2521</v>
      </c>
      <c r="AH10" s="3286">
        <v>8402</v>
      </c>
      <c r="AI10" s="3286">
        <v>8402</v>
      </c>
      <c r="AJ10" s="3286">
        <v>80.87</v>
      </c>
      <c r="AK10" s="3286">
        <v>80.87</v>
      </c>
      <c r="AL10" s="3286">
        <v>808.65</v>
      </c>
      <c r="AM10" s="3286">
        <v>808.65</v>
      </c>
      <c r="AN10" s="3286" t="s">
        <v>2797</v>
      </c>
      <c r="AO10" s="3286" t="s">
        <v>2797</v>
      </c>
      <c r="AP10" s="3286">
        <v>0</v>
      </c>
      <c r="AQ10" s="3286" t="s">
        <v>3109</v>
      </c>
      <c r="AR10" s="3286" t="s">
        <v>2797</v>
      </c>
      <c r="AS10" s="3286" t="s">
        <v>2797</v>
      </c>
      <c r="AT10" s="3286" t="s">
        <v>2797</v>
      </c>
      <c r="AU10" s="3286" t="s">
        <v>3128</v>
      </c>
    </row>
    <row r="11" spans="1:47">
      <c r="A11" s="3286" t="s">
        <v>3129</v>
      </c>
      <c r="B11" s="3286" t="s">
        <v>3063</v>
      </c>
      <c r="C11" s="3286" t="s">
        <v>3064</v>
      </c>
      <c r="D11" s="3286" t="s">
        <v>3065</v>
      </c>
      <c r="E11" s="3286" t="s">
        <v>3066</v>
      </c>
      <c r="F11" s="3286" t="s">
        <v>3130</v>
      </c>
      <c r="G11" s="3286" t="s">
        <v>3129</v>
      </c>
      <c r="H11" s="3286">
        <v>6579</v>
      </c>
      <c r="I11" s="3286">
        <v>6644.79</v>
      </c>
      <c r="J11" s="3286" t="s">
        <v>3102</v>
      </c>
      <c r="K11" s="3286" t="s">
        <v>3069</v>
      </c>
      <c r="L11" s="3286" t="s">
        <v>3070</v>
      </c>
      <c r="M11" s="3286">
        <v>0</v>
      </c>
      <c r="N11" s="3286" t="s">
        <v>2797</v>
      </c>
      <c r="O11" s="3286" t="s">
        <v>2797</v>
      </c>
      <c r="P11" s="3286" t="s">
        <v>2797</v>
      </c>
      <c r="Q11" s="3286" t="s">
        <v>2797</v>
      </c>
      <c r="R11" s="3286" t="s">
        <v>2797</v>
      </c>
      <c r="S11" s="3286" t="s">
        <v>2797</v>
      </c>
      <c r="T11" s="3286" t="s">
        <v>2797</v>
      </c>
      <c r="U11" s="3286" t="s">
        <v>3093</v>
      </c>
      <c r="V11" s="3286" t="s">
        <v>3094</v>
      </c>
      <c r="W11" s="3286" t="s">
        <v>2797</v>
      </c>
      <c r="X11" s="3286" t="s">
        <v>3072</v>
      </c>
      <c r="Y11" s="3286" t="s">
        <v>3122</v>
      </c>
      <c r="Z11" s="3286" t="s">
        <v>3123</v>
      </c>
      <c r="AA11" s="3286" t="s">
        <v>3123</v>
      </c>
      <c r="AB11" s="3286" t="s">
        <v>3123</v>
      </c>
      <c r="AC11" s="3286" t="s">
        <v>3124</v>
      </c>
      <c r="AD11" s="3286" t="s">
        <v>3076</v>
      </c>
      <c r="AE11" s="3286" t="s">
        <v>3125</v>
      </c>
      <c r="AF11" s="3286" t="s">
        <v>2797</v>
      </c>
      <c r="AG11" s="3286">
        <v>253</v>
      </c>
      <c r="AH11" s="3286">
        <v>843</v>
      </c>
      <c r="AI11" s="3286">
        <v>843</v>
      </c>
      <c r="AJ11" s="3286">
        <v>85.42</v>
      </c>
      <c r="AK11" s="3286">
        <v>85.42</v>
      </c>
      <c r="AL11" s="3286">
        <v>1268.6600000000001</v>
      </c>
      <c r="AM11" s="3286">
        <v>1268.6600000000001</v>
      </c>
      <c r="AN11" s="3286" t="s">
        <v>2797</v>
      </c>
      <c r="AO11" s="3286" t="s">
        <v>2797</v>
      </c>
      <c r="AP11" s="3286">
        <v>0</v>
      </c>
      <c r="AQ11" s="3286" t="s">
        <v>3109</v>
      </c>
      <c r="AR11" s="3286" t="s">
        <v>2797</v>
      </c>
      <c r="AS11" s="3286" t="s">
        <v>2797</v>
      </c>
      <c r="AT11" s="3286" t="s">
        <v>2797</v>
      </c>
      <c r="AU11" s="3286" t="s">
        <v>3110</v>
      </c>
    </row>
    <row r="12" spans="1:47">
      <c r="A12" s="3286" t="s">
        <v>3131</v>
      </c>
      <c r="B12" s="3286" t="s">
        <v>3063</v>
      </c>
      <c r="C12" s="3286" t="s">
        <v>3064</v>
      </c>
      <c r="D12" s="3286" t="s">
        <v>3065</v>
      </c>
      <c r="E12" s="3286" t="s">
        <v>3066</v>
      </c>
      <c r="F12" s="3286" t="s">
        <v>3130</v>
      </c>
      <c r="G12" s="3286" t="s">
        <v>3131</v>
      </c>
      <c r="H12" s="3286">
        <v>69026</v>
      </c>
      <c r="I12" s="3286">
        <v>69716.259999999995</v>
      </c>
      <c r="J12" s="3286" t="s">
        <v>3102</v>
      </c>
      <c r="K12" s="3286" t="s">
        <v>3069</v>
      </c>
      <c r="L12" s="3286" t="s">
        <v>3070</v>
      </c>
      <c r="M12" s="3286">
        <v>0</v>
      </c>
      <c r="N12" s="3286" t="s">
        <v>2797</v>
      </c>
      <c r="O12" s="3286" t="s">
        <v>2797</v>
      </c>
      <c r="P12" s="3286" t="s">
        <v>2797</v>
      </c>
      <c r="Q12" s="3286" t="s">
        <v>2797</v>
      </c>
      <c r="R12" s="3286" t="s">
        <v>2797</v>
      </c>
      <c r="S12" s="3286" t="s">
        <v>2797</v>
      </c>
      <c r="T12" s="3286" t="s">
        <v>2797</v>
      </c>
      <c r="U12" s="3286" t="s">
        <v>3093</v>
      </c>
      <c r="V12" s="3286" t="s">
        <v>3094</v>
      </c>
      <c r="W12" s="3286" t="s">
        <v>2797</v>
      </c>
      <c r="X12" s="3286" t="s">
        <v>3072</v>
      </c>
      <c r="Y12" s="3286" t="s">
        <v>3122</v>
      </c>
      <c r="Z12" s="3286" t="s">
        <v>3123</v>
      </c>
      <c r="AA12" s="3286" t="s">
        <v>3123</v>
      </c>
      <c r="AB12" s="3286" t="s">
        <v>3123</v>
      </c>
      <c r="AC12" s="3286" t="s">
        <v>3124</v>
      </c>
      <c r="AD12" s="3286" t="s">
        <v>3076</v>
      </c>
      <c r="AE12" s="3286" t="s">
        <v>3125</v>
      </c>
      <c r="AF12" s="3286" t="s">
        <v>2797</v>
      </c>
      <c r="AG12" s="3286">
        <v>2560</v>
      </c>
      <c r="AH12" s="3286">
        <v>8532</v>
      </c>
      <c r="AI12" s="3286">
        <v>8532</v>
      </c>
      <c r="AJ12" s="3286">
        <v>82.4</v>
      </c>
      <c r="AK12" s="3286">
        <v>82.4</v>
      </c>
      <c r="AL12" s="3286">
        <v>1223.81</v>
      </c>
      <c r="AM12" s="3286">
        <v>1223.81</v>
      </c>
      <c r="AN12" s="3286" t="s">
        <v>2797</v>
      </c>
      <c r="AO12" s="3286" t="s">
        <v>2797</v>
      </c>
      <c r="AP12" s="3286">
        <v>0</v>
      </c>
      <c r="AQ12" s="3286" t="s">
        <v>3109</v>
      </c>
      <c r="AR12" s="3286" t="s">
        <v>2797</v>
      </c>
      <c r="AS12" s="3286" t="s">
        <v>2797</v>
      </c>
      <c r="AT12" s="3286" t="s">
        <v>2797</v>
      </c>
      <c r="AU12" s="3286" t="s">
        <v>3110</v>
      </c>
    </row>
    <row r="13" spans="1:47">
      <c r="A13" s="3286" t="s">
        <v>3132</v>
      </c>
      <c r="B13" s="3286" t="s">
        <v>3063</v>
      </c>
      <c r="C13" s="3286" t="s">
        <v>3064</v>
      </c>
      <c r="D13" s="3286" t="s">
        <v>3065</v>
      </c>
      <c r="E13" s="3286" t="s">
        <v>3066</v>
      </c>
      <c r="F13" s="3286" t="s">
        <v>3133</v>
      </c>
      <c r="G13" s="3286" t="s">
        <v>3132</v>
      </c>
      <c r="H13" s="3286">
        <v>47962</v>
      </c>
      <c r="I13" s="3286">
        <v>48441.62</v>
      </c>
      <c r="J13" s="3286" t="s">
        <v>3102</v>
      </c>
      <c r="K13" s="3286" t="s">
        <v>3069</v>
      </c>
      <c r="L13" s="3286" t="s">
        <v>3070</v>
      </c>
      <c r="M13" s="3286">
        <v>0</v>
      </c>
      <c r="N13" s="3286" t="s">
        <v>2797</v>
      </c>
      <c r="O13" s="3286" t="s">
        <v>2797</v>
      </c>
      <c r="P13" s="3286" t="s">
        <v>2797</v>
      </c>
      <c r="Q13" s="3286" t="s">
        <v>2797</v>
      </c>
      <c r="R13" s="3286" t="s">
        <v>2797</v>
      </c>
      <c r="S13" s="3286" t="s">
        <v>2797</v>
      </c>
      <c r="T13" s="3286" t="s">
        <v>2797</v>
      </c>
      <c r="U13" s="3286" t="s">
        <v>3093</v>
      </c>
      <c r="V13" s="3286" t="s">
        <v>3094</v>
      </c>
      <c r="W13" s="3286" t="s">
        <v>2797</v>
      </c>
      <c r="X13" s="3286" t="s">
        <v>3072</v>
      </c>
      <c r="Y13" s="3286" t="s">
        <v>3122</v>
      </c>
      <c r="Z13" s="3286" t="s">
        <v>3123</v>
      </c>
      <c r="AA13" s="3286" t="s">
        <v>3123</v>
      </c>
      <c r="AB13" s="3286" t="s">
        <v>3123</v>
      </c>
      <c r="AC13" s="3286" t="s">
        <v>3124</v>
      </c>
      <c r="AD13" s="3286" t="s">
        <v>3076</v>
      </c>
      <c r="AE13" s="3286" t="s">
        <v>3113</v>
      </c>
      <c r="AF13" s="3286" t="s">
        <v>2797</v>
      </c>
      <c r="AG13" s="3286">
        <v>1768</v>
      </c>
      <c r="AH13" s="3286">
        <v>5895</v>
      </c>
      <c r="AI13" s="3286">
        <v>5895</v>
      </c>
      <c r="AJ13" s="3286">
        <v>81.94</v>
      </c>
      <c r="AK13" s="3286">
        <v>81.94</v>
      </c>
      <c r="AL13" s="3286">
        <v>1216.92</v>
      </c>
      <c r="AM13" s="3286">
        <v>1216.93</v>
      </c>
      <c r="AN13" s="3286" t="s">
        <v>2797</v>
      </c>
      <c r="AO13" s="3286" t="s">
        <v>2797</v>
      </c>
      <c r="AP13" s="3286">
        <v>0</v>
      </c>
      <c r="AQ13" s="3286" t="s">
        <v>3109</v>
      </c>
      <c r="AR13" s="3286" t="s">
        <v>2797</v>
      </c>
      <c r="AS13" s="3286" t="s">
        <v>2797</v>
      </c>
      <c r="AT13" s="3286" t="s">
        <v>2797</v>
      </c>
      <c r="AU13" s="3286" t="s">
        <v>3110</v>
      </c>
    </row>
    <row r="14" spans="1:47">
      <c r="A14" s="3286" t="s">
        <v>3134</v>
      </c>
      <c r="B14" s="3286" t="s">
        <v>3063</v>
      </c>
      <c r="C14" s="3286" t="s">
        <v>3064</v>
      </c>
      <c r="D14" s="3286" t="s">
        <v>3065</v>
      </c>
      <c r="E14" s="3286" t="s">
        <v>3081</v>
      </c>
      <c r="F14" s="3286" t="s">
        <v>3135</v>
      </c>
      <c r="G14" s="3286" t="s">
        <v>3134</v>
      </c>
      <c r="H14" s="3286">
        <v>1200</v>
      </c>
      <c r="I14" s="3286">
        <v>1800</v>
      </c>
      <c r="J14" s="3286" t="s">
        <v>3083</v>
      </c>
      <c r="K14" s="3286" t="s">
        <v>3069</v>
      </c>
      <c r="L14" s="3286" t="s">
        <v>3070</v>
      </c>
      <c r="M14" s="3286">
        <v>0</v>
      </c>
      <c r="N14" s="3286" t="s">
        <v>2797</v>
      </c>
      <c r="O14" s="3286" t="s">
        <v>2797</v>
      </c>
      <c r="P14" s="3286" t="s">
        <v>2797</v>
      </c>
      <c r="Q14" s="3286" t="s">
        <v>2797</v>
      </c>
      <c r="R14" s="3286" t="s">
        <v>2797</v>
      </c>
      <c r="S14" s="3286" t="s">
        <v>2797</v>
      </c>
      <c r="T14" s="3286" t="s">
        <v>2797</v>
      </c>
      <c r="U14" s="3286" t="s">
        <v>3093</v>
      </c>
      <c r="V14" s="3286" t="s">
        <v>3094</v>
      </c>
      <c r="W14" s="3286" t="s">
        <v>2797</v>
      </c>
      <c r="X14" s="3286" t="s">
        <v>3072</v>
      </c>
      <c r="Y14" s="3286" t="s">
        <v>3136</v>
      </c>
      <c r="Z14" s="3286" t="s">
        <v>3137</v>
      </c>
      <c r="AA14" s="3286" t="s">
        <v>3137</v>
      </c>
      <c r="AB14" s="3286" t="s">
        <v>3137</v>
      </c>
      <c r="AC14" s="3286" t="s">
        <v>3138</v>
      </c>
      <c r="AD14" s="3286" t="s">
        <v>3076</v>
      </c>
      <c r="AE14" s="3286" t="s">
        <v>3139</v>
      </c>
      <c r="AF14" s="3286" t="s">
        <v>2797</v>
      </c>
      <c r="AG14" s="3286">
        <v>686</v>
      </c>
      <c r="AH14" s="3286">
        <v>686</v>
      </c>
      <c r="AI14" s="3286">
        <v>686</v>
      </c>
      <c r="AJ14" s="3286">
        <v>381.11</v>
      </c>
      <c r="AK14" s="3286">
        <v>381.11</v>
      </c>
      <c r="AL14" s="3286">
        <v>3811.11</v>
      </c>
      <c r="AM14" s="3286">
        <v>3811.11</v>
      </c>
      <c r="AN14" s="3286" t="s">
        <v>2797</v>
      </c>
      <c r="AO14" s="3286" t="s">
        <v>2797</v>
      </c>
      <c r="AP14" s="3286">
        <v>0</v>
      </c>
      <c r="AQ14" s="3286" t="s">
        <v>3109</v>
      </c>
      <c r="AR14" s="3286" t="s">
        <v>2797</v>
      </c>
      <c r="AS14" s="3286" t="s">
        <v>2797</v>
      </c>
      <c r="AT14" s="3286" t="s">
        <v>2797</v>
      </c>
      <c r="AU14" s="3286" t="s">
        <v>3088</v>
      </c>
    </row>
    <row r="15" spans="1:47">
      <c r="A15" s="3286" t="s">
        <v>3140</v>
      </c>
      <c r="B15" s="3286" t="s">
        <v>3063</v>
      </c>
      <c r="C15" s="3286" t="s">
        <v>3064</v>
      </c>
      <c r="D15" s="3286" t="s">
        <v>3065</v>
      </c>
      <c r="E15" s="3286" t="s">
        <v>3081</v>
      </c>
      <c r="F15" s="3286" t="s">
        <v>3141</v>
      </c>
      <c r="G15" s="3286" t="s">
        <v>3140</v>
      </c>
      <c r="H15" s="3286">
        <v>4991</v>
      </c>
      <c r="I15" s="3286">
        <v>6987.4</v>
      </c>
      <c r="J15" s="3286" t="s">
        <v>3142</v>
      </c>
      <c r="K15" s="3286" t="s">
        <v>3069</v>
      </c>
      <c r="L15" s="3286" t="s">
        <v>3070</v>
      </c>
      <c r="M15" s="3286">
        <v>0</v>
      </c>
      <c r="N15" s="3286" t="s">
        <v>2797</v>
      </c>
      <c r="O15" s="3286" t="s">
        <v>2797</v>
      </c>
      <c r="P15" s="3286" t="s">
        <v>2797</v>
      </c>
      <c r="Q15" s="3286" t="s">
        <v>2797</v>
      </c>
      <c r="R15" s="3286" t="s">
        <v>2797</v>
      </c>
      <c r="S15" s="3286" t="s">
        <v>2797</v>
      </c>
      <c r="T15" s="3286" t="s">
        <v>2797</v>
      </c>
      <c r="U15" s="3286" t="s">
        <v>3093</v>
      </c>
      <c r="V15" s="3286" t="s">
        <v>3094</v>
      </c>
      <c r="W15" s="3286" t="s">
        <v>2797</v>
      </c>
      <c r="X15" s="3286" t="s">
        <v>3072</v>
      </c>
      <c r="Y15" s="3286" t="s">
        <v>3143</v>
      </c>
      <c r="Z15" s="3286" t="s">
        <v>3144</v>
      </c>
      <c r="AA15" s="3286" t="s">
        <v>3144</v>
      </c>
      <c r="AB15" s="3286" t="s">
        <v>3144</v>
      </c>
      <c r="AC15" s="3286" t="s">
        <v>3145</v>
      </c>
      <c r="AD15" s="3286" t="s">
        <v>3076</v>
      </c>
      <c r="AE15" s="3286" t="s">
        <v>3139</v>
      </c>
      <c r="AF15" s="3286" t="s">
        <v>2797</v>
      </c>
      <c r="AG15" s="3286">
        <v>644</v>
      </c>
      <c r="AH15" s="3286">
        <v>3220</v>
      </c>
      <c r="AI15" s="3286">
        <v>3220</v>
      </c>
      <c r="AJ15" s="3286">
        <v>430.11</v>
      </c>
      <c r="AK15" s="3286">
        <v>430.11</v>
      </c>
      <c r="AL15" s="3286">
        <v>4608.29</v>
      </c>
      <c r="AM15" s="3286">
        <v>4608.28</v>
      </c>
      <c r="AN15" s="3286" t="s">
        <v>2797</v>
      </c>
      <c r="AO15" s="3286" t="s">
        <v>2797</v>
      </c>
      <c r="AP15" s="3286">
        <v>0</v>
      </c>
      <c r="AQ15" s="3286" t="s">
        <v>3109</v>
      </c>
      <c r="AR15" s="3286" t="s">
        <v>2797</v>
      </c>
      <c r="AS15" s="3286" t="s">
        <v>2797</v>
      </c>
      <c r="AT15" s="3286" t="s">
        <v>2797</v>
      </c>
      <c r="AU15" s="3286" t="s">
        <v>3088</v>
      </c>
    </row>
    <row r="16" spans="1:47">
      <c r="A16" s="3286" t="s">
        <v>3146</v>
      </c>
      <c r="B16" s="3286" t="s">
        <v>3063</v>
      </c>
      <c r="C16" s="3286" t="s">
        <v>3120</v>
      </c>
      <c r="D16" s="3286" t="s">
        <v>3065</v>
      </c>
      <c r="E16" s="3286" t="s">
        <v>3081</v>
      </c>
      <c r="F16" s="3286" t="s">
        <v>3147</v>
      </c>
      <c r="G16" s="3286" t="s">
        <v>3146</v>
      </c>
      <c r="H16" s="3286">
        <v>8376</v>
      </c>
      <c r="I16" s="3286">
        <v>9213.6</v>
      </c>
      <c r="J16" s="3286" t="s">
        <v>3068</v>
      </c>
      <c r="K16" s="3286" t="s">
        <v>3069</v>
      </c>
      <c r="L16" s="3286" t="s">
        <v>3148</v>
      </c>
      <c r="M16" s="3286">
        <v>0</v>
      </c>
      <c r="N16" s="3286" t="s">
        <v>2797</v>
      </c>
      <c r="O16" s="3286" t="s">
        <v>2797</v>
      </c>
      <c r="P16" s="3286" t="s">
        <v>2797</v>
      </c>
      <c r="Q16" s="3286" t="s">
        <v>2797</v>
      </c>
      <c r="R16" s="3286" t="s">
        <v>2797</v>
      </c>
      <c r="S16" s="3286" t="s">
        <v>2797</v>
      </c>
      <c r="T16" s="3286" t="s">
        <v>2797</v>
      </c>
      <c r="U16" s="3286" t="s">
        <v>3093</v>
      </c>
      <c r="V16" s="3286" t="s">
        <v>3094</v>
      </c>
      <c r="W16" s="3286" t="s">
        <v>2797</v>
      </c>
      <c r="X16" s="3286" t="s">
        <v>3072</v>
      </c>
      <c r="Y16" s="3286" t="s">
        <v>3143</v>
      </c>
      <c r="Z16" s="3286" t="s">
        <v>3144</v>
      </c>
      <c r="AA16" s="3286" t="s">
        <v>3144</v>
      </c>
      <c r="AB16" s="3286" t="s">
        <v>3144</v>
      </c>
      <c r="AC16" s="3286" t="s">
        <v>3145</v>
      </c>
      <c r="AD16" s="3286" t="s">
        <v>3076</v>
      </c>
      <c r="AE16" s="3286" t="s">
        <v>3139</v>
      </c>
      <c r="AF16" s="3286" t="s">
        <v>2797</v>
      </c>
      <c r="AG16" s="3286">
        <v>867</v>
      </c>
      <c r="AH16" s="3286">
        <v>4337</v>
      </c>
      <c r="AI16" s="3286">
        <v>4437</v>
      </c>
      <c r="AJ16" s="3286">
        <v>345.19</v>
      </c>
      <c r="AK16" s="3286">
        <v>353.15</v>
      </c>
      <c r="AL16" s="3286">
        <v>4707.17</v>
      </c>
      <c r="AM16" s="3286">
        <v>4815.71</v>
      </c>
      <c r="AN16" s="3286" t="s">
        <v>2797</v>
      </c>
      <c r="AO16" s="3286" t="s">
        <v>2797</v>
      </c>
      <c r="AP16" s="3286">
        <v>2.31</v>
      </c>
      <c r="AQ16" s="3286" t="s">
        <v>3109</v>
      </c>
      <c r="AR16" s="3286" t="s">
        <v>2797</v>
      </c>
      <c r="AS16" s="3286" t="s">
        <v>2797</v>
      </c>
      <c r="AT16" s="3286" t="s">
        <v>2797</v>
      </c>
      <c r="AU16" s="3286" t="s">
        <v>3088</v>
      </c>
    </row>
    <row r="17" spans="1:47">
      <c r="A17" s="3286" t="s">
        <v>3149</v>
      </c>
      <c r="B17" s="3286" t="s">
        <v>3063</v>
      </c>
      <c r="C17" s="3286" t="s">
        <v>3064</v>
      </c>
      <c r="D17" s="3286" t="s">
        <v>3065</v>
      </c>
      <c r="E17" s="3286" t="s">
        <v>3150</v>
      </c>
      <c r="F17" s="3286" t="s">
        <v>3151</v>
      </c>
      <c r="G17" s="3286" t="s">
        <v>3149</v>
      </c>
      <c r="H17" s="3286">
        <v>11226</v>
      </c>
      <c r="I17" s="3286">
        <v>22452</v>
      </c>
      <c r="J17" s="3286" t="s">
        <v>3152</v>
      </c>
      <c r="K17" s="3286" t="s">
        <v>3069</v>
      </c>
      <c r="L17" s="3286" t="s">
        <v>3070</v>
      </c>
      <c r="M17" s="3286">
        <v>0</v>
      </c>
      <c r="N17" s="3286" t="s">
        <v>2797</v>
      </c>
      <c r="O17" s="3286" t="s">
        <v>2797</v>
      </c>
      <c r="P17" s="3286" t="s">
        <v>2797</v>
      </c>
      <c r="Q17" s="3286" t="s">
        <v>2797</v>
      </c>
      <c r="R17" s="3286" t="s">
        <v>2797</v>
      </c>
      <c r="S17" s="3286" t="s">
        <v>2797</v>
      </c>
      <c r="T17" s="3286" t="s">
        <v>2797</v>
      </c>
      <c r="U17" s="3286" t="s">
        <v>3093</v>
      </c>
      <c r="V17" s="3286" t="s">
        <v>3094</v>
      </c>
      <c r="W17" s="3286" t="s">
        <v>2797</v>
      </c>
      <c r="X17" s="3286" t="s">
        <v>3072</v>
      </c>
      <c r="Y17" s="3286" t="s">
        <v>3153</v>
      </c>
      <c r="Z17" s="3286" t="s">
        <v>3154</v>
      </c>
      <c r="AA17" s="3286" t="s">
        <v>3154</v>
      </c>
      <c r="AB17" s="3286" t="s">
        <v>3154</v>
      </c>
      <c r="AC17" s="3286" t="s">
        <v>3155</v>
      </c>
      <c r="AD17" s="3286" t="s">
        <v>3076</v>
      </c>
      <c r="AE17" s="3286" t="s">
        <v>3156</v>
      </c>
      <c r="AF17" s="3286" t="s">
        <v>2797</v>
      </c>
      <c r="AG17" s="3286">
        <v>1010</v>
      </c>
      <c r="AH17" s="3286">
        <v>5050</v>
      </c>
      <c r="AI17" s="3286">
        <v>5050</v>
      </c>
      <c r="AJ17" s="3286">
        <v>299.89999999999998</v>
      </c>
      <c r="AK17" s="3286">
        <v>299.89999999999998</v>
      </c>
      <c r="AL17" s="3286">
        <v>2249.2399999999998</v>
      </c>
      <c r="AM17" s="3286">
        <v>2249.23</v>
      </c>
      <c r="AN17" s="3286" t="s">
        <v>2797</v>
      </c>
      <c r="AO17" s="3286" t="s">
        <v>2797</v>
      </c>
      <c r="AP17" s="3286">
        <v>0</v>
      </c>
      <c r="AQ17" s="3286" t="s">
        <v>3109</v>
      </c>
      <c r="AR17" s="3286" t="s">
        <v>2797</v>
      </c>
      <c r="AS17" s="3286" t="s">
        <v>2797</v>
      </c>
      <c r="AT17" s="3286" t="s">
        <v>2797</v>
      </c>
      <c r="AU17" s="3286" t="s">
        <v>3110</v>
      </c>
    </row>
    <row r="18" spans="1:47">
      <c r="A18" s="3286" t="s">
        <v>3157</v>
      </c>
      <c r="B18" s="3286" t="s">
        <v>3063</v>
      </c>
      <c r="C18" s="3286" t="s">
        <v>3064</v>
      </c>
      <c r="D18" s="3286" t="s">
        <v>3065</v>
      </c>
      <c r="E18" s="3286" t="s">
        <v>3150</v>
      </c>
      <c r="F18" s="3286" t="s">
        <v>3158</v>
      </c>
      <c r="G18" s="3286" t="s">
        <v>3157</v>
      </c>
      <c r="H18" s="3286">
        <v>15331</v>
      </c>
      <c r="I18" s="3286">
        <v>30662</v>
      </c>
      <c r="J18" s="3286" t="s">
        <v>3152</v>
      </c>
      <c r="K18" s="3286" t="s">
        <v>3069</v>
      </c>
      <c r="L18" s="3286" t="s">
        <v>3070</v>
      </c>
      <c r="M18" s="3286">
        <v>0</v>
      </c>
      <c r="N18" s="3286" t="s">
        <v>2797</v>
      </c>
      <c r="O18" s="3286" t="s">
        <v>2797</v>
      </c>
      <c r="P18" s="3286" t="s">
        <v>2797</v>
      </c>
      <c r="Q18" s="3286" t="s">
        <v>2797</v>
      </c>
      <c r="R18" s="3286" t="s">
        <v>2797</v>
      </c>
      <c r="S18" s="3286" t="s">
        <v>2797</v>
      </c>
      <c r="T18" s="3286" t="s">
        <v>2797</v>
      </c>
      <c r="U18" s="3286" t="s">
        <v>3093</v>
      </c>
      <c r="V18" s="3286" t="s">
        <v>3094</v>
      </c>
      <c r="W18" s="3286" t="s">
        <v>2797</v>
      </c>
      <c r="X18" s="3286" t="s">
        <v>3072</v>
      </c>
      <c r="Y18" s="3286" t="s">
        <v>3153</v>
      </c>
      <c r="Z18" s="3286" t="s">
        <v>3154</v>
      </c>
      <c r="AA18" s="3286" t="s">
        <v>3154</v>
      </c>
      <c r="AB18" s="3286" t="s">
        <v>3154</v>
      </c>
      <c r="AC18" s="3286" t="s">
        <v>3155</v>
      </c>
      <c r="AD18" s="3286" t="s">
        <v>3076</v>
      </c>
      <c r="AE18" s="3286" t="s">
        <v>3156</v>
      </c>
      <c r="AF18" s="3286" t="s">
        <v>2797</v>
      </c>
      <c r="AG18" s="3286">
        <v>1380</v>
      </c>
      <c r="AH18" s="3286">
        <v>6900</v>
      </c>
      <c r="AI18" s="3286">
        <v>6900</v>
      </c>
      <c r="AJ18" s="3286">
        <v>300.05</v>
      </c>
      <c r="AK18" s="3286">
        <v>300.05</v>
      </c>
      <c r="AL18" s="3286">
        <v>2250.34</v>
      </c>
      <c r="AM18" s="3286">
        <v>2250.34</v>
      </c>
      <c r="AN18" s="3286" t="s">
        <v>2797</v>
      </c>
      <c r="AO18" s="3286" t="s">
        <v>2797</v>
      </c>
      <c r="AP18" s="3286">
        <v>0</v>
      </c>
      <c r="AQ18" s="3286" t="s">
        <v>3109</v>
      </c>
      <c r="AR18" s="3286" t="s">
        <v>2797</v>
      </c>
      <c r="AS18" s="3286" t="s">
        <v>2797</v>
      </c>
      <c r="AT18" s="3286" t="s">
        <v>2797</v>
      </c>
      <c r="AU18" s="3286" t="s">
        <v>3110</v>
      </c>
    </row>
    <row r="19" spans="1:47">
      <c r="A19" s="3286" t="s">
        <v>3159</v>
      </c>
      <c r="B19" s="3286" t="s">
        <v>3063</v>
      </c>
      <c r="C19" s="3286" t="s">
        <v>3064</v>
      </c>
      <c r="D19" s="3286" t="s">
        <v>3065</v>
      </c>
      <c r="E19" s="3286" t="s">
        <v>3150</v>
      </c>
      <c r="F19" s="3286" t="s">
        <v>3160</v>
      </c>
      <c r="G19" s="3286" t="s">
        <v>3159</v>
      </c>
      <c r="H19" s="3286">
        <v>8441</v>
      </c>
      <c r="I19" s="3286">
        <v>16882</v>
      </c>
      <c r="J19" s="3286" t="s">
        <v>3152</v>
      </c>
      <c r="K19" s="3286" t="s">
        <v>3069</v>
      </c>
      <c r="L19" s="3286" t="s">
        <v>3070</v>
      </c>
      <c r="M19" s="3286">
        <v>0</v>
      </c>
      <c r="N19" s="3286" t="s">
        <v>2797</v>
      </c>
      <c r="O19" s="3286" t="s">
        <v>2797</v>
      </c>
      <c r="P19" s="3286" t="s">
        <v>2797</v>
      </c>
      <c r="Q19" s="3286" t="s">
        <v>2797</v>
      </c>
      <c r="R19" s="3286" t="s">
        <v>2797</v>
      </c>
      <c r="S19" s="3286" t="s">
        <v>2797</v>
      </c>
      <c r="T19" s="3286" t="s">
        <v>2797</v>
      </c>
      <c r="U19" s="3286" t="s">
        <v>3093</v>
      </c>
      <c r="V19" s="3286" t="s">
        <v>3094</v>
      </c>
      <c r="W19" s="3286" t="s">
        <v>2797</v>
      </c>
      <c r="X19" s="3286" t="s">
        <v>3072</v>
      </c>
      <c r="Y19" s="3286" t="s">
        <v>3153</v>
      </c>
      <c r="Z19" s="3286" t="s">
        <v>3154</v>
      </c>
      <c r="AA19" s="3286" t="s">
        <v>3154</v>
      </c>
      <c r="AB19" s="3286" t="s">
        <v>3154</v>
      </c>
      <c r="AC19" s="3286" t="s">
        <v>3155</v>
      </c>
      <c r="AD19" s="3286" t="s">
        <v>3076</v>
      </c>
      <c r="AE19" s="3286" t="s">
        <v>3156</v>
      </c>
      <c r="AF19" s="3286" t="s">
        <v>2797</v>
      </c>
      <c r="AG19" s="3286">
        <v>760</v>
      </c>
      <c r="AH19" s="3286">
        <v>3800</v>
      </c>
      <c r="AI19" s="3286">
        <v>3800</v>
      </c>
      <c r="AJ19" s="3286">
        <v>300.12</v>
      </c>
      <c r="AK19" s="3286">
        <v>300.12</v>
      </c>
      <c r="AL19" s="3286">
        <v>2250.91</v>
      </c>
      <c r="AM19" s="3286">
        <v>2250.92</v>
      </c>
      <c r="AN19" s="3286" t="s">
        <v>2797</v>
      </c>
      <c r="AO19" s="3286" t="s">
        <v>2797</v>
      </c>
      <c r="AP19" s="3286">
        <v>0</v>
      </c>
      <c r="AQ19" s="3286" t="s">
        <v>3109</v>
      </c>
      <c r="AR19" s="3286" t="s">
        <v>2797</v>
      </c>
      <c r="AS19" s="3286" t="s">
        <v>2797</v>
      </c>
      <c r="AT19" s="3286" t="s">
        <v>2797</v>
      </c>
      <c r="AU19" s="3286" t="s">
        <v>3110</v>
      </c>
    </row>
    <row r="20" spans="1:47">
      <c r="A20" s="3286" t="s">
        <v>3161</v>
      </c>
      <c r="B20" s="3286" t="s">
        <v>3063</v>
      </c>
      <c r="C20" s="3286" t="s">
        <v>3064</v>
      </c>
      <c r="D20" s="3286" t="s">
        <v>3065</v>
      </c>
      <c r="E20" s="3286" t="s">
        <v>3081</v>
      </c>
      <c r="F20" s="3286" t="s">
        <v>3162</v>
      </c>
      <c r="G20" s="3286" t="s">
        <v>3161</v>
      </c>
      <c r="H20" s="3286">
        <v>26940</v>
      </c>
      <c r="I20" s="3286">
        <v>40410</v>
      </c>
      <c r="J20" s="3286" t="s">
        <v>3083</v>
      </c>
      <c r="K20" s="3286" t="s">
        <v>3069</v>
      </c>
      <c r="L20" s="3286" t="s">
        <v>3070</v>
      </c>
      <c r="M20" s="3286">
        <v>0</v>
      </c>
      <c r="N20" s="3286" t="s">
        <v>2797</v>
      </c>
      <c r="O20" s="3286" t="s">
        <v>2797</v>
      </c>
      <c r="P20" s="3286" t="s">
        <v>2797</v>
      </c>
      <c r="Q20" s="3286" t="s">
        <v>2797</v>
      </c>
      <c r="R20" s="3286" t="s">
        <v>2797</v>
      </c>
      <c r="S20" s="3286" t="s">
        <v>2797</v>
      </c>
      <c r="T20" s="3286" t="s">
        <v>2797</v>
      </c>
      <c r="U20" s="3286" t="s">
        <v>3093</v>
      </c>
      <c r="V20" s="3286" t="s">
        <v>3094</v>
      </c>
      <c r="W20" s="3286" t="s">
        <v>2797</v>
      </c>
      <c r="X20" s="3286" t="s">
        <v>3072</v>
      </c>
      <c r="Y20" s="3286" t="s">
        <v>3163</v>
      </c>
      <c r="Z20" s="3286" t="s">
        <v>3164</v>
      </c>
      <c r="AA20" s="3286" t="s">
        <v>3164</v>
      </c>
      <c r="AB20" s="3286" t="s">
        <v>3164</v>
      </c>
      <c r="AC20" s="3286" t="s">
        <v>3165</v>
      </c>
      <c r="AD20" s="3286" t="s">
        <v>3076</v>
      </c>
      <c r="AE20" s="3286" t="s">
        <v>3166</v>
      </c>
      <c r="AF20" s="3286" t="s">
        <v>3167</v>
      </c>
      <c r="AG20" s="3286">
        <v>3435</v>
      </c>
      <c r="AH20" s="3286">
        <v>17175</v>
      </c>
      <c r="AI20" s="3286">
        <v>20175</v>
      </c>
      <c r="AJ20" s="3286">
        <v>425.02</v>
      </c>
      <c r="AK20" s="3286">
        <v>499.26</v>
      </c>
      <c r="AL20" s="3286">
        <v>4250.18</v>
      </c>
      <c r="AM20" s="3286">
        <v>4992.57</v>
      </c>
      <c r="AN20" s="3286" t="s">
        <v>2797</v>
      </c>
      <c r="AO20" s="3286" t="s">
        <v>2797</v>
      </c>
      <c r="AP20" s="3286">
        <v>17.47</v>
      </c>
      <c r="AQ20" s="3286" t="s">
        <v>3109</v>
      </c>
      <c r="AR20" s="3286" t="s">
        <v>2797</v>
      </c>
      <c r="AS20" s="3286" t="s">
        <v>2797</v>
      </c>
      <c r="AT20" s="3286" t="s">
        <v>2797</v>
      </c>
      <c r="AU20" s="3286" t="s">
        <v>3088</v>
      </c>
    </row>
    <row r="21" spans="1:47" s="3288" customFormat="1">
      <c r="A21" s="3288" t="s">
        <v>3168</v>
      </c>
      <c r="B21" s="3288" t="s">
        <v>3063</v>
      </c>
      <c r="C21" s="3288" t="s">
        <v>3064</v>
      </c>
      <c r="D21" s="3288" t="s">
        <v>3065</v>
      </c>
      <c r="E21" s="3288" t="s">
        <v>3081</v>
      </c>
      <c r="F21" s="3288" t="s">
        <v>3168</v>
      </c>
      <c r="G21" s="3288" t="s">
        <v>3169</v>
      </c>
      <c r="H21" s="3288">
        <v>63021</v>
      </c>
      <c r="I21" s="3288">
        <v>88229.4</v>
      </c>
      <c r="J21" s="3288" t="s">
        <v>3170</v>
      </c>
      <c r="K21" s="3288" t="s">
        <v>3069</v>
      </c>
      <c r="L21" s="3288" t="s">
        <v>3171</v>
      </c>
      <c r="M21" s="3288">
        <v>0</v>
      </c>
      <c r="N21" s="3288" t="s">
        <v>2797</v>
      </c>
      <c r="O21" s="3288" t="s">
        <v>3172</v>
      </c>
      <c r="P21" s="3288" t="s">
        <v>2797</v>
      </c>
      <c r="Q21" s="3288" t="s">
        <v>2797</v>
      </c>
      <c r="R21" s="3288" t="s">
        <v>2797</v>
      </c>
      <c r="S21" s="3288" t="s">
        <v>2797</v>
      </c>
      <c r="T21" s="3288" t="s">
        <v>2797</v>
      </c>
      <c r="U21" s="3288" t="s">
        <v>2797</v>
      </c>
      <c r="V21" s="3288" t="s">
        <v>2797</v>
      </c>
      <c r="W21" s="3288" t="s">
        <v>2797</v>
      </c>
      <c r="X21" s="3288" t="s">
        <v>3072</v>
      </c>
      <c r="Y21" s="3288" t="s">
        <v>3173</v>
      </c>
      <c r="Z21" s="3288" t="s">
        <v>3174</v>
      </c>
      <c r="AA21" s="3288" t="s">
        <v>3174</v>
      </c>
      <c r="AB21" s="3288" t="s">
        <v>3174</v>
      </c>
      <c r="AC21" s="3288" t="s">
        <v>3175</v>
      </c>
      <c r="AD21" s="3288" t="s">
        <v>3076</v>
      </c>
      <c r="AE21" s="3288" t="s">
        <v>3176</v>
      </c>
      <c r="AF21" s="3288" t="s">
        <v>3177</v>
      </c>
      <c r="AG21" s="3288">
        <v>8225</v>
      </c>
      <c r="AH21" s="3288">
        <v>41122</v>
      </c>
      <c r="AI21" s="3288">
        <v>46822</v>
      </c>
      <c r="AJ21" s="3288">
        <v>435.01</v>
      </c>
      <c r="AK21" s="3288">
        <v>495.31</v>
      </c>
      <c r="AL21" s="3288">
        <v>4660.8</v>
      </c>
      <c r="AM21" s="3288">
        <v>5306.85</v>
      </c>
      <c r="AN21" s="3288" t="s">
        <v>2797</v>
      </c>
      <c r="AO21" s="3288" t="s">
        <v>2797</v>
      </c>
      <c r="AP21" s="3288">
        <v>13.86</v>
      </c>
      <c r="AQ21" s="3288" t="s">
        <v>3178</v>
      </c>
      <c r="AR21" s="3288" t="s">
        <v>2797</v>
      </c>
      <c r="AS21" s="3288" t="s">
        <v>2797</v>
      </c>
      <c r="AT21" s="3288" t="s">
        <v>2797</v>
      </c>
      <c r="AU21" s="3288" t="s">
        <v>3088</v>
      </c>
    </row>
    <row r="22" spans="1:47" s="3288" customFormat="1">
      <c r="A22" s="3288" t="s">
        <v>3179</v>
      </c>
      <c r="B22" s="3288" t="s">
        <v>3063</v>
      </c>
      <c r="C22" s="3288" t="s">
        <v>3064</v>
      </c>
      <c r="D22" s="3288" t="s">
        <v>3065</v>
      </c>
      <c r="E22" s="3288" t="s">
        <v>3081</v>
      </c>
      <c r="F22" s="3288" t="s">
        <v>3179</v>
      </c>
      <c r="G22" s="3288" t="s">
        <v>3180</v>
      </c>
      <c r="H22" s="3288">
        <v>40304</v>
      </c>
      <c r="I22" s="3288">
        <v>60456</v>
      </c>
      <c r="J22" s="3288" t="s">
        <v>3181</v>
      </c>
      <c r="K22" s="3288" t="s">
        <v>3069</v>
      </c>
      <c r="L22" s="3288" t="s">
        <v>3171</v>
      </c>
      <c r="M22" s="3288">
        <v>0</v>
      </c>
      <c r="N22" s="3288" t="s">
        <v>2797</v>
      </c>
      <c r="O22" s="3288" t="s">
        <v>3172</v>
      </c>
      <c r="P22" s="3288" t="s">
        <v>2797</v>
      </c>
      <c r="Q22" s="3288" t="s">
        <v>2797</v>
      </c>
      <c r="R22" s="3288" t="s">
        <v>2797</v>
      </c>
      <c r="S22" s="3288" t="s">
        <v>2797</v>
      </c>
      <c r="T22" s="3288" t="s">
        <v>2797</v>
      </c>
      <c r="U22" s="3288" t="s">
        <v>2797</v>
      </c>
      <c r="V22" s="3288" t="s">
        <v>2797</v>
      </c>
      <c r="W22" s="3288" t="s">
        <v>2797</v>
      </c>
      <c r="X22" s="3288" t="s">
        <v>3072</v>
      </c>
      <c r="Y22" s="3288" t="s">
        <v>3173</v>
      </c>
      <c r="Z22" s="3288" t="s">
        <v>3174</v>
      </c>
      <c r="AA22" s="3288" t="s">
        <v>3174</v>
      </c>
      <c r="AB22" s="3288" t="s">
        <v>3174</v>
      </c>
      <c r="AC22" s="3288" t="s">
        <v>3175</v>
      </c>
      <c r="AD22" s="3288" t="s">
        <v>3076</v>
      </c>
      <c r="AE22" s="3288" t="s">
        <v>3182</v>
      </c>
      <c r="AF22" s="3288" t="s">
        <v>3183</v>
      </c>
      <c r="AG22" s="3288">
        <v>5260</v>
      </c>
      <c r="AH22" s="3288">
        <v>26300</v>
      </c>
      <c r="AI22" s="3288">
        <v>38200</v>
      </c>
      <c r="AJ22" s="3288">
        <v>435.03</v>
      </c>
      <c r="AK22" s="3288">
        <v>631.86</v>
      </c>
      <c r="AL22" s="3288">
        <v>4350.2700000000004</v>
      </c>
      <c r="AM22" s="3288">
        <v>6318.64</v>
      </c>
      <c r="AN22" s="3288" t="s">
        <v>2797</v>
      </c>
      <c r="AO22" s="3288" t="s">
        <v>2797</v>
      </c>
      <c r="AP22" s="3288">
        <v>45.25</v>
      </c>
      <c r="AQ22" s="3288" t="s">
        <v>3178</v>
      </c>
      <c r="AR22" s="3288" t="s">
        <v>2797</v>
      </c>
      <c r="AS22" s="3288" t="s">
        <v>2797</v>
      </c>
      <c r="AT22" s="3288" t="s">
        <v>2797</v>
      </c>
      <c r="AU22" s="3288" t="s">
        <v>3088</v>
      </c>
    </row>
    <row r="23" spans="1:47">
      <c r="A23" s="3286" t="s">
        <v>3091</v>
      </c>
      <c r="B23" s="3286" t="s">
        <v>3063</v>
      </c>
      <c r="C23" s="3286" t="s">
        <v>3064</v>
      </c>
      <c r="D23" s="3286" t="s">
        <v>3065</v>
      </c>
      <c r="E23" s="3286" t="s">
        <v>3090</v>
      </c>
      <c r="F23" s="3286" t="s">
        <v>3091</v>
      </c>
      <c r="G23" s="3286" t="s">
        <v>3184</v>
      </c>
      <c r="H23" s="3286">
        <v>9061</v>
      </c>
      <c r="I23" s="3286">
        <v>16309.8</v>
      </c>
      <c r="J23" s="3286" t="s">
        <v>3185</v>
      </c>
      <c r="K23" s="3286" t="s">
        <v>3069</v>
      </c>
      <c r="L23" s="3286" t="s">
        <v>3186</v>
      </c>
      <c r="M23" s="3286">
        <v>0</v>
      </c>
      <c r="N23" s="3286" t="s">
        <v>2797</v>
      </c>
      <c r="O23" s="3286" t="s">
        <v>3187</v>
      </c>
      <c r="P23" s="3286" t="s">
        <v>2797</v>
      </c>
      <c r="Q23" s="3286" t="s">
        <v>2797</v>
      </c>
      <c r="R23" s="3286" t="s">
        <v>2797</v>
      </c>
      <c r="S23" s="3286" t="s">
        <v>2797</v>
      </c>
      <c r="T23" s="3286" t="s">
        <v>2797</v>
      </c>
      <c r="U23" s="3286" t="s">
        <v>2797</v>
      </c>
      <c r="V23" s="3286" t="s">
        <v>2797</v>
      </c>
      <c r="W23" s="3286" t="s">
        <v>2797</v>
      </c>
      <c r="X23" s="3286" t="s">
        <v>3188</v>
      </c>
      <c r="Y23" s="3286" t="s">
        <v>3189</v>
      </c>
      <c r="Z23" s="3286" t="s">
        <v>3190</v>
      </c>
      <c r="AA23" s="3286" t="s">
        <v>3190</v>
      </c>
      <c r="AB23" s="3286" t="s">
        <v>3190</v>
      </c>
      <c r="AC23" s="3286" t="s">
        <v>3191</v>
      </c>
      <c r="AD23" s="3286" t="s">
        <v>3076</v>
      </c>
      <c r="AE23" s="3286" t="s">
        <v>3098</v>
      </c>
      <c r="AF23" s="3286" t="s">
        <v>2797</v>
      </c>
      <c r="AG23" s="3286">
        <v>390</v>
      </c>
      <c r="AH23" s="3286">
        <v>1950</v>
      </c>
      <c r="AI23" s="3286">
        <v>1950</v>
      </c>
      <c r="AJ23" s="3286">
        <v>143.47</v>
      </c>
      <c r="AK23" s="3286">
        <v>143.47</v>
      </c>
      <c r="AL23" s="3286">
        <v>1195.5999999999999</v>
      </c>
      <c r="AM23" s="3286">
        <v>1195.5899999999999</v>
      </c>
      <c r="AN23" s="3286" t="s">
        <v>2797</v>
      </c>
      <c r="AO23" s="3286" t="s">
        <v>2797</v>
      </c>
      <c r="AP23" s="3286">
        <v>0</v>
      </c>
      <c r="AQ23" s="3286" t="s">
        <v>3178</v>
      </c>
      <c r="AR23" s="3286" t="s">
        <v>2797</v>
      </c>
      <c r="AS23" s="3286" t="s">
        <v>2797</v>
      </c>
      <c r="AT23" s="3286" t="s">
        <v>2797</v>
      </c>
      <c r="AU23" s="3286" t="s">
        <v>3079</v>
      </c>
    </row>
    <row r="24" spans="1:47">
      <c r="A24" s="3286" t="s">
        <v>3192</v>
      </c>
      <c r="B24" s="3286" t="s">
        <v>3063</v>
      </c>
      <c r="C24" s="3286" t="s">
        <v>3064</v>
      </c>
      <c r="D24" s="3286" t="s">
        <v>3065</v>
      </c>
      <c r="E24" s="3286" t="s">
        <v>3081</v>
      </c>
      <c r="F24" s="3286" t="s">
        <v>3192</v>
      </c>
      <c r="G24" s="3286" t="s">
        <v>3193</v>
      </c>
      <c r="H24" s="3286">
        <v>57181</v>
      </c>
      <c r="I24" s="3286">
        <v>102925.8</v>
      </c>
      <c r="J24" s="3286" t="s">
        <v>3185</v>
      </c>
      <c r="K24" s="3286" t="s">
        <v>3069</v>
      </c>
      <c r="L24" s="3286" t="s">
        <v>3186</v>
      </c>
      <c r="M24" s="3286">
        <v>0</v>
      </c>
      <c r="N24" s="3286" t="s">
        <v>2797</v>
      </c>
      <c r="O24" s="3286" t="s">
        <v>3187</v>
      </c>
      <c r="P24" s="3286" t="s">
        <v>2797</v>
      </c>
      <c r="Q24" s="3286" t="s">
        <v>2797</v>
      </c>
      <c r="R24" s="3286" t="s">
        <v>2797</v>
      </c>
      <c r="S24" s="3286" t="s">
        <v>2797</v>
      </c>
      <c r="T24" s="3286" t="s">
        <v>2797</v>
      </c>
      <c r="U24" s="3286" t="s">
        <v>3093</v>
      </c>
      <c r="V24" s="3286" t="s">
        <v>3094</v>
      </c>
      <c r="W24" s="3286" t="s">
        <v>2797</v>
      </c>
      <c r="X24" s="3286" t="s">
        <v>3188</v>
      </c>
      <c r="Y24" s="3286" t="s">
        <v>3194</v>
      </c>
      <c r="Z24" s="3286" t="s">
        <v>3195</v>
      </c>
      <c r="AA24" s="3286" t="s">
        <v>3195</v>
      </c>
      <c r="AB24" s="3286" t="s">
        <v>3195</v>
      </c>
      <c r="AC24" s="3286" t="s">
        <v>3196</v>
      </c>
      <c r="AD24" s="3286" t="s">
        <v>3076</v>
      </c>
      <c r="AE24" s="3286" t="s">
        <v>3197</v>
      </c>
      <c r="AF24" s="3286" t="s">
        <v>3198</v>
      </c>
      <c r="AG24" s="3286">
        <v>5700</v>
      </c>
      <c r="AH24" s="3286">
        <v>28500</v>
      </c>
      <c r="AI24" s="3286">
        <v>30000</v>
      </c>
      <c r="AJ24" s="3286">
        <v>332.28</v>
      </c>
      <c r="AK24" s="3286">
        <v>349.77</v>
      </c>
      <c r="AL24" s="3286">
        <v>2768.98</v>
      </c>
      <c r="AM24" s="3286">
        <v>2914.71</v>
      </c>
      <c r="AN24" s="3286" t="s">
        <v>2797</v>
      </c>
      <c r="AO24" s="3286" t="s">
        <v>2797</v>
      </c>
      <c r="AP24" s="3286">
        <v>5.26</v>
      </c>
      <c r="AQ24" s="3286" t="s">
        <v>3178</v>
      </c>
      <c r="AR24" s="3286" t="s">
        <v>2797</v>
      </c>
      <c r="AS24" s="3286" t="s">
        <v>2797</v>
      </c>
      <c r="AT24" s="3286" t="s">
        <v>2797</v>
      </c>
      <c r="AU24" s="3286" t="s">
        <v>3110</v>
      </c>
    </row>
    <row r="25" spans="1:47">
      <c r="A25" s="3286" t="s">
        <v>3199</v>
      </c>
      <c r="B25" s="3286" t="s">
        <v>3063</v>
      </c>
      <c r="C25" s="3286" t="s">
        <v>3064</v>
      </c>
      <c r="D25" s="3286" t="s">
        <v>3065</v>
      </c>
      <c r="E25" s="3286" t="s">
        <v>3081</v>
      </c>
      <c r="F25" s="3286" t="s">
        <v>3199</v>
      </c>
      <c r="G25" s="3286" t="s">
        <v>3200</v>
      </c>
      <c r="H25" s="3286">
        <v>64801</v>
      </c>
      <c r="I25" s="3286">
        <v>97202</v>
      </c>
      <c r="J25" s="3286" t="s">
        <v>3181</v>
      </c>
      <c r="K25" s="3286" t="s">
        <v>3069</v>
      </c>
      <c r="L25" s="3286" t="s">
        <v>3186</v>
      </c>
      <c r="M25" s="3286">
        <v>0</v>
      </c>
      <c r="N25" s="3286" t="s">
        <v>2797</v>
      </c>
      <c r="O25" s="3286" t="s">
        <v>3201</v>
      </c>
      <c r="P25" s="3286" t="s">
        <v>2797</v>
      </c>
      <c r="Q25" s="3286" t="s">
        <v>2797</v>
      </c>
      <c r="R25" s="3286" t="s">
        <v>2797</v>
      </c>
      <c r="S25" s="3286" t="s">
        <v>2797</v>
      </c>
      <c r="T25" s="3286" t="s">
        <v>2797</v>
      </c>
      <c r="U25" s="3286" t="s">
        <v>3093</v>
      </c>
      <c r="V25" s="3286" t="s">
        <v>3094</v>
      </c>
      <c r="W25" s="3286" t="s">
        <v>2797</v>
      </c>
      <c r="X25" s="3286" t="s">
        <v>3188</v>
      </c>
      <c r="Y25" s="3286" t="s">
        <v>3202</v>
      </c>
      <c r="Z25" s="3286" t="s">
        <v>3203</v>
      </c>
      <c r="AA25" s="3286" t="s">
        <v>3203</v>
      </c>
      <c r="AB25" s="3286" t="s">
        <v>3203</v>
      </c>
      <c r="AC25" s="3286" t="s">
        <v>3204</v>
      </c>
      <c r="AD25" s="3286" t="s">
        <v>3076</v>
      </c>
      <c r="AE25" s="3286" t="s">
        <v>3205</v>
      </c>
      <c r="AF25" s="3286" t="s">
        <v>3206</v>
      </c>
      <c r="AG25" s="3286">
        <v>8165</v>
      </c>
      <c r="AH25" s="3286">
        <v>40825</v>
      </c>
      <c r="AI25" s="3286">
        <v>43925</v>
      </c>
      <c r="AJ25" s="3286">
        <v>420</v>
      </c>
      <c r="AK25" s="3286">
        <v>451.9</v>
      </c>
      <c r="AL25" s="3286">
        <v>4200.01</v>
      </c>
      <c r="AM25" s="3286">
        <v>4518.93</v>
      </c>
      <c r="AN25" s="3286" t="s">
        <v>2797</v>
      </c>
      <c r="AO25" s="3286" t="s">
        <v>2797</v>
      </c>
      <c r="AP25" s="3286">
        <v>7.59</v>
      </c>
      <c r="AQ25" s="3286" t="s">
        <v>3178</v>
      </c>
      <c r="AR25" s="3286" t="s">
        <v>2797</v>
      </c>
      <c r="AS25" s="3286" t="s">
        <v>2797</v>
      </c>
      <c r="AT25" s="3286" t="s">
        <v>2797</v>
      </c>
      <c r="AU25" s="3286" t="s">
        <v>3088</v>
      </c>
    </row>
    <row r="26" spans="1:47">
      <c r="A26" s="3286" t="s">
        <v>3207</v>
      </c>
      <c r="B26" s="3286" t="s">
        <v>3063</v>
      </c>
      <c r="C26" s="3286" t="s">
        <v>3064</v>
      </c>
      <c r="D26" s="3286" t="s">
        <v>3065</v>
      </c>
      <c r="E26" s="3286" t="s">
        <v>3081</v>
      </c>
      <c r="F26" s="3286" t="s">
        <v>3207</v>
      </c>
      <c r="G26" s="3286" t="s">
        <v>3208</v>
      </c>
      <c r="H26" s="3286">
        <v>47190</v>
      </c>
      <c r="I26" s="3286">
        <v>85885.8</v>
      </c>
      <c r="J26" s="3286" t="s">
        <v>3209</v>
      </c>
      <c r="K26" s="3286" t="s">
        <v>3069</v>
      </c>
      <c r="L26" s="3286" t="s">
        <v>3186</v>
      </c>
      <c r="M26" s="3286">
        <v>0</v>
      </c>
      <c r="N26" s="3286" t="s">
        <v>2797</v>
      </c>
      <c r="O26" s="3286" t="s">
        <v>3187</v>
      </c>
      <c r="P26" s="3286" t="s">
        <v>2797</v>
      </c>
      <c r="Q26" s="3286" t="s">
        <v>2797</v>
      </c>
      <c r="R26" s="3286" t="s">
        <v>2797</v>
      </c>
      <c r="S26" s="3286" t="s">
        <v>2797</v>
      </c>
      <c r="T26" s="3286" t="s">
        <v>2797</v>
      </c>
      <c r="U26" s="3286" t="s">
        <v>2797</v>
      </c>
      <c r="V26" s="3286" t="s">
        <v>2797</v>
      </c>
      <c r="W26" s="3286" t="s">
        <v>2797</v>
      </c>
      <c r="X26" s="3286" t="s">
        <v>3188</v>
      </c>
      <c r="Y26" s="3286" t="s">
        <v>3210</v>
      </c>
      <c r="Z26" s="3286" t="s">
        <v>3211</v>
      </c>
      <c r="AA26" s="3286" t="s">
        <v>3211</v>
      </c>
      <c r="AB26" s="3286" t="s">
        <v>3211</v>
      </c>
      <c r="AC26" s="3286" t="s">
        <v>3212</v>
      </c>
      <c r="AD26" s="3286" t="s">
        <v>3076</v>
      </c>
      <c r="AE26" s="3286" t="s">
        <v>3197</v>
      </c>
      <c r="AF26" s="3286" t="s">
        <v>3198</v>
      </c>
      <c r="AG26" s="3286">
        <v>5620</v>
      </c>
      <c r="AH26" s="3286">
        <v>28100</v>
      </c>
      <c r="AI26" s="3286">
        <v>28100</v>
      </c>
      <c r="AJ26" s="3286">
        <v>396.98</v>
      </c>
      <c r="AK26" s="3286">
        <v>396.98</v>
      </c>
      <c r="AL26" s="3286">
        <v>3271.78</v>
      </c>
      <c r="AM26" s="3286">
        <v>3271.78</v>
      </c>
      <c r="AN26" s="3286" t="s">
        <v>2797</v>
      </c>
      <c r="AO26" s="3286" t="s">
        <v>2797</v>
      </c>
      <c r="AP26" s="3286">
        <v>0</v>
      </c>
      <c r="AQ26" s="3286" t="s">
        <v>3178</v>
      </c>
      <c r="AR26" s="3286" t="s">
        <v>2797</v>
      </c>
      <c r="AS26" s="3286" t="s">
        <v>2797</v>
      </c>
      <c r="AT26" s="3286" t="s">
        <v>2797</v>
      </c>
      <c r="AU26" s="3286" t="s">
        <v>3088</v>
      </c>
    </row>
    <row r="27" spans="1:47" s="3288" customFormat="1">
      <c r="A27" s="3288" t="s">
        <v>3213</v>
      </c>
      <c r="B27" s="3288" t="s">
        <v>3063</v>
      </c>
      <c r="C27" s="3288" t="s">
        <v>3064</v>
      </c>
      <c r="D27" s="3288" t="s">
        <v>3065</v>
      </c>
      <c r="E27" s="3288" t="s">
        <v>3081</v>
      </c>
      <c r="F27" s="3288" t="s">
        <v>3213</v>
      </c>
      <c r="G27" s="3288" t="s">
        <v>3214</v>
      </c>
      <c r="H27" s="3288">
        <v>40252</v>
      </c>
      <c r="I27" s="3288">
        <v>60378</v>
      </c>
      <c r="J27" s="3288" t="s">
        <v>3181</v>
      </c>
      <c r="K27" s="3288" t="s">
        <v>3069</v>
      </c>
      <c r="L27" s="3288" t="s">
        <v>3186</v>
      </c>
      <c r="M27" s="3288">
        <v>0</v>
      </c>
      <c r="N27" s="3288" t="s">
        <v>2797</v>
      </c>
      <c r="O27" s="3288" t="s">
        <v>3187</v>
      </c>
      <c r="P27" s="3288" t="s">
        <v>2797</v>
      </c>
      <c r="Q27" s="3288" t="s">
        <v>2797</v>
      </c>
      <c r="R27" s="3288" t="s">
        <v>2797</v>
      </c>
      <c r="S27" s="3288" t="s">
        <v>2797</v>
      </c>
      <c r="T27" s="3288" t="s">
        <v>2797</v>
      </c>
      <c r="U27" s="3288" t="s">
        <v>2797</v>
      </c>
      <c r="V27" s="3288" t="s">
        <v>2797</v>
      </c>
      <c r="W27" s="3288" t="s">
        <v>2797</v>
      </c>
      <c r="X27" s="3288" t="s">
        <v>3188</v>
      </c>
      <c r="Y27" s="3288" t="s">
        <v>3210</v>
      </c>
      <c r="Z27" s="3288" t="s">
        <v>3211</v>
      </c>
      <c r="AA27" s="3288" t="s">
        <v>3211</v>
      </c>
      <c r="AB27" s="3288" t="s">
        <v>3211</v>
      </c>
      <c r="AC27" s="3288" t="s">
        <v>3212</v>
      </c>
      <c r="AD27" s="3288" t="s">
        <v>3076</v>
      </c>
      <c r="AE27" s="3288" t="s">
        <v>3215</v>
      </c>
      <c r="AF27" s="3288" t="s">
        <v>3216</v>
      </c>
      <c r="AG27" s="3288">
        <v>4710</v>
      </c>
      <c r="AH27" s="3288">
        <v>23547</v>
      </c>
      <c r="AI27" s="3288">
        <v>32947</v>
      </c>
      <c r="AJ27" s="3288">
        <v>389.99</v>
      </c>
      <c r="AK27" s="3288">
        <v>545.67999999999995</v>
      </c>
      <c r="AL27" s="3288">
        <v>3899.93</v>
      </c>
      <c r="AM27" s="3288">
        <v>5456.78</v>
      </c>
      <c r="AN27" s="3288" t="s">
        <v>2797</v>
      </c>
      <c r="AO27" s="3288" t="s">
        <v>2797</v>
      </c>
      <c r="AP27" s="3288">
        <v>39.92</v>
      </c>
      <c r="AQ27" s="3288" t="s">
        <v>3178</v>
      </c>
      <c r="AR27" s="3288" t="s">
        <v>2797</v>
      </c>
      <c r="AS27" s="3288" t="s">
        <v>2797</v>
      </c>
      <c r="AT27" s="3288" t="s">
        <v>2797</v>
      </c>
      <c r="AU27" s="3288" t="s">
        <v>3217</v>
      </c>
    </row>
    <row r="28" spans="1:47">
      <c r="A28" s="3286" t="s">
        <v>3218</v>
      </c>
      <c r="B28" s="3286" t="s">
        <v>3063</v>
      </c>
      <c r="C28" s="3286" t="s">
        <v>3064</v>
      </c>
      <c r="D28" s="3286" t="s">
        <v>3065</v>
      </c>
      <c r="E28" s="3286" t="s">
        <v>3219</v>
      </c>
      <c r="F28" s="3286" t="s">
        <v>3218</v>
      </c>
      <c r="G28" s="3286" t="s">
        <v>3220</v>
      </c>
      <c r="H28" s="3286">
        <v>6842</v>
      </c>
      <c r="I28" s="3286">
        <v>10263</v>
      </c>
      <c r="J28" s="3286" t="s">
        <v>3181</v>
      </c>
      <c r="K28" s="3286" t="s">
        <v>3069</v>
      </c>
      <c r="L28" s="3286" t="s">
        <v>3186</v>
      </c>
      <c r="M28" s="3286">
        <v>0</v>
      </c>
      <c r="N28" s="3286" t="s">
        <v>2797</v>
      </c>
      <c r="O28" s="3286" t="s">
        <v>3221</v>
      </c>
      <c r="P28" s="3286" t="s">
        <v>2797</v>
      </c>
      <c r="Q28" s="3286" t="s">
        <v>2797</v>
      </c>
      <c r="R28" s="3286" t="s">
        <v>2797</v>
      </c>
      <c r="S28" s="3286" t="s">
        <v>2797</v>
      </c>
      <c r="T28" s="3286" t="s">
        <v>2797</v>
      </c>
      <c r="U28" s="3286" t="s">
        <v>2797</v>
      </c>
      <c r="V28" s="3286" t="s">
        <v>2797</v>
      </c>
      <c r="W28" s="3286" t="s">
        <v>2797</v>
      </c>
      <c r="X28" s="3286" t="s">
        <v>3188</v>
      </c>
      <c r="Y28" s="3286" t="s">
        <v>3222</v>
      </c>
      <c r="Z28" s="3286" t="s">
        <v>3223</v>
      </c>
      <c r="AA28" s="3286" t="s">
        <v>3223</v>
      </c>
      <c r="AB28" s="3286" t="s">
        <v>3223</v>
      </c>
      <c r="AC28" s="3286" t="s">
        <v>3224</v>
      </c>
      <c r="AD28" s="3286" t="s">
        <v>3076</v>
      </c>
      <c r="AE28" s="3286" t="s">
        <v>3225</v>
      </c>
      <c r="AF28" s="3286" t="s">
        <v>2797</v>
      </c>
      <c r="AG28" s="3286">
        <v>825</v>
      </c>
      <c r="AH28" s="3286">
        <v>4106</v>
      </c>
      <c r="AI28" s="3286">
        <v>5206</v>
      </c>
      <c r="AJ28" s="3286">
        <v>400.08</v>
      </c>
      <c r="AK28" s="3286">
        <v>507.26</v>
      </c>
      <c r="AL28" s="3286">
        <v>4000.77</v>
      </c>
      <c r="AM28" s="3286">
        <v>5072.59</v>
      </c>
      <c r="AN28" s="3286" t="s">
        <v>2797</v>
      </c>
      <c r="AO28" s="3286" t="s">
        <v>2797</v>
      </c>
      <c r="AP28" s="3286">
        <v>26.79</v>
      </c>
      <c r="AQ28" s="3286" t="s">
        <v>3178</v>
      </c>
      <c r="AR28" s="3286" t="s">
        <v>2797</v>
      </c>
      <c r="AS28" s="3286" t="s">
        <v>2797</v>
      </c>
      <c r="AT28" s="3286" t="s">
        <v>2797</v>
      </c>
      <c r="AU28" s="3286" t="s">
        <v>3088</v>
      </c>
    </row>
    <row r="29" spans="1:47">
      <c r="A29" s="3286" t="s">
        <v>3226</v>
      </c>
      <c r="B29" s="3286" t="s">
        <v>3063</v>
      </c>
      <c r="C29" s="3286" t="s">
        <v>3064</v>
      </c>
      <c r="D29" s="3286" t="s">
        <v>3065</v>
      </c>
      <c r="E29" s="3286" t="s">
        <v>3219</v>
      </c>
      <c r="F29" s="3286" t="s">
        <v>3226</v>
      </c>
      <c r="G29" s="3286" t="s">
        <v>3227</v>
      </c>
      <c r="H29" s="3286">
        <v>15880</v>
      </c>
      <c r="I29" s="3286">
        <v>23820</v>
      </c>
      <c r="J29" s="3286" t="s">
        <v>3181</v>
      </c>
      <c r="K29" s="3286" t="s">
        <v>3069</v>
      </c>
      <c r="L29" s="3286" t="s">
        <v>3186</v>
      </c>
      <c r="M29" s="3286">
        <v>0</v>
      </c>
      <c r="N29" s="3286" t="s">
        <v>2797</v>
      </c>
      <c r="O29" s="3286" t="s">
        <v>3187</v>
      </c>
      <c r="P29" s="3286" t="s">
        <v>3228</v>
      </c>
      <c r="Q29" s="3286" t="s">
        <v>2797</v>
      </c>
      <c r="R29" s="3286" t="s">
        <v>2797</v>
      </c>
      <c r="S29" s="3286" t="s">
        <v>2797</v>
      </c>
      <c r="T29" s="3286" t="s">
        <v>2797</v>
      </c>
      <c r="U29" s="3286" t="s">
        <v>2797</v>
      </c>
      <c r="V29" s="3286" t="s">
        <v>2797</v>
      </c>
      <c r="W29" s="3286" t="s">
        <v>2797</v>
      </c>
      <c r="X29" s="3286" t="s">
        <v>3188</v>
      </c>
      <c r="Y29" s="3286" t="s">
        <v>3229</v>
      </c>
      <c r="Z29" s="3286" t="s">
        <v>3230</v>
      </c>
      <c r="AA29" s="3286" t="s">
        <v>3230</v>
      </c>
      <c r="AB29" s="3286" t="s">
        <v>3230</v>
      </c>
      <c r="AC29" s="3286" t="s">
        <v>3231</v>
      </c>
      <c r="AD29" s="3286" t="s">
        <v>3076</v>
      </c>
      <c r="AE29" s="3286" t="s">
        <v>3197</v>
      </c>
      <c r="AF29" s="3286" t="s">
        <v>3198</v>
      </c>
      <c r="AG29" s="3286">
        <v>3220</v>
      </c>
      <c r="AH29" s="3286">
        <v>10719</v>
      </c>
      <c r="AI29" s="3286">
        <v>10719</v>
      </c>
      <c r="AJ29" s="3286">
        <v>450</v>
      </c>
      <c r="AK29" s="3286">
        <v>450</v>
      </c>
      <c r="AL29" s="3286">
        <v>4500</v>
      </c>
      <c r="AM29" s="3286">
        <v>4500</v>
      </c>
      <c r="AN29" s="3286" t="s">
        <v>2797</v>
      </c>
      <c r="AO29" s="3286" t="s">
        <v>2797</v>
      </c>
      <c r="AP29" s="3286">
        <v>0</v>
      </c>
      <c r="AQ29" s="3286" t="s">
        <v>3178</v>
      </c>
      <c r="AR29" s="3286" t="s">
        <v>2797</v>
      </c>
      <c r="AS29" s="3286" t="s">
        <v>2797</v>
      </c>
      <c r="AT29" s="3286" t="s">
        <v>2797</v>
      </c>
      <c r="AU29" s="3286" t="s">
        <v>3088</v>
      </c>
    </row>
    <row r="30" spans="1:47">
      <c r="A30" s="3286" t="s">
        <v>3232</v>
      </c>
      <c r="B30" s="3286" t="s">
        <v>3063</v>
      </c>
      <c r="C30" s="3286" t="s">
        <v>3064</v>
      </c>
      <c r="D30" s="3286" t="s">
        <v>3065</v>
      </c>
      <c r="E30" s="3286" t="s">
        <v>3081</v>
      </c>
      <c r="F30" s="3286" t="s">
        <v>3232</v>
      </c>
      <c r="G30" s="3286" t="s">
        <v>3233</v>
      </c>
      <c r="H30" s="3286">
        <v>12796</v>
      </c>
      <c r="I30" s="3286">
        <v>19194</v>
      </c>
      <c r="J30" s="3286" t="s">
        <v>3181</v>
      </c>
      <c r="K30" s="3286" t="s">
        <v>3069</v>
      </c>
      <c r="L30" s="3286" t="s">
        <v>3186</v>
      </c>
      <c r="M30" s="3286">
        <v>0</v>
      </c>
      <c r="N30" s="3286" t="s">
        <v>2797</v>
      </c>
      <c r="O30" s="3286" t="s">
        <v>3234</v>
      </c>
      <c r="P30" s="3286" t="s">
        <v>3235</v>
      </c>
      <c r="Q30" s="3286" t="s">
        <v>2797</v>
      </c>
      <c r="R30" s="3286" t="s">
        <v>2797</v>
      </c>
      <c r="S30" s="3286" t="s">
        <v>2797</v>
      </c>
      <c r="T30" s="3286" t="s">
        <v>2797</v>
      </c>
      <c r="U30" s="3286" t="s">
        <v>2797</v>
      </c>
      <c r="V30" s="3286" t="s">
        <v>2797</v>
      </c>
      <c r="W30" s="3286" t="s">
        <v>2797</v>
      </c>
      <c r="X30" s="3286" t="s">
        <v>3188</v>
      </c>
      <c r="Y30" s="3286" t="s">
        <v>3236</v>
      </c>
      <c r="Z30" s="3286" t="s">
        <v>3237</v>
      </c>
      <c r="AA30" s="3286" t="s">
        <v>3237</v>
      </c>
      <c r="AB30" s="3286" t="s">
        <v>3237</v>
      </c>
      <c r="AC30" s="3286" t="s">
        <v>3238</v>
      </c>
      <c r="AD30" s="3286" t="s">
        <v>3076</v>
      </c>
      <c r="AE30" s="3286" t="s">
        <v>3139</v>
      </c>
      <c r="AF30" s="3286" t="s">
        <v>2797</v>
      </c>
      <c r="AG30" s="3286">
        <v>3000</v>
      </c>
      <c r="AH30" s="3286">
        <v>7294</v>
      </c>
      <c r="AI30" s="3286">
        <v>7294</v>
      </c>
      <c r="AJ30" s="3286">
        <v>380.01</v>
      </c>
      <c r="AK30" s="3286">
        <v>380.01</v>
      </c>
      <c r="AL30" s="3286">
        <v>3800.14</v>
      </c>
      <c r="AM30" s="3286">
        <v>3800.15</v>
      </c>
      <c r="AN30" s="3286" t="s">
        <v>2797</v>
      </c>
      <c r="AO30" s="3286" t="s">
        <v>2797</v>
      </c>
      <c r="AP30" s="3286">
        <v>0</v>
      </c>
      <c r="AQ30" s="3286" t="s">
        <v>3178</v>
      </c>
      <c r="AR30" s="3286" t="s">
        <v>2797</v>
      </c>
      <c r="AS30" s="3286" t="s">
        <v>2797</v>
      </c>
      <c r="AT30" s="3286" t="s">
        <v>2797</v>
      </c>
      <c r="AU30" s="3286" t="s">
        <v>3217</v>
      </c>
    </row>
    <row r="31" spans="1:47">
      <c r="A31" s="3286" t="s">
        <v>3239</v>
      </c>
      <c r="B31" s="3286" t="s">
        <v>3063</v>
      </c>
      <c r="C31" s="3286" t="s">
        <v>3064</v>
      </c>
      <c r="D31" s="3286" t="s">
        <v>3065</v>
      </c>
      <c r="E31" s="3286" t="s">
        <v>3090</v>
      </c>
      <c r="F31" s="3286" t="s">
        <v>3239</v>
      </c>
      <c r="G31" s="3286" t="s">
        <v>3240</v>
      </c>
      <c r="H31" s="3286">
        <v>22672</v>
      </c>
      <c r="I31" s="3286">
        <v>47611.199999999997</v>
      </c>
      <c r="J31" s="3286" t="s">
        <v>3241</v>
      </c>
      <c r="K31" s="3286" t="s">
        <v>3069</v>
      </c>
      <c r="L31" s="3286" t="s">
        <v>3186</v>
      </c>
      <c r="M31" s="3286">
        <v>0</v>
      </c>
      <c r="N31" s="3286" t="s">
        <v>2797</v>
      </c>
      <c r="O31" s="3286" t="s">
        <v>3187</v>
      </c>
      <c r="P31" s="3286" t="s">
        <v>2797</v>
      </c>
      <c r="Q31" s="3286" t="s">
        <v>2797</v>
      </c>
      <c r="R31" s="3286" t="s">
        <v>2797</v>
      </c>
      <c r="S31" s="3286" t="s">
        <v>2797</v>
      </c>
      <c r="T31" s="3286" t="s">
        <v>2797</v>
      </c>
      <c r="U31" s="3286" t="s">
        <v>2797</v>
      </c>
      <c r="V31" s="3286" t="s">
        <v>2797</v>
      </c>
      <c r="W31" s="3286" t="s">
        <v>2797</v>
      </c>
      <c r="X31" s="3286" t="s">
        <v>3188</v>
      </c>
      <c r="Y31" s="3286" t="s">
        <v>3242</v>
      </c>
      <c r="Z31" s="3286" t="s">
        <v>3243</v>
      </c>
      <c r="AA31" s="3286" t="s">
        <v>3243</v>
      </c>
      <c r="AB31" s="3286" t="s">
        <v>3243</v>
      </c>
      <c r="AC31" s="3286" t="s">
        <v>3244</v>
      </c>
      <c r="AD31" s="3286" t="s">
        <v>3076</v>
      </c>
      <c r="AE31" s="3286" t="s">
        <v>3098</v>
      </c>
      <c r="AF31" s="3286" t="s">
        <v>2797</v>
      </c>
      <c r="AG31" s="3286">
        <v>1535</v>
      </c>
      <c r="AH31" s="3286">
        <v>5105</v>
      </c>
      <c r="AI31" s="3286">
        <v>5105</v>
      </c>
      <c r="AJ31" s="3286">
        <v>150.11000000000001</v>
      </c>
      <c r="AK31" s="3286">
        <v>150.11000000000001</v>
      </c>
      <c r="AL31" s="3286">
        <v>1072.22</v>
      </c>
      <c r="AM31" s="3286">
        <v>1072.23</v>
      </c>
      <c r="AN31" s="3286" t="s">
        <v>2797</v>
      </c>
      <c r="AO31" s="3286" t="s">
        <v>2797</v>
      </c>
      <c r="AP31" s="3286">
        <v>0</v>
      </c>
      <c r="AQ31" s="3286" t="s">
        <v>3178</v>
      </c>
      <c r="AR31" s="3286" t="s">
        <v>2797</v>
      </c>
      <c r="AS31" s="3286" t="s">
        <v>2797</v>
      </c>
      <c r="AT31" s="3286" t="s">
        <v>2797</v>
      </c>
      <c r="AU31" s="3286" t="s">
        <v>3079</v>
      </c>
    </row>
    <row r="32" spans="1:47">
      <c r="A32" s="3286" t="s">
        <v>3245</v>
      </c>
      <c r="B32" s="3286" t="s">
        <v>3063</v>
      </c>
      <c r="C32" s="3286" t="s">
        <v>3064</v>
      </c>
      <c r="D32" s="3286" t="s">
        <v>3065</v>
      </c>
      <c r="E32" s="3286" t="s">
        <v>3090</v>
      </c>
      <c r="F32" s="3286" t="s">
        <v>3245</v>
      </c>
      <c r="G32" s="3286" t="s">
        <v>3246</v>
      </c>
      <c r="H32" s="3286">
        <v>6217</v>
      </c>
      <c r="I32" s="3286">
        <v>9947.2000000000007</v>
      </c>
      <c r="J32" s="3286" t="s">
        <v>3247</v>
      </c>
      <c r="K32" s="3286" t="s">
        <v>3069</v>
      </c>
      <c r="L32" s="3286" t="s">
        <v>3186</v>
      </c>
      <c r="M32" s="3286">
        <v>0</v>
      </c>
      <c r="N32" s="3286" t="s">
        <v>2797</v>
      </c>
      <c r="O32" s="3286" t="s">
        <v>3187</v>
      </c>
      <c r="P32" s="3286" t="s">
        <v>2797</v>
      </c>
      <c r="Q32" s="3286" t="s">
        <v>2797</v>
      </c>
      <c r="R32" s="3286" t="s">
        <v>2797</v>
      </c>
      <c r="S32" s="3286" t="s">
        <v>2797</v>
      </c>
      <c r="T32" s="3286" t="s">
        <v>2797</v>
      </c>
      <c r="U32" s="3286" t="s">
        <v>2797</v>
      </c>
      <c r="V32" s="3286" t="s">
        <v>2797</v>
      </c>
      <c r="W32" s="3286" t="s">
        <v>2797</v>
      </c>
      <c r="X32" s="3286" t="s">
        <v>3188</v>
      </c>
      <c r="Y32" s="3286" t="s">
        <v>3242</v>
      </c>
      <c r="Z32" s="3286" t="s">
        <v>3243</v>
      </c>
      <c r="AA32" s="3286" t="s">
        <v>3243</v>
      </c>
      <c r="AB32" s="3286" t="s">
        <v>3243</v>
      </c>
      <c r="AC32" s="3286" t="s">
        <v>3244</v>
      </c>
      <c r="AD32" s="3286" t="s">
        <v>3076</v>
      </c>
      <c r="AE32" s="3286" t="s">
        <v>3098</v>
      </c>
      <c r="AF32" s="3286" t="s">
        <v>2797</v>
      </c>
      <c r="AG32" s="3286">
        <v>356</v>
      </c>
      <c r="AH32" s="3286">
        <v>1185</v>
      </c>
      <c r="AI32" s="3286">
        <v>1185</v>
      </c>
      <c r="AJ32" s="3286">
        <v>127.07</v>
      </c>
      <c r="AK32" s="3286">
        <v>127.07</v>
      </c>
      <c r="AL32" s="3286">
        <v>1191.28</v>
      </c>
      <c r="AM32" s="3286">
        <v>1191.28</v>
      </c>
      <c r="AN32" s="3286" t="s">
        <v>2797</v>
      </c>
      <c r="AO32" s="3286" t="s">
        <v>2797</v>
      </c>
      <c r="AP32" s="3286">
        <v>0</v>
      </c>
      <c r="AQ32" s="3286" t="s">
        <v>3178</v>
      </c>
      <c r="AR32" s="3286" t="s">
        <v>2797</v>
      </c>
      <c r="AS32" s="3286" t="s">
        <v>2797</v>
      </c>
      <c r="AT32" s="3286" t="s">
        <v>2797</v>
      </c>
      <c r="AU32" s="3286" t="s">
        <v>3079</v>
      </c>
    </row>
    <row r="33" spans="1:47">
      <c r="A33" s="3286" t="s">
        <v>3248</v>
      </c>
      <c r="B33" s="3286" t="s">
        <v>3063</v>
      </c>
      <c r="C33" s="3286" t="s">
        <v>3064</v>
      </c>
      <c r="D33" s="3286" t="s">
        <v>3065</v>
      </c>
      <c r="E33" s="3286" t="s">
        <v>3090</v>
      </c>
      <c r="F33" s="3286" t="s">
        <v>3248</v>
      </c>
      <c r="G33" s="3286" t="s">
        <v>3249</v>
      </c>
      <c r="H33" s="3286">
        <v>14240</v>
      </c>
      <c r="I33" s="3286">
        <v>29904</v>
      </c>
      <c r="J33" s="3286" t="s">
        <v>3241</v>
      </c>
      <c r="K33" s="3286" t="s">
        <v>3069</v>
      </c>
      <c r="L33" s="3286" t="s">
        <v>3186</v>
      </c>
      <c r="M33" s="3286">
        <v>0</v>
      </c>
      <c r="N33" s="3286" t="s">
        <v>2797</v>
      </c>
      <c r="O33" s="3286" t="s">
        <v>3187</v>
      </c>
      <c r="P33" s="3286" t="s">
        <v>2797</v>
      </c>
      <c r="Q33" s="3286" t="s">
        <v>2797</v>
      </c>
      <c r="R33" s="3286" t="s">
        <v>2797</v>
      </c>
      <c r="S33" s="3286" t="s">
        <v>2797</v>
      </c>
      <c r="T33" s="3286" t="s">
        <v>2797</v>
      </c>
      <c r="U33" s="3286" t="s">
        <v>2797</v>
      </c>
      <c r="V33" s="3286" t="s">
        <v>2797</v>
      </c>
      <c r="W33" s="3286" t="s">
        <v>2797</v>
      </c>
      <c r="X33" s="3286" t="s">
        <v>3188</v>
      </c>
      <c r="Y33" s="3286" t="s">
        <v>3242</v>
      </c>
      <c r="Z33" s="3286" t="s">
        <v>3243</v>
      </c>
      <c r="AA33" s="3286" t="s">
        <v>3243</v>
      </c>
      <c r="AB33" s="3286" t="s">
        <v>3243</v>
      </c>
      <c r="AC33" s="3286" t="s">
        <v>3244</v>
      </c>
      <c r="AD33" s="3286" t="s">
        <v>3076</v>
      </c>
      <c r="AE33" s="3286" t="s">
        <v>3098</v>
      </c>
      <c r="AF33" s="3286" t="s">
        <v>2797</v>
      </c>
      <c r="AG33" s="3286">
        <v>1030</v>
      </c>
      <c r="AH33" s="3286">
        <v>3435</v>
      </c>
      <c r="AI33" s="3286">
        <v>3435</v>
      </c>
      <c r="AJ33" s="3286">
        <v>160.81</v>
      </c>
      <c r="AK33" s="3286">
        <v>160.81</v>
      </c>
      <c r="AL33" s="3286">
        <v>1148.67</v>
      </c>
      <c r="AM33" s="3286">
        <v>1148.68</v>
      </c>
      <c r="AN33" s="3286" t="s">
        <v>2797</v>
      </c>
      <c r="AO33" s="3286" t="s">
        <v>2797</v>
      </c>
      <c r="AP33" s="3286">
        <v>0</v>
      </c>
      <c r="AQ33" s="3286" t="s">
        <v>3178</v>
      </c>
      <c r="AR33" s="3286" t="s">
        <v>2797</v>
      </c>
      <c r="AS33" s="3286" t="s">
        <v>2797</v>
      </c>
      <c r="AT33" s="3286" t="s">
        <v>2797</v>
      </c>
      <c r="AU33" s="3286" t="s">
        <v>3079</v>
      </c>
    </row>
    <row r="34" spans="1:47">
      <c r="A34" s="3286" t="s">
        <v>3250</v>
      </c>
      <c r="B34" s="3286" t="s">
        <v>3063</v>
      </c>
      <c r="C34" s="3286" t="s">
        <v>3064</v>
      </c>
      <c r="D34" s="3286" t="s">
        <v>3065</v>
      </c>
      <c r="E34" s="3286" t="s">
        <v>3081</v>
      </c>
      <c r="F34" s="3286" t="s">
        <v>3250</v>
      </c>
      <c r="G34" s="3286" t="s">
        <v>3251</v>
      </c>
      <c r="H34" s="3286">
        <v>40015</v>
      </c>
      <c r="I34" s="3286">
        <v>92034.5</v>
      </c>
      <c r="J34" s="3286" t="s">
        <v>3252</v>
      </c>
      <c r="K34" s="3286" t="s">
        <v>3253</v>
      </c>
      <c r="L34" s="3286" t="s">
        <v>3186</v>
      </c>
      <c r="M34" s="3286">
        <v>0</v>
      </c>
      <c r="N34" s="3286" t="s">
        <v>2797</v>
      </c>
      <c r="O34" s="3286" t="s">
        <v>3201</v>
      </c>
      <c r="P34" s="3286" t="s">
        <v>2797</v>
      </c>
      <c r="Q34" s="3286" t="s">
        <v>2797</v>
      </c>
      <c r="R34" s="3286" t="s">
        <v>2797</v>
      </c>
      <c r="S34" s="3286" t="s">
        <v>2797</v>
      </c>
      <c r="T34" s="3286" t="s">
        <v>2797</v>
      </c>
      <c r="U34" s="3286" t="s">
        <v>2797</v>
      </c>
      <c r="V34" s="3286" t="s">
        <v>2797</v>
      </c>
      <c r="W34" s="3286" t="s">
        <v>2797</v>
      </c>
      <c r="X34" s="3286" t="s">
        <v>3188</v>
      </c>
      <c r="Y34" s="3286" t="s">
        <v>3254</v>
      </c>
      <c r="Z34" s="3286" t="s">
        <v>3255</v>
      </c>
      <c r="AA34" s="3286" t="s">
        <v>3255</v>
      </c>
      <c r="AB34" s="3286" t="s">
        <v>3255</v>
      </c>
      <c r="AC34" s="3286" t="s">
        <v>3256</v>
      </c>
      <c r="AD34" s="3286" t="s">
        <v>3076</v>
      </c>
      <c r="AE34" s="3286" t="s">
        <v>3197</v>
      </c>
      <c r="AF34" s="3286" t="s">
        <v>3257</v>
      </c>
      <c r="AG34" s="3286">
        <v>7743</v>
      </c>
      <c r="AH34" s="3286">
        <v>25810</v>
      </c>
      <c r="AI34" s="3286">
        <v>25810</v>
      </c>
      <c r="AJ34" s="3286">
        <v>430.01</v>
      </c>
      <c r="AK34" s="3286">
        <v>430.01</v>
      </c>
      <c r="AL34" s="3286">
        <v>2804.38</v>
      </c>
      <c r="AM34" s="3286">
        <v>2804.38</v>
      </c>
      <c r="AN34" s="3286" t="s">
        <v>2797</v>
      </c>
      <c r="AO34" s="3286" t="s">
        <v>2797</v>
      </c>
      <c r="AP34" s="3286">
        <v>0</v>
      </c>
      <c r="AQ34" s="3286" t="s">
        <v>3178</v>
      </c>
      <c r="AR34" s="3286" t="s">
        <v>2797</v>
      </c>
      <c r="AS34" s="3286" t="s">
        <v>2797</v>
      </c>
      <c r="AT34" s="3286" t="s">
        <v>2797</v>
      </c>
      <c r="AU34" s="3286" t="s">
        <v>3110</v>
      </c>
    </row>
    <row r="35" spans="1:47">
      <c r="A35" s="3286" t="s">
        <v>3258</v>
      </c>
      <c r="B35" s="3286" t="s">
        <v>3063</v>
      </c>
      <c r="C35" s="3286" t="s">
        <v>3064</v>
      </c>
      <c r="D35" s="3286" t="s">
        <v>3065</v>
      </c>
      <c r="E35" s="3286" t="s">
        <v>3150</v>
      </c>
      <c r="F35" s="3286" t="s">
        <v>3259</v>
      </c>
      <c r="G35" s="3286" t="s">
        <v>3258</v>
      </c>
      <c r="H35" s="3286">
        <v>36615</v>
      </c>
      <c r="I35" s="3286">
        <v>58584</v>
      </c>
      <c r="J35" s="3286" t="s">
        <v>3247</v>
      </c>
      <c r="K35" s="3286" t="s">
        <v>3069</v>
      </c>
      <c r="L35" s="3286" t="s">
        <v>3186</v>
      </c>
      <c r="M35" s="3286">
        <v>0</v>
      </c>
      <c r="N35" s="3286" t="s">
        <v>2797</v>
      </c>
      <c r="O35" s="3286" t="s">
        <v>3260</v>
      </c>
      <c r="P35" s="3286" t="s">
        <v>3261</v>
      </c>
      <c r="Q35" s="3286" t="s">
        <v>2797</v>
      </c>
      <c r="R35" s="3286" t="s">
        <v>2797</v>
      </c>
      <c r="S35" s="3286" t="s">
        <v>2797</v>
      </c>
      <c r="T35" s="3286" t="s">
        <v>2797</v>
      </c>
      <c r="U35" s="3286" t="s">
        <v>2797</v>
      </c>
      <c r="V35" s="3286" t="s">
        <v>2797</v>
      </c>
      <c r="W35" s="3286" t="s">
        <v>2797</v>
      </c>
      <c r="X35" s="3286" t="s">
        <v>3188</v>
      </c>
      <c r="Y35" s="3286" t="s">
        <v>3262</v>
      </c>
      <c r="Z35" s="3286" t="s">
        <v>3263</v>
      </c>
      <c r="AA35" s="3286" t="s">
        <v>3263</v>
      </c>
      <c r="AB35" s="3286" t="s">
        <v>3263</v>
      </c>
      <c r="AC35" s="3286" t="s">
        <v>3264</v>
      </c>
      <c r="AD35" s="3286" t="s">
        <v>3076</v>
      </c>
      <c r="AE35" s="3286" t="s">
        <v>3265</v>
      </c>
      <c r="AF35" s="3286" t="s">
        <v>2797</v>
      </c>
      <c r="AG35" s="3286">
        <v>2500</v>
      </c>
      <c r="AH35" s="3286">
        <v>8500</v>
      </c>
      <c r="AI35" s="3286">
        <v>8500</v>
      </c>
      <c r="AJ35" s="3286">
        <v>154.76</v>
      </c>
      <c r="AK35" s="3286">
        <v>154.76</v>
      </c>
      <c r="AL35" s="3286">
        <v>1450.9</v>
      </c>
      <c r="AM35" s="3286">
        <v>1450.91</v>
      </c>
      <c r="AN35" s="3286" t="s">
        <v>2797</v>
      </c>
      <c r="AO35" s="3286" t="s">
        <v>2797</v>
      </c>
      <c r="AP35" s="3286">
        <v>0</v>
      </c>
      <c r="AQ35" s="3286" t="s">
        <v>3178</v>
      </c>
      <c r="AR35" s="3286" t="s">
        <v>2797</v>
      </c>
      <c r="AS35" s="3286" t="s">
        <v>2797</v>
      </c>
      <c r="AT35" s="3286" t="s">
        <v>2797</v>
      </c>
      <c r="AU35" s="3286" t="s">
        <v>3110</v>
      </c>
    </row>
    <row r="36" spans="1:47">
      <c r="A36" s="3286" t="s">
        <v>3266</v>
      </c>
      <c r="B36" s="3286" t="s">
        <v>3063</v>
      </c>
      <c r="C36" s="3286" t="s">
        <v>3064</v>
      </c>
      <c r="D36" s="3286" t="s">
        <v>3065</v>
      </c>
      <c r="E36" s="3286" t="s">
        <v>3150</v>
      </c>
      <c r="F36" s="3286" t="s">
        <v>3259</v>
      </c>
      <c r="G36" s="3286" t="s">
        <v>3266</v>
      </c>
      <c r="H36" s="3286">
        <v>36462</v>
      </c>
      <c r="I36" s="3286">
        <v>58339.199999999997</v>
      </c>
      <c r="J36" s="3286" t="s">
        <v>3247</v>
      </c>
      <c r="K36" s="3286" t="s">
        <v>3069</v>
      </c>
      <c r="L36" s="3286" t="s">
        <v>3186</v>
      </c>
      <c r="M36" s="3286">
        <v>0</v>
      </c>
      <c r="N36" s="3286" t="s">
        <v>2797</v>
      </c>
      <c r="O36" s="3286" t="s">
        <v>3187</v>
      </c>
      <c r="P36" s="3286" t="s">
        <v>3261</v>
      </c>
      <c r="Q36" s="3286" t="s">
        <v>2797</v>
      </c>
      <c r="R36" s="3286" t="s">
        <v>2797</v>
      </c>
      <c r="S36" s="3286" t="s">
        <v>2797</v>
      </c>
      <c r="T36" s="3286" t="s">
        <v>2797</v>
      </c>
      <c r="U36" s="3286" t="s">
        <v>2797</v>
      </c>
      <c r="V36" s="3286" t="s">
        <v>2797</v>
      </c>
      <c r="W36" s="3286" t="s">
        <v>2797</v>
      </c>
      <c r="X36" s="3286" t="s">
        <v>3188</v>
      </c>
      <c r="Y36" s="3286" t="s">
        <v>3262</v>
      </c>
      <c r="Z36" s="3286" t="s">
        <v>3263</v>
      </c>
      <c r="AA36" s="3286" t="s">
        <v>3263</v>
      </c>
      <c r="AB36" s="3286" t="s">
        <v>3263</v>
      </c>
      <c r="AC36" s="3286" t="s">
        <v>3264</v>
      </c>
      <c r="AD36" s="3286" t="s">
        <v>3076</v>
      </c>
      <c r="AE36" s="3286" t="s">
        <v>3265</v>
      </c>
      <c r="AF36" s="3286" t="s">
        <v>2797</v>
      </c>
      <c r="AG36" s="3286">
        <v>2500</v>
      </c>
      <c r="AH36" s="3286">
        <v>8500</v>
      </c>
      <c r="AI36" s="3286">
        <v>8500</v>
      </c>
      <c r="AJ36" s="3286">
        <v>155.41</v>
      </c>
      <c r="AK36" s="3286">
        <v>155.41</v>
      </c>
      <c r="AL36" s="3286">
        <v>1456.99</v>
      </c>
      <c r="AM36" s="3286">
        <v>1457</v>
      </c>
      <c r="AN36" s="3286" t="s">
        <v>2797</v>
      </c>
      <c r="AO36" s="3286" t="s">
        <v>2797</v>
      </c>
      <c r="AP36" s="3286">
        <v>0</v>
      </c>
      <c r="AQ36" s="3286" t="s">
        <v>3178</v>
      </c>
      <c r="AR36" s="3286" t="s">
        <v>2797</v>
      </c>
      <c r="AS36" s="3286" t="s">
        <v>2797</v>
      </c>
      <c r="AT36" s="3286" t="s">
        <v>2797</v>
      </c>
      <c r="AU36" s="3286" t="s">
        <v>3110</v>
      </c>
    </row>
    <row r="37" spans="1:47">
      <c r="A37" s="3286" t="s">
        <v>3267</v>
      </c>
      <c r="B37" s="3286" t="s">
        <v>3063</v>
      </c>
      <c r="C37" s="3286" t="s">
        <v>3064</v>
      </c>
      <c r="D37" s="3286" t="s">
        <v>3065</v>
      </c>
      <c r="E37" s="3286" t="s">
        <v>3219</v>
      </c>
      <c r="F37" s="3286" t="s">
        <v>3267</v>
      </c>
      <c r="G37" s="3286" t="s">
        <v>3268</v>
      </c>
      <c r="H37" s="3286">
        <v>33668</v>
      </c>
      <c r="I37" s="3286">
        <v>53868.800000000003</v>
      </c>
      <c r="J37" s="3286" t="s">
        <v>3247</v>
      </c>
      <c r="K37" s="3286" t="s">
        <v>3069</v>
      </c>
      <c r="L37" s="3286" t="s">
        <v>3186</v>
      </c>
      <c r="M37" s="3286">
        <v>0</v>
      </c>
      <c r="N37" s="3286" t="s">
        <v>2797</v>
      </c>
      <c r="O37" s="3286" t="s">
        <v>3201</v>
      </c>
      <c r="P37" s="3286" t="s">
        <v>3228</v>
      </c>
      <c r="Q37" s="3286" t="s">
        <v>2797</v>
      </c>
      <c r="R37" s="3286" t="s">
        <v>2797</v>
      </c>
      <c r="S37" s="3286" t="s">
        <v>2797</v>
      </c>
      <c r="T37" s="3286" t="s">
        <v>2797</v>
      </c>
      <c r="U37" s="3286" t="s">
        <v>2797</v>
      </c>
      <c r="V37" s="3286" t="s">
        <v>2797</v>
      </c>
      <c r="W37" s="3286" t="s">
        <v>2797</v>
      </c>
      <c r="X37" s="3286" t="s">
        <v>3188</v>
      </c>
      <c r="Y37" s="3286" t="s">
        <v>3269</v>
      </c>
      <c r="Z37" s="3286" t="s">
        <v>3270</v>
      </c>
      <c r="AA37" s="3286" t="s">
        <v>3270</v>
      </c>
      <c r="AB37" s="3286" t="s">
        <v>3270</v>
      </c>
      <c r="AC37" s="3286" t="s">
        <v>3271</v>
      </c>
      <c r="AD37" s="3286" t="s">
        <v>3076</v>
      </c>
      <c r="AE37" s="3286" t="s">
        <v>3272</v>
      </c>
      <c r="AF37" s="3286" t="s">
        <v>3273</v>
      </c>
      <c r="AG37" s="3286">
        <v>6900</v>
      </c>
      <c r="AH37" s="3286">
        <v>23000</v>
      </c>
      <c r="AI37" s="3286">
        <v>23100</v>
      </c>
      <c r="AJ37" s="3286">
        <v>455.43</v>
      </c>
      <c r="AK37" s="3286">
        <v>457.41</v>
      </c>
      <c r="AL37" s="3286">
        <v>4269.63</v>
      </c>
      <c r="AM37" s="3286">
        <v>4288.1899999999996</v>
      </c>
      <c r="AN37" s="3286" t="s">
        <v>2797</v>
      </c>
      <c r="AO37" s="3286" t="s">
        <v>2797</v>
      </c>
      <c r="AP37" s="3286">
        <v>0.43</v>
      </c>
      <c r="AQ37" s="3286" t="s">
        <v>3178</v>
      </c>
      <c r="AR37" s="3286" t="s">
        <v>2797</v>
      </c>
      <c r="AS37" s="3286" t="s">
        <v>2797</v>
      </c>
      <c r="AT37" s="3286" t="s">
        <v>2797</v>
      </c>
      <c r="AU37" s="3286" t="s">
        <v>3217</v>
      </c>
    </row>
    <row r="38" spans="1:47">
      <c r="A38" s="3286" t="s">
        <v>3274</v>
      </c>
      <c r="B38" s="3286" t="s">
        <v>3063</v>
      </c>
      <c r="C38" s="3286" t="s">
        <v>3064</v>
      </c>
      <c r="D38" s="3286" t="s">
        <v>3065</v>
      </c>
      <c r="E38" s="3286" t="s">
        <v>3275</v>
      </c>
      <c r="F38" s="3286" t="s">
        <v>3274</v>
      </c>
      <c r="G38" s="3286" t="s">
        <v>3274</v>
      </c>
      <c r="H38" s="3286">
        <v>42853</v>
      </c>
      <c r="I38" s="3286">
        <v>107132.5</v>
      </c>
      <c r="J38" s="3286" t="s">
        <v>3276</v>
      </c>
      <c r="K38" s="3286" t="s">
        <v>3069</v>
      </c>
      <c r="L38" s="3286" t="s">
        <v>3186</v>
      </c>
      <c r="M38" s="3286">
        <v>0</v>
      </c>
      <c r="N38" s="3286" t="s">
        <v>2797</v>
      </c>
      <c r="O38" s="3286" t="s">
        <v>3187</v>
      </c>
      <c r="P38" s="3286" t="s">
        <v>3228</v>
      </c>
      <c r="Q38" s="3286" t="s">
        <v>2797</v>
      </c>
      <c r="R38" s="3286" t="s">
        <v>2797</v>
      </c>
      <c r="S38" s="3286" t="s">
        <v>2797</v>
      </c>
      <c r="T38" s="3286" t="s">
        <v>2797</v>
      </c>
      <c r="U38" s="3286" t="s">
        <v>2797</v>
      </c>
      <c r="V38" s="3286" t="s">
        <v>2797</v>
      </c>
      <c r="W38" s="3286" t="s">
        <v>2797</v>
      </c>
      <c r="X38" s="3286" t="s">
        <v>3188</v>
      </c>
      <c r="Y38" s="3286" t="s">
        <v>3269</v>
      </c>
      <c r="Z38" s="3286" t="s">
        <v>3270</v>
      </c>
      <c r="AA38" s="3286" t="s">
        <v>3270</v>
      </c>
      <c r="AB38" s="3286" t="s">
        <v>3270</v>
      </c>
      <c r="AC38" s="3286" t="s">
        <v>3271</v>
      </c>
      <c r="AD38" s="3286" t="s">
        <v>3076</v>
      </c>
      <c r="AE38" s="3286" t="s">
        <v>3277</v>
      </c>
      <c r="AF38" s="3286" t="s">
        <v>2797</v>
      </c>
      <c r="AG38" s="3286">
        <v>3960</v>
      </c>
      <c r="AH38" s="3286">
        <v>13190</v>
      </c>
      <c r="AI38" s="3286">
        <v>13190</v>
      </c>
      <c r="AJ38" s="3286">
        <v>205.2</v>
      </c>
      <c r="AK38" s="3286">
        <v>205.2</v>
      </c>
      <c r="AL38" s="3286">
        <v>1231.18</v>
      </c>
      <c r="AM38" s="3286">
        <v>1231.19</v>
      </c>
      <c r="AN38" s="3286" t="s">
        <v>2797</v>
      </c>
      <c r="AO38" s="3286" t="s">
        <v>2797</v>
      </c>
      <c r="AP38" s="3286">
        <v>0</v>
      </c>
      <c r="AQ38" s="3286" t="s">
        <v>3178</v>
      </c>
      <c r="AR38" s="3286" t="s">
        <v>2797</v>
      </c>
      <c r="AS38" s="3286" t="s">
        <v>2797</v>
      </c>
      <c r="AT38" s="3286" t="s">
        <v>2797</v>
      </c>
      <c r="AU38" s="3286" t="s">
        <v>3079</v>
      </c>
    </row>
    <row r="39" spans="1:47">
      <c r="A39" s="3286" t="s">
        <v>3278</v>
      </c>
      <c r="B39" s="3286" t="s">
        <v>3063</v>
      </c>
      <c r="C39" s="3286" t="s">
        <v>3064</v>
      </c>
      <c r="D39" s="3286" t="s">
        <v>3065</v>
      </c>
      <c r="E39" s="3286" t="s">
        <v>3081</v>
      </c>
      <c r="F39" s="3286" t="s">
        <v>3278</v>
      </c>
      <c r="G39" s="3286" t="s">
        <v>3278</v>
      </c>
      <c r="H39" s="3286">
        <v>46615</v>
      </c>
      <c r="I39" s="3286">
        <v>74584</v>
      </c>
      <c r="J39" s="3286" t="s">
        <v>3279</v>
      </c>
      <c r="K39" s="3286" t="s">
        <v>3069</v>
      </c>
      <c r="L39" s="3286" t="s">
        <v>3186</v>
      </c>
      <c r="M39" s="3286">
        <v>0</v>
      </c>
      <c r="N39" s="3286" t="s">
        <v>2797</v>
      </c>
      <c r="O39" s="3286" t="s">
        <v>3280</v>
      </c>
      <c r="P39" s="3286" t="s">
        <v>3281</v>
      </c>
      <c r="Q39" s="3286" t="s">
        <v>2797</v>
      </c>
      <c r="R39" s="3286" t="s">
        <v>2797</v>
      </c>
      <c r="S39" s="3286" t="s">
        <v>2797</v>
      </c>
      <c r="T39" s="3286" t="s">
        <v>2797</v>
      </c>
      <c r="U39" s="3286" t="s">
        <v>2797</v>
      </c>
      <c r="V39" s="3286" t="s">
        <v>2797</v>
      </c>
      <c r="W39" s="3286" t="s">
        <v>2797</v>
      </c>
      <c r="X39" s="3286" t="s">
        <v>3188</v>
      </c>
      <c r="Y39" s="3286" t="s">
        <v>3282</v>
      </c>
      <c r="Z39" s="3286" t="s">
        <v>3283</v>
      </c>
      <c r="AA39" s="3286" t="s">
        <v>3283</v>
      </c>
      <c r="AB39" s="3286" t="s">
        <v>3283</v>
      </c>
      <c r="AC39" s="3286" t="s">
        <v>3284</v>
      </c>
      <c r="AD39" s="3286" t="s">
        <v>3076</v>
      </c>
      <c r="AE39" s="3286" t="s">
        <v>3285</v>
      </c>
      <c r="AF39" s="3286" t="s">
        <v>3286</v>
      </c>
      <c r="AG39" s="3286">
        <v>8800</v>
      </c>
      <c r="AH39" s="3286">
        <v>29367</v>
      </c>
      <c r="AI39" s="3286">
        <v>31467</v>
      </c>
      <c r="AJ39" s="3286">
        <v>419.99</v>
      </c>
      <c r="AK39" s="3286">
        <v>450.03</v>
      </c>
      <c r="AL39" s="3286">
        <v>3937.43</v>
      </c>
      <c r="AM39" s="3286">
        <v>4219</v>
      </c>
      <c r="AN39" s="3286" t="s">
        <v>2797</v>
      </c>
      <c r="AO39" s="3286" t="s">
        <v>2797</v>
      </c>
      <c r="AP39" s="3286">
        <v>7.15</v>
      </c>
      <c r="AQ39" s="3286" t="s">
        <v>3178</v>
      </c>
      <c r="AR39" s="3286" t="s">
        <v>2797</v>
      </c>
      <c r="AS39" s="3286" t="s">
        <v>2797</v>
      </c>
      <c r="AT39" s="3286" t="s">
        <v>2797</v>
      </c>
      <c r="AU39" s="3286" t="s">
        <v>3088</v>
      </c>
    </row>
    <row r="40" spans="1:47">
      <c r="A40" s="3286" t="s">
        <v>3287</v>
      </c>
      <c r="B40" s="3286" t="s">
        <v>3063</v>
      </c>
      <c r="C40" s="3286" t="s">
        <v>3064</v>
      </c>
      <c r="D40" s="3286" t="s">
        <v>3065</v>
      </c>
      <c r="E40" s="3286" t="s">
        <v>3219</v>
      </c>
      <c r="F40" s="3286" t="s">
        <v>3287</v>
      </c>
      <c r="G40" s="3286" t="s">
        <v>3287</v>
      </c>
      <c r="H40" s="3286">
        <v>52155</v>
      </c>
      <c r="I40" s="3286">
        <v>112133.3</v>
      </c>
      <c r="J40" s="3286" t="s">
        <v>3288</v>
      </c>
      <c r="K40" s="3286" t="s">
        <v>3069</v>
      </c>
      <c r="L40" s="3286" t="s">
        <v>3186</v>
      </c>
      <c r="M40" s="3286">
        <v>0</v>
      </c>
      <c r="N40" s="3286" t="s">
        <v>2797</v>
      </c>
      <c r="O40" s="3286" t="s">
        <v>3280</v>
      </c>
      <c r="P40" s="3286" t="s">
        <v>3289</v>
      </c>
      <c r="Q40" s="3286" t="s">
        <v>2797</v>
      </c>
      <c r="R40" s="3286" t="s">
        <v>2797</v>
      </c>
      <c r="S40" s="3286" t="s">
        <v>2797</v>
      </c>
      <c r="T40" s="3286" t="s">
        <v>2797</v>
      </c>
      <c r="U40" s="3286" t="s">
        <v>2797</v>
      </c>
      <c r="V40" s="3286" t="s">
        <v>2797</v>
      </c>
      <c r="W40" s="3286" t="s">
        <v>2797</v>
      </c>
      <c r="X40" s="3286" t="s">
        <v>3188</v>
      </c>
      <c r="Y40" s="3286" t="s">
        <v>3290</v>
      </c>
      <c r="Z40" s="3286" t="s">
        <v>3291</v>
      </c>
      <c r="AA40" s="3286" t="s">
        <v>3291</v>
      </c>
      <c r="AB40" s="3286" t="s">
        <v>3291</v>
      </c>
      <c r="AC40" s="3286" t="s">
        <v>3292</v>
      </c>
      <c r="AD40" s="3286" t="s">
        <v>3076</v>
      </c>
      <c r="AE40" s="3286" t="s">
        <v>3293</v>
      </c>
      <c r="AF40" s="3286" t="s">
        <v>2797</v>
      </c>
      <c r="AG40" s="3286">
        <v>6638</v>
      </c>
      <c r="AH40" s="3286">
        <v>33186</v>
      </c>
      <c r="AI40" s="3286">
        <v>39986</v>
      </c>
      <c r="AJ40" s="3286">
        <v>424.2</v>
      </c>
      <c r="AK40" s="3286">
        <v>511.12</v>
      </c>
      <c r="AL40" s="3286">
        <v>2959.51</v>
      </c>
      <c r="AM40" s="3286">
        <v>3565.92</v>
      </c>
      <c r="AN40" s="3286" t="s">
        <v>2797</v>
      </c>
      <c r="AO40" s="3286" t="s">
        <v>2797</v>
      </c>
      <c r="AP40" s="3286">
        <v>20.49</v>
      </c>
      <c r="AQ40" s="3286" t="s">
        <v>3178</v>
      </c>
      <c r="AR40" s="3286" t="s">
        <v>2797</v>
      </c>
      <c r="AS40" s="3286" t="s">
        <v>2797</v>
      </c>
      <c r="AT40" s="3286" t="s">
        <v>2797</v>
      </c>
      <c r="AU40" s="3286" t="s">
        <v>3110</v>
      </c>
    </row>
    <row r="41" spans="1:47">
      <c r="A41" s="3286" t="s">
        <v>3294</v>
      </c>
      <c r="B41" s="3286" t="s">
        <v>3063</v>
      </c>
      <c r="C41" s="3286" t="s">
        <v>3064</v>
      </c>
      <c r="D41" s="3286" t="s">
        <v>3065</v>
      </c>
      <c r="E41" s="3286" t="s">
        <v>3219</v>
      </c>
      <c r="F41" s="3286" t="s">
        <v>3294</v>
      </c>
      <c r="G41" s="3286" t="s">
        <v>3294</v>
      </c>
      <c r="H41" s="3286">
        <v>64228</v>
      </c>
      <c r="I41" s="3286">
        <v>138090.20000000001</v>
      </c>
      <c r="J41" s="3286" t="s">
        <v>3288</v>
      </c>
      <c r="K41" s="3286" t="s">
        <v>3069</v>
      </c>
      <c r="L41" s="3286" t="s">
        <v>3186</v>
      </c>
      <c r="M41" s="3286">
        <v>0</v>
      </c>
      <c r="N41" s="3286" t="s">
        <v>2797</v>
      </c>
      <c r="O41" s="3286" t="s">
        <v>3280</v>
      </c>
      <c r="P41" s="3286" t="s">
        <v>3289</v>
      </c>
      <c r="Q41" s="3286" t="s">
        <v>2797</v>
      </c>
      <c r="R41" s="3286" t="s">
        <v>2797</v>
      </c>
      <c r="S41" s="3286" t="s">
        <v>2797</v>
      </c>
      <c r="T41" s="3286" t="s">
        <v>2797</v>
      </c>
      <c r="U41" s="3286" t="s">
        <v>2797</v>
      </c>
      <c r="V41" s="3286" t="s">
        <v>2797</v>
      </c>
      <c r="W41" s="3286" t="s">
        <v>2797</v>
      </c>
      <c r="X41" s="3286" t="s">
        <v>3188</v>
      </c>
      <c r="Y41" s="3286" t="s">
        <v>3290</v>
      </c>
      <c r="Z41" s="3286" t="s">
        <v>3291</v>
      </c>
      <c r="AA41" s="3286" t="s">
        <v>3291</v>
      </c>
      <c r="AB41" s="3286" t="s">
        <v>3291</v>
      </c>
      <c r="AC41" s="3286" t="s">
        <v>3295</v>
      </c>
      <c r="AD41" s="3286" t="s">
        <v>3076</v>
      </c>
      <c r="AE41" s="3286" t="s">
        <v>3293</v>
      </c>
      <c r="AF41" s="3286" t="s">
        <v>2797</v>
      </c>
      <c r="AG41" s="3286">
        <v>8174</v>
      </c>
      <c r="AH41" s="3286">
        <v>40868</v>
      </c>
      <c r="AI41" s="3286">
        <v>49968</v>
      </c>
      <c r="AJ41" s="3286">
        <v>424.2</v>
      </c>
      <c r="AK41" s="3286">
        <v>518.65</v>
      </c>
      <c r="AL41" s="3286">
        <v>2959.51</v>
      </c>
      <c r="AM41" s="3286">
        <v>3618.5</v>
      </c>
      <c r="AN41" s="3286" t="s">
        <v>2797</v>
      </c>
      <c r="AO41" s="3286" t="s">
        <v>2797</v>
      </c>
      <c r="AP41" s="3286">
        <v>22.27</v>
      </c>
      <c r="AQ41" s="3286" t="s">
        <v>3178</v>
      </c>
      <c r="AR41" s="3286" t="s">
        <v>2797</v>
      </c>
      <c r="AS41" s="3286" t="s">
        <v>2797</v>
      </c>
      <c r="AT41" s="3286" t="s">
        <v>2797</v>
      </c>
      <c r="AU41" s="3286" t="s">
        <v>3110</v>
      </c>
    </row>
    <row r="42" spans="1:47">
      <c r="A42" s="3286" t="s">
        <v>3296</v>
      </c>
      <c r="B42" s="3286" t="s">
        <v>3063</v>
      </c>
      <c r="C42" s="3286" t="s">
        <v>3120</v>
      </c>
      <c r="D42" s="3286" t="s">
        <v>3065</v>
      </c>
      <c r="E42" s="3286" t="s">
        <v>3297</v>
      </c>
      <c r="F42" s="3286" t="s">
        <v>3296</v>
      </c>
      <c r="G42" s="3286" t="s">
        <v>3296</v>
      </c>
      <c r="H42" s="3286">
        <v>45013</v>
      </c>
      <c r="I42" s="3286">
        <v>112532.5</v>
      </c>
      <c r="J42" s="3286" t="s">
        <v>3298</v>
      </c>
      <c r="K42" s="3286" t="s">
        <v>3069</v>
      </c>
      <c r="L42" s="3286" t="s">
        <v>3299</v>
      </c>
      <c r="M42" s="3286">
        <v>0</v>
      </c>
      <c r="N42" s="3286" t="s">
        <v>2797</v>
      </c>
      <c r="O42" s="3286" t="s">
        <v>3300</v>
      </c>
      <c r="P42" s="3286" t="s">
        <v>2797</v>
      </c>
      <c r="Q42" s="3286" t="s">
        <v>2797</v>
      </c>
      <c r="R42" s="3286" t="s">
        <v>2797</v>
      </c>
      <c r="S42" s="3286" t="s">
        <v>2797</v>
      </c>
      <c r="T42" s="3286" t="s">
        <v>2797</v>
      </c>
      <c r="U42" s="3286" t="s">
        <v>3093</v>
      </c>
      <c r="V42" s="3286" t="s">
        <v>2797</v>
      </c>
      <c r="W42" s="3286" t="s">
        <v>2797</v>
      </c>
      <c r="X42" s="3286" t="s">
        <v>3188</v>
      </c>
      <c r="Y42" s="3286" t="s">
        <v>3301</v>
      </c>
      <c r="Z42" s="3286" t="s">
        <v>3302</v>
      </c>
      <c r="AA42" s="3286" t="s">
        <v>3302</v>
      </c>
      <c r="AB42" s="3286" t="s">
        <v>3302</v>
      </c>
      <c r="AC42" s="3286" t="s">
        <v>3303</v>
      </c>
      <c r="AD42" s="3286" t="s">
        <v>3076</v>
      </c>
      <c r="AE42" s="3286" t="s">
        <v>3277</v>
      </c>
      <c r="AF42" s="3286" t="s">
        <v>2797</v>
      </c>
      <c r="AG42" s="3286">
        <v>4200</v>
      </c>
      <c r="AH42" s="3286">
        <v>13900</v>
      </c>
      <c r="AI42" s="3286">
        <v>13900</v>
      </c>
      <c r="AJ42" s="3286">
        <v>205.87</v>
      </c>
      <c r="AK42" s="3286">
        <v>205.87</v>
      </c>
      <c r="AL42" s="3286">
        <v>1235.19</v>
      </c>
      <c r="AM42" s="3286">
        <v>1235.2</v>
      </c>
      <c r="AN42" s="3286" t="s">
        <v>2797</v>
      </c>
      <c r="AO42" s="3286" t="s">
        <v>2797</v>
      </c>
      <c r="AP42" s="3286">
        <v>0</v>
      </c>
      <c r="AQ42" s="3286" t="s">
        <v>3304</v>
      </c>
      <c r="AR42" s="3286" t="s">
        <v>2797</v>
      </c>
      <c r="AS42" s="3286" t="s">
        <v>2797</v>
      </c>
      <c r="AT42" s="3286" t="s">
        <v>2797</v>
      </c>
      <c r="AU42" s="3286" t="s">
        <v>3079</v>
      </c>
    </row>
    <row r="43" spans="1:47">
      <c r="A43" s="3286" t="s">
        <v>3305</v>
      </c>
      <c r="B43" s="3286" t="s">
        <v>3063</v>
      </c>
      <c r="C43" s="3286" t="s">
        <v>3064</v>
      </c>
      <c r="D43" s="3286" t="s">
        <v>3065</v>
      </c>
      <c r="E43" s="3286" t="s">
        <v>3297</v>
      </c>
      <c r="F43" s="3286" t="s">
        <v>3305</v>
      </c>
      <c r="G43" s="3286" t="s">
        <v>3305</v>
      </c>
      <c r="H43" s="3286">
        <v>43349</v>
      </c>
      <c r="I43" s="3286">
        <v>108372.5</v>
      </c>
      <c r="J43" s="3286" t="s">
        <v>3298</v>
      </c>
      <c r="K43" s="3286" t="s">
        <v>3069</v>
      </c>
      <c r="L43" s="3286" t="s">
        <v>3186</v>
      </c>
      <c r="M43" s="3286">
        <v>0</v>
      </c>
      <c r="N43" s="3286" t="s">
        <v>2797</v>
      </c>
      <c r="O43" s="3286" t="s">
        <v>3280</v>
      </c>
      <c r="P43" s="3286" t="s">
        <v>3306</v>
      </c>
      <c r="Q43" s="3286" t="s">
        <v>2797</v>
      </c>
      <c r="R43" s="3286" t="s">
        <v>2797</v>
      </c>
      <c r="S43" s="3286" t="s">
        <v>2797</v>
      </c>
      <c r="T43" s="3286" t="s">
        <v>2797</v>
      </c>
      <c r="U43" s="3286" t="s">
        <v>2797</v>
      </c>
      <c r="V43" s="3286" t="s">
        <v>2797</v>
      </c>
      <c r="W43" s="3286" t="s">
        <v>2797</v>
      </c>
      <c r="X43" s="3286" t="s">
        <v>3188</v>
      </c>
      <c r="Y43" s="3286" t="s">
        <v>3307</v>
      </c>
      <c r="Z43" s="3286" t="s">
        <v>3301</v>
      </c>
      <c r="AA43" s="3286" t="s">
        <v>3301</v>
      </c>
      <c r="AB43" s="3286" t="s">
        <v>3301</v>
      </c>
      <c r="AC43" s="3286" t="s">
        <v>3308</v>
      </c>
      <c r="AD43" s="3286" t="s">
        <v>3076</v>
      </c>
      <c r="AE43" s="3286" t="s">
        <v>3277</v>
      </c>
      <c r="AF43" s="3286" t="s">
        <v>2797</v>
      </c>
      <c r="AG43" s="3286">
        <v>4020</v>
      </c>
      <c r="AH43" s="3286">
        <v>13400</v>
      </c>
      <c r="AI43" s="3286">
        <v>13400</v>
      </c>
      <c r="AJ43" s="3286">
        <v>206.08</v>
      </c>
      <c r="AK43" s="3286">
        <v>206.08</v>
      </c>
      <c r="AL43" s="3286">
        <v>1236.47</v>
      </c>
      <c r="AM43" s="3286">
        <v>1236.48</v>
      </c>
      <c r="AN43" s="3286" t="s">
        <v>2797</v>
      </c>
      <c r="AO43" s="3286" t="s">
        <v>2797</v>
      </c>
      <c r="AP43" s="3286">
        <v>0</v>
      </c>
      <c r="AQ43" s="3286" t="s">
        <v>3178</v>
      </c>
      <c r="AR43" s="3286" t="s">
        <v>2797</v>
      </c>
      <c r="AS43" s="3286" t="s">
        <v>2797</v>
      </c>
      <c r="AT43" s="3286" t="s">
        <v>2797</v>
      </c>
      <c r="AU43" s="3286" t="s">
        <v>3079</v>
      </c>
    </row>
    <row r="44" spans="1:47">
      <c r="A44" s="3286" t="s">
        <v>3309</v>
      </c>
      <c r="B44" s="3286" t="s">
        <v>3063</v>
      </c>
      <c r="C44" s="3286" t="s">
        <v>3064</v>
      </c>
      <c r="D44" s="3286" t="s">
        <v>3065</v>
      </c>
      <c r="E44" s="3286" t="s">
        <v>3081</v>
      </c>
      <c r="F44" s="3286" t="s">
        <v>3309</v>
      </c>
      <c r="G44" s="3286" t="s">
        <v>3310</v>
      </c>
      <c r="H44" s="3286">
        <v>998</v>
      </c>
      <c r="I44" s="3286">
        <v>2245.5</v>
      </c>
      <c r="J44" s="3286" t="s">
        <v>3311</v>
      </c>
      <c r="K44" s="3286" t="s">
        <v>3069</v>
      </c>
      <c r="L44" s="3286" t="s">
        <v>3312</v>
      </c>
      <c r="M44" s="3286">
        <v>0</v>
      </c>
      <c r="N44" s="3286" t="s">
        <v>2797</v>
      </c>
      <c r="O44" s="3286" t="s">
        <v>3313</v>
      </c>
      <c r="P44" s="3286" t="s">
        <v>3314</v>
      </c>
      <c r="Q44" s="3286" t="s">
        <v>2797</v>
      </c>
      <c r="R44" s="3286" t="s">
        <v>2797</v>
      </c>
      <c r="S44" s="3286" t="s">
        <v>2797</v>
      </c>
      <c r="T44" s="3286" t="s">
        <v>2797</v>
      </c>
      <c r="U44" s="3286" t="s">
        <v>2797</v>
      </c>
      <c r="V44" s="3286" t="s">
        <v>2797</v>
      </c>
      <c r="W44" s="3286" t="s">
        <v>2797</v>
      </c>
      <c r="X44" s="3286" t="s">
        <v>3188</v>
      </c>
      <c r="Y44" s="3286" t="s">
        <v>3315</v>
      </c>
      <c r="Z44" s="3286" t="s">
        <v>3316</v>
      </c>
      <c r="AA44" s="3286" t="s">
        <v>3316</v>
      </c>
      <c r="AB44" s="3286" t="s">
        <v>3316</v>
      </c>
      <c r="AC44" s="3286" t="s">
        <v>3317</v>
      </c>
      <c r="AD44" s="3286" t="s">
        <v>3076</v>
      </c>
      <c r="AE44" s="3286" t="s">
        <v>3318</v>
      </c>
      <c r="AF44" s="3286" t="s">
        <v>2797</v>
      </c>
      <c r="AG44" s="3286">
        <v>270</v>
      </c>
      <c r="AH44" s="3286">
        <v>900</v>
      </c>
      <c r="AI44" s="3286">
        <v>900</v>
      </c>
      <c r="AJ44" s="3286">
        <v>601.20000000000005</v>
      </c>
      <c r="AK44" s="3286">
        <v>601.20000000000005</v>
      </c>
      <c r="AL44" s="3286">
        <v>4008.01</v>
      </c>
      <c r="AM44" s="3286">
        <v>4008.01</v>
      </c>
      <c r="AN44" s="3286" t="s">
        <v>2797</v>
      </c>
      <c r="AO44" s="3286" t="s">
        <v>2797</v>
      </c>
      <c r="AP44" s="3286">
        <v>0</v>
      </c>
      <c r="AQ44" s="3286" t="s">
        <v>3178</v>
      </c>
      <c r="AR44" s="3286" t="s">
        <v>2797</v>
      </c>
      <c r="AS44" s="3286" t="s">
        <v>2797</v>
      </c>
      <c r="AT44" s="3286" t="s">
        <v>2797</v>
      </c>
      <c r="AU44" s="3286" t="s">
        <v>3088</v>
      </c>
    </row>
    <row r="45" spans="1:47">
      <c r="A45" s="3286" t="s">
        <v>3319</v>
      </c>
      <c r="B45" s="3286" t="s">
        <v>3063</v>
      </c>
      <c r="C45" s="3286" t="s">
        <v>3064</v>
      </c>
      <c r="D45" s="3286" t="s">
        <v>3065</v>
      </c>
      <c r="E45" s="3286" t="s">
        <v>3150</v>
      </c>
      <c r="F45" s="3286" t="s">
        <v>3319</v>
      </c>
      <c r="G45" s="3286" t="s">
        <v>3320</v>
      </c>
      <c r="H45" s="3286">
        <v>41966</v>
      </c>
      <c r="I45" s="3286">
        <v>67145.600000000006</v>
      </c>
      <c r="J45" s="3286" t="s">
        <v>3321</v>
      </c>
      <c r="K45" s="3286" t="s">
        <v>3069</v>
      </c>
      <c r="L45" s="3286" t="s">
        <v>3312</v>
      </c>
      <c r="M45" s="3286">
        <v>0</v>
      </c>
      <c r="N45" s="3286" t="s">
        <v>2797</v>
      </c>
      <c r="O45" s="3286" t="s">
        <v>3322</v>
      </c>
      <c r="P45" s="3286" t="s">
        <v>3323</v>
      </c>
      <c r="Q45" s="3286" t="s">
        <v>2797</v>
      </c>
      <c r="R45" s="3286" t="s">
        <v>2797</v>
      </c>
      <c r="S45" s="3286" t="s">
        <v>2797</v>
      </c>
      <c r="T45" s="3286" t="s">
        <v>2797</v>
      </c>
      <c r="U45" s="3286" t="s">
        <v>2797</v>
      </c>
      <c r="V45" s="3286" t="s">
        <v>2797</v>
      </c>
      <c r="W45" s="3286" t="s">
        <v>2797</v>
      </c>
      <c r="X45" s="3286" t="s">
        <v>3188</v>
      </c>
      <c r="Y45" s="3286" t="s">
        <v>3324</v>
      </c>
      <c r="Z45" s="3286" t="s">
        <v>3325</v>
      </c>
      <c r="AA45" s="3286" t="s">
        <v>3325</v>
      </c>
      <c r="AB45" s="3286" t="s">
        <v>3325</v>
      </c>
      <c r="AC45" s="3286" t="s">
        <v>3326</v>
      </c>
      <c r="AD45" s="3286" t="s">
        <v>3076</v>
      </c>
      <c r="AE45" s="3286" t="s">
        <v>3265</v>
      </c>
      <c r="AF45" s="3286" t="s">
        <v>2797</v>
      </c>
      <c r="AG45" s="3286">
        <v>4800</v>
      </c>
      <c r="AH45" s="3286">
        <v>9590</v>
      </c>
      <c r="AI45" s="3286">
        <v>9590</v>
      </c>
      <c r="AJ45" s="3286">
        <v>152.35</v>
      </c>
      <c r="AK45" s="3286">
        <v>152.35</v>
      </c>
      <c r="AL45" s="3286">
        <v>1428.23</v>
      </c>
      <c r="AM45" s="3286">
        <v>1428.24</v>
      </c>
      <c r="AN45" s="3286" t="s">
        <v>2797</v>
      </c>
      <c r="AO45" s="3286" t="s">
        <v>2797</v>
      </c>
      <c r="AP45" s="3286">
        <v>0</v>
      </c>
      <c r="AQ45" s="3286" t="s">
        <v>3178</v>
      </c>
      <c r="AR45" s="3286" t="s">
        <v>2797</v>
      </c>
      <c r="AS45" s="3286" t="s">
        <v>2797</v>
      </c>
      <c r="AT45" s="3286" t="s">
        <v>2797</v>
      </c>
      <c r="AU45" s="3286" t="s">
        <v>3079</v>
      </c>
    </row>
    <row r="46" spans="1:47">
      <c r="A46" s="3286" t="s">
        <v>3319</v>
      </c>
      <c r="B46" s="3286" t="s">
        <v>3063</v>
      </c>
      <c r="C46" s="3286" t="s">
        <v>3064</v>
      </c>
      <c r="D46" s="3286" t="s">
        <v>3065</v>
      </c>
      <c r="E46" s="3286" t="s">
        <v>3150</v>
      </c>
      <c r="F46" s="3286" t="s">
        <v>3319</v>
      </c>
      <c r="G46" s="3286" t="s">
        <v>3327</v>
      </c>
      <c r="H46" s="3286">
        <v>36965</v>
      </c>
      <c r="I46" s="3286">
        <v>59144</v>
      </c>
      <c r="J46" s="3286" t="s">
        <v>3321</v>
      </c>
      <c r="K46" s="3286" t="s">
        <v>3069</v>
      </c>
      <c r="L46" s="3286" t="s">
        <v>3312</v>
      </c>
      <c r="M46" s="3286">
        <v>0</v>
      </c>
      <c r="N46" s="3286" t="s">
        <v>2797</v>
      </c>
      <c r="O46" s="3286" t="s">
        <v>3322</v>
      </c>
      <c r="P46" s="3286" t="s">
        <v>3323</v>
      </c>
      <c r="Q46" s="3286" t="s">
        <v>2797</v>
      </c>
      <c r="R46" s="3286" t="s">
        <v>2797</v>
      </c>
      <c r="S46" s="3286" t="s">
        <v>2797</v>
      </c>
      <c r="T46" s="3286" t="s">
        <v>2797</v>
      </c>
      <c r="U46" s="3286" t="s">
        <v>2797</v>
      </c>
      <c r="V46" s="3286" t="s">
        <v>2797</v>
      </c>
      <c r="W46" s="3286" t="s">
        <v>2797</v>
      </c>
      <c r="X46" s="3286" t="s">
        <v>3188</v>
      </c>
      <c r="Y46" s="3286" t="s">
        <v>3324</v>
      </c>
      <c r="Z46" s="3286" t="s">
        <v>3325</v>
      </c>
      <c r="AA46" s="3286" t="s">
        <v>3325</v>
      </c>
      <c r="AB46" s="3286" t="s">
        <v>3325</v>
      </c>
      <c r="AC46" s="3286" t="s">
        <v>3328</v>
      </c>
      <c r="AD46" s="3286" t="s">
        <v>3076</v>
      </c>
      <c r="AE46" s="3286" t="s">
        <v>3265</v>
      </c>
      <c r="AF46" s="3286" t="s">
        <v>2797</v>
      </c>
      <c r="AG46" s="3286">
        <v>4500</v>
      </c>
      <c r="AH46" s="3286">
        <v>8450</v>
      </c>
      <c r="AI46" s="3286">
        <v>8450</v>
      </c>
      <c r="AJ46" s="3286">
        <v>152.4</v>
      </c>
      <c r="AK46" s="3286">
        <v>152.4</v>
      </c>
      <c r="AL46" s="3286">
        <v>1428.71</v>
      </c>
      <c r="AM46" s="3286">
        <v>1428.72</v>
      </c>
      <c r="AN46" s="3286" t="s">
        <v>2797</v>
      </c>
      <c r="AO46" s="3286" t="s">
        <v>2797</v>
      </c>
      <c r="AP46" s="3286">
        <v>0</v>
      </c>
      <c r="AQ46" s="3286" t="s">
        <v>3178</v>
      </c>
      <c r="AR46" s="3286" t="s">
        <v>2797</v>
      </c>
      <c r="AS46" s="3286" t="s">
        <v>2797</v>
      </c>
      <c r="AT46" s="3286" t="s">
        <v>2797</v>
      </c>
      <c r="AU46" s="3286" t="s">
        <v>3079</v>
      </c>
    </row>
    <row r="47" spans="1:47">
      <c r="A47" s="3286" t="s">
        <v>3329</v>
      </c>
      <c r="B47" s="3286" t="s">
        <v>3063</v>
      </c>
      <c r="C47" s="3286" t="s">
        <v>3064</v>
      </c>
      <c r="D47" s="3286" t="s">
        <v>3065</v>
      </c>
      <c r="E47" s="3286" t="s">
        <v>3150</v>
      </c>
      <c r="F47" s="3286" t="s">
        <v>3329</v>
      </c>
      <c r="G47" s="3286" t="s">
        <v>3330</v>
      </c>
      <c r="H47" s="3286">
        <v>1505</v>
      </c>
      <c r="I47" s="3286">
        <v>2257.5</v>
      </c>
      <c r="J47" s="3286" t="s">
        <v>3331</v>
      </c>
      <c r="K47" s="3286" t="s">
        <v>3069</v>
      </c>
      <c r="L47" s="3286" t="s">
        <v>3312</v>
      </c>
      <c r="M47" s="3286">
        <v>0</v>
      </c>
      <c r="N47" s="3286" t="s">
        <v>2797</v>
      </c>
      <c r="O47" s="3286" t="s">
        <v>3332</v>
      </c>
      <c r="P47" s="3286" t="s">
        <v>3323</v>
      </c>
      <c r="Q47" s="3286" t="s">
        <v>2797</v>
      </c>
      <c r="R47" s="3286" t="s">
        <v>2797</v>
      </c>
      <c r="S47" s="3286" t="s">
        <v>2797</v>
      </c>
      <c r="T47" s="3286" t="s">
        <v>2797</v>
      </c>
      <c r="U47" s="3286" t="s">
        <v>2797</v>
      </c>
      <c r="V47" s="3286" t="s">
        <v>2797</v>
      </c>
      <c r="W47" s="3286" t="s">
        <v>2797</v>
      </c>
      <c r="X47" s="3286" t="s">
        <v>3188</v>
      </c>
      <c r="Y47" s="3286" t="s">
        <v>3333</v>
      </c>
      <c r="Z47" s="3286" t="s">
        <v>3334</v>
      </c>
      <c r="AA47" s="3286" t="s">
        <v>3334</v>
      </c>
      <c r="AB47" s="3286" t="s">
        <v>3334</v>
      </c>
      <c r="AC47" s="3286" t="s">
        <v>3335</v>
      </c>
      <c r="AD47" s="3286" t="s">
        <v>3076</v>
      </c>
      <c r="AE47" s="3286" t="s">
        <v>3156</v>
      </c>
      <c r="AF47" s="3286" t="s">
        <v>2797</v>
      </c>
      <c r="AG47" s="3286">
        <v>225</v>
      </c>
      <c r="AH47" s="3286">
        <v>450</v>
      </c>
      <c r="AI47" s="3286">
        <v>450</v>
      </c>
      <c r="AJ47" s="3286">
        <v>199.34</v>
      </c>
      <c r="AK47" s="3286">
        <v>199.34</v>
      </c>
      <c r="AL47" s="3286">
        <v>1993.35</v>
      </c>
      <c r="AM47" s="3286">
        <v>1993.35</v>
      </c>
      <c r="AN47" s="3286" t="s">
        <v>2797</v>
      </c>
      <c r="AO47" s="3286" t="s">
        <v>2797</v>
      </c>
      <c r="AP47" s="3286">
        <v>0</v>
      </c>
      <c r="AQ47" s="3286" t="s">
        <v>3178</v>
      </c>
      <c r="AR47" s="3286" t="s">
        <v>2797</v>
      </c>
      <c r="AS47" s="3286" t="s">
        <v>2797</v>
      </c>
      <c r="AT47" s="3286" t="s">
        <v>2797</v>
      </c>
      <c r="AU47" s="3286" t="s">
        <v>3110</v>
      </c>
    </row>
    <row r="48" spans="1:47">
      <c r="A48" s="3286" t="s">
        <v>3336</v>
      </c>
      <c r="B48" s="3286" t="s">
        <v>3063</v>
      </c>
      <c r="C48" s="3286" t="s">
        <v>3064</v>
      </c>
      <c r="D48" s="3286" t="s">
        <v>3065</v>
      </c>
      <c r="E48" s="3286" t="s">
        <v>3150</v>
      </c>
      <c r="F48" s="3286" t="s">
        <v>3336</v>
      </c>
      <c r="G48" s="3286" t="s">
        <v>3337</v>
      </c>
      <c r="H48" s="3286">
        <v>12212</v>
      </c>
      <c r="I48" s="3286">
        <v>21981.599999999999</v>
      </c>
      <c r="J48" s="3286" t="s">
        <v>3338</v>
      </c>
      <c r="K48" s="3286" t="s">
        <v>3069</v>
      </c>
      <c r="L48" s="3286" t="s">
        <v>3312</v>
      </c>
      <c r="M48" s="3286">
        <v>0</v>
      </c>
      <c r="N48" s="3286" t="s">
        <v>2797</v>
      </c>
      <c r="O48" s="3286" t="s">
        <v>3313</v>
      </c>
      <c r="P48" s="3286" t="s">
        <v>3306</v>
      </c>
      <c r="Q48" s="3286" t="s">
        <v>2797</v>
      </c>
      <c r="R48" s="3286" t="s">
        <v>2797</v>
      </c>
      <c r="S48" s="3286" t="s">
        <v>2797</v>
      </c>
      <c r="T48" s="3286" t="s">
        <v>2797</v>
      </c>
      <c r="U48" s="3286" t="s">
        <v>2797</v>
      </c>
      <c r="V48" s="3286" t="s">
        <v>2797</v>
      </c>
      <c r="W48" s="3286" t="s">
        <v>2797</v>
      </c>
      <c r="X48" s="3286" t="s">
        <v>3188</v>
      </c>
      <c r="Y48" s="3286" t="s">
        <v>3333</v>
      </c>
      <c r="Z48" s="3286" t="s">
        <v>3334</v>
      </c>
      <c r="AA48" s="3286" t="s">
        <v>3334</v>
      </c>
      <c r="AB48" s="3286" t="s">
        <v>3334</v>
      </c>
      <c r="AC48" s="3286" t="s">
        <v>3339</v>
      </c>
      <c r="AD48" s="3286" t="s">
        <v>3076</v>
      </c>
      <c r="AE48" s="3286" t="s">
        <v>3156</v>
      </c>
      <c r="AF48" s="3286" t="s">
        <v>2797</v>
      </c>
      <c r="AG48" s="3286">
        <v>1400</v>
      </c>
      <c r="AH48" s="3286">
        <v>2800</v>
      </c>
      <c r="AI48" s="3286">
        <v>2800</v>
      </c>
      <c r="AJ48" s="3286">
        <v>152.86000000000001</v>
      </c>
      <c r="AK48" s="3286">
        <v>152.86000000000001</v>
      </c>
      <c r="AL48" s="3286">
        <v>1273.79</v>
      </c>
      <c r="AM48" s="3286">
        <v>1273.78</v>
      </c>
      <c r="AN48" s="3286" t="s">
        <v>2797</v>
      </c>
      <c r="AO48" s="3286" t="s">
        <v>2797</v>
      </c>
      <c r="AP48" s="3286">
        <v>0</v>
      </c>
      <c r="AQ48" s="3286" t="s">
        <v>3178</v>
      </c>
      <c r="AR48" s="3286" t="s">
        <v>2797</v>
      </c>
      <c r="AS48" s="3286" t="s">
        <v>2797</v>
      </c>
      <c r="AT48" s="3286" t="s">
        <v>2797</v>
      </c>
      <c r="AU48" s="3286" t="s">
        <v>3110</v>
      </c>
    </row>
    <row r="49" spans="1:47" hidden="1">
      <c r="A49" s="3286" t="s">
        <v>3340</v>
      </c>
      <c r="B49" s="3286" t="s">
        <v>3063</v>
      </c>
      <c r="C49" s="3286" t="s">
        <v>3064</v>
      </c>
      <c r="D49" s="3286" t="s">
        <v>3065</v>
      </c>
      <c r="E49" s="3286" t="s">
        <v>3219</v>
      </c>
      <c r="F49" s="3286" t="s">
        <v>3340</v>
      </c>
      <c r="G49" s="3286" t="s">
        <v>3341</v>
      </c>
      <c r="H49" s="3286">
        <v>3065</v>
      </c>
      <c r="I49" s="3286">
        <v>3218.25</v>
      </c>
      <c r="J49" s="3286" t="s">
        <v>3342</v>
      </c>
      <c r="K49" s="3286" t="s">
        <v>3069</v>
      </c>
      <c r="L49" s="3286" t="s">
        <v>3312</v>
      </c>
      <c r="M49" s="3286">
        <v>0</v>
      </c>
      <c r="N49" s="3286" t="s">
        <v>2797</v>
      </c>
      <c r="O49" s="3286" t="s">
        <v>3280</v>
      </c>
      <c r="P49" s="3286" t="s">
        <v>3343</v>
      </c>
      <c r="Q49" s="3286" t="s">
        <v>2797</v>
      </c>
      <c r="R49" s="3286" t="s">
        <v>2797</v>
      </c>
      <c r="S49" s="3286" t="s">
        <v>2797</v>
      </c>
      <c r="T49" s="3286" t="s">
        <v>2797</v>
      </c>
      <c r="U49" s="3286" t="s">
        <v>3093</v>
      </c>
      <c r="V49" s="3286" t="s">
        <v>2797</v>
      </c>
      <c r="W49" s="3286" t="s">
        <v>2797</v>
      </c>
      <c r="X49" s="3286" t="s">
        <v>3344</v>
      </c>
      <c r="Y49" s="3286" t="s">
        <v>3345</v>
      </c>
      <c r="Z49" s="3286" t="s">
        <v>3346</v>
      </c>
      <c r="AA49" s="3286" t="s">
        <v>3346</v>
      </c>
      <c r="AB49" s="3286" t="s">
        <v>3346</v>
      </c>
      <c r="AC49" s="3286" t="s">
        <v>3347</v>
      </c>
      <c r="AD49" s="3286" t="s">
        <v>3076</v>
      </c>
      <c r="AE49" s="3286" t="s">
        <v>3348</v>
      </c>
      <c r="AF49" s="3286" t="s">
        <v>2797</v>
      </c>
      <c r="AG49" s="3286">
        <v>380</v>
      </c>
      <c r="AH49" s="3286">
        <v>1900</v>
      </c>
      <c r="AI49" s="3286">
        <v>1900</v>
      </c>
      <c r="AJ49" s="3286">
        <v>413.27</v>
      </c>
      <c r="AK49" s="3286">
        <v>413.27</v>
      </c>
      <c r="AL49" s="3286">
        <v>5903.82</v>
      </c>
      <c r="AM49" s="3286">
        <v>5903.82</v>
      </c>
      <c r="AN49" s="3286" t="s">
        <v>2797</v>
      </c>
      <c r="AO49" s="3286" t="s">
        <v>2797</v>
      </c>
      <c r="AP49" s="3286">
        <v>0</v>
      </c>
      <c r="AQ49" s="3286" t="s">
        <v>3178</v>
      </c>
      <c r="AR49" s="3286" t="s">
        <v>2797</v>
      </c>
      <c r="AS49" s="3286" t="s">
        <v>2797</v>
      </c>
      <c r="AT49" s="3286" t="s">
        <v>2797</v>
      </c>
      <c r="AU49" s="3286" t="s">
        <v>3088</v>
      </c>
    </row>
    <row r="50" spans="1:47">
      <c r="A50" s="3286" t="s">
        <v>3349</v>
      </c>
      <c r="B50" s="3286" t="s">
        <v>3063</v>
      </c>
      <c r="C50" s="3286" t="s">
        <v>3064</v>
      </c>
      <c r="D50" s="3286" t="s">
        <v>3065</v>
      </c>
      <c r="E50" s="3286" t="s">
        <v>3219</v>
      </c>
      <c r="F50" s="3286" t="s">
        <v>3349</v>
      </c>
      <c r="G50" s="3286" t="s">
        <v>3350</v>
      </c>
      <c r="H50" s="3286">
        <v>50830</v>
      </c>
      <c r="I50" s="3286">
        <v>76245</v>
      </c>
      <c r="J50" s="3286" t="s">
        <v>3331</v>
      </c>
      <c r="K50" s="3286" t="s">
        <v>3069</v>
      </c>
      <c r="L50" s="3286" t="s">
        <v>3312</v>
      </c>
      <c r="M50" s="3286">
        <v>0</v>
      </c>
      <c r="N50" s="3286" t="s">
        <v>2797</v>
      </c>
      <c r="O50" s="3286" t="s">
        <v>3313</v>
      </c>
      <c r="P50" s="3286" t="s">
        <v>3351</v>
      </c>
      <c r="Q50" s="3286" t="s">
        <v>2797</v>
      </c>
      <c r="R50" s="3286" t="s">
        <v>2797</v>
      </c>
      <c r="S50" s="3286" t="s">
        <v>2797</v>
      </c>
      <c r="T50" s="3286" t="s">
        <v>2797</v>
      </c>
      <c r="U50" s="3286" t="s">
        <v>3093</v>
      </c>
      <c r="V50" s="3286" t="s">
        <v>2797</v>
      </c>
      <c r="W50" s="3286" t="s">
        <v>2797</v>
      </c>
      <c r="X50" s="3286" t="s">
        <v>3344</v>
      </c>
      <c r="Y50" s="3286" t="s">
        <v>3352</v>
      </c>
      <c r="Z50" s="3286" t="s">
        <v>3353</v>
      </c>
      <c r="AA50" s="3286" t="s">
        <v>3353</v>
      </c>
      <c r="AB50" s="3286" t="s">
        <v>3353</v>
      </c>
      <c r="AC50" s="3286" t="s">
        <v>3354</v>
      </c>
      <c r="AD50" s="3286" t="s">
        <v>3076</v>
      </c>
      <c r="AE50" s="3286" t="s">
        <v>3355</v>
      </c>
      <c r="AF50" s="3286" t="s">
        <v>3356</v>
      </c>
      <c r="AG50" s="3286">
        <v>13000</v>
      </c>
      <c r="AH50" s="3286">
        <v>19370</v>
      </c>
      <c r="AI50" s="3286">
        <v>19370</v>
      </c>
      <c r="AJ50" s="3286">
        <v>254.05</v>
      </c>
      <c r="AK50" s="3286">
        <v>254.05</v>
      </c>
      <c r="AL50" s="3286">
        <v>2540.4899999999998</v>
      </c>
      <c r="AM50" s="3286">
        <v>2540.48</v>
      </c>
      <c r="AN50" s="3286" t="s">
        <v>2797</v>
      </c>
      <c r="AO50" s="3286" t="s">
        <v>2797</v>
      </c>
      <c r="AP50" s="3286">
        <v>0</v>
      </c>
      <c r="AQ50" s="3286" t="s">
        <v>3178</v>
      </c>
      <c r="AR50" s="3286" t="s">
        <v>2797</v>
      </c>
      <c r="AS50" s="3286" t="s">
        <v>2797</v>
      </c>
      <c r="AT50" s="3286" t="s">
        <v>2797</v>
      </c>
      <c r="AU50" s="3286" t="s">
        <v>3079</v>
      </c>
    </row>
    <row r="51" spans="1:47">
      <c r="A51" s="3286" t="s">
        <v>3357</v>
      </c>
      <c r="B51" s="3286" t="s">
        <v>3063</v>
      </c>
      <c r="C51" s="3286" t="s">
        <v>3064</v>
      </c>
      <c r="D51" s="3286" t="s">
        <v>3065</v>
      </c>
      <c r="E51" s="3286" t="s">
        <v>3358</v>
      </c>
      <c r="F51" s="3286" t="s">
        <v>3357</v>
      </c>
      <c r="G51" s="3286" t="s">
        <v>3359</v>
      </c>
      <c r="H51" s="3286">
        <v>43584</v>
      </c>
      <c r="I51" s="3286">
        <v>65376</v>
      </c>
      <c r="J51" s="3286" t="s">
        <v>3331</v>
      </c>
      <c r="K51" s="3286" t="s">
        <v>3253</v>
      </c>
      <c r="L51" s="3286" t="s">
        <v>3312</v>
      </c>
      <c r="M51" s="3286">
        <v>0</v>
      </c>
      <c r="N51" s="3286" t="s">
        <v>2797</v>
      </c>
      <c r="O51" s="3286" t="s">
        <v>2797</v>
      </c>
      <c r="P51" s="3286" t="s">
        <v>2797</v>
      </c>
      <c r="Q51" s="3286" t="s">
        <v>2797</v>
      </c>
      <c r="R51" s="3286" t="s">
        <v>2797</v>
      </c>
      <c r="S51" s="3286" t="s">
        <v>2797</v>
      </c>
      <c r="T51" s="3286" t="s">
        <v>2797</v>
      </c>
      <c r="U51" s="3286" t="s">
        <v>2797</v>
      </c>
      <c r="V51" s="3286" t="s">
        <v>2797</v>
      </c>
      <c r="W51" s="3286" t="s">
        <v>2797</v>
      </c>
      <c r="X51" s="3286" t="s">
        <v>3344</v>
      </c>
      <c r="Y51" s="3286" t="s">
        <v>3360</v>
      </c>
      <c r="Z51" s="3286" t="s">
        <v>3361</v>
      </c>
      <c r="AA51" s="3286" t="s">
        <v>3362</v>
      </c>
      <c r="AB51" s="3286" t="s">
        <v>3362</v>
      </c>
      <c r="AC51" s="3286" t="s">
        <v>3363</v>
      </c>
      <c r="AD51" s="3286" t="s">
        <v>3076</v>
      </c>
      <c r="AE51" s="3286" t="s">
        <v>3364</v>
      </c>
      <c r="AF51" s="3286" t="s">
        <v>2797</v>
      </c>
      <c r="AG51" s="3286">
        <v>3269</v>
      </c>
      <c r="AH51" s="3286">
        <v>3269</v>
      </c>
      <c r="AI51" s="3286">
        <v>3289</v>
      </c>
      <c r="AJ51" s="3286">
        <v>50</v>
      </c>
      <c r="AK51" s="3286">
        <v>50.31</v>
      </c>
      <c r="AL51" s="3286">
        <v>500.03</v>
      </c>
      <c r="AM51" s="3286">
        <v>503.08</v>
      </c>
      <c r="AN51" s="3286" t="s">
        <v>2797</v>
      </c>
      <c r="AO51" s="3286" t="s">
        <v>2797</v>
      </c>
      <c r="AP51" s="3286">
        <v>0.61</v>
      </c>
      <c r="AQ51" s="3286" t="s">
        <v>3178</v>
      </c>
      <c r="AR51" s="3286" t="s">
        <v>2797</v>
      </c>
      <c r="AS51" s="3286" t="s">
        <v>2797</v>
      </c>
      <c r="AT51" s="3286" t="s">
        <v>2797</v>
      </c>
      <c r="AU51" s="3286" t="s">
        <v>3079</v>
      </c>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zoomScale="85" zoomScaleNormal="85" workbookViewId="0">
      <selection activeCell="A42" sqref="A42"/>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9" t="s">
        <v>2027</v>
      </c>
      <c r="B1" s="3299"/>
      <c r="C1" s="3299"/>
      <c r="D1" s="3299"/>
      <c r="E1" s="3299"/>
      <c r="F1" s="3299"/>
      <c r="G1" s="3299"/>
      <c r="H1" s="3299"/>
      <c r="I1" s="3299"/>
      <c r="J1" s="3299"/>
      <c r="K1" s="3299"/>
      <c r="L1" s="3299"/>
      <c r="M1" s="3299"/>
      <c r="N1" s="3299"/>
      <c r="O1" s="3299"/>
      <c r="P1" s="3299"/>
      <c r="Q1" s="3299"/>
      <c r="R1" s="3299"/>
    </row>
    <row r="2" spans="1:18">
      <c r="A2" s="1722" t="s">
        <v>2029</v>
      </c>
      <c r="B2" s="1722"/>
      <c r="C2" s="1722"/>
      <c r="D2" s="1722"/>
      <c r="E2" s="1722"/>
      <c r="F2" s="1722"/>
      <c r="G2" s="1722"/>
      <c r="H2" s="1722"/>
      <c r="I2" s="1723"/>
      <c r="J2" s="1723"/>
      <c r="K2" s="1724" t="str">
        <f>"估价期日："&amp;TEXT(项目基本情况!D3,"yyyy年m月d日;;")</f>
        <v>估价期日：2021年7月8日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00" t="s">
        <v>2018</v>
      </c>
      <c r="B3" s="3300" t="s">
        <v>2711</v>
      </c>
      <c r="C3" s="3301" t="s">
        <v>2019</v>
      </c>
      <c r="D3" s="3300" t="s">
        <v>2715</v>
      </c>
      <c r="E3" s="3303" t="s">
        <v>2020</v>
      </c>
      <c r="F3" s="3303"/>
      <c r="G3" s="3303"/>
      <c r="H3" s="3303" t="s">
        <v>2021</v>
      </c>
      <c r="I3" s="3303"/>
      <c r="J3" s="3303"/>
      <c r="K3" s="3301" t="s">
        <v>2022</v>
      </c>
      <c r="L3" s="3301" t="s">
        <v>2023</v>
      </c>
      <c r="M3" s="3300" t="s">
        <v>2712</v>
      </c>
      <c r="N3" s="3302" t="str">
        <f>"（分摊）"&amp;项目基本情况!B16&amp;"国有建设用地使用权面积/㎡"</f>
        <v>（分摊）出让国有建设用地使用权面积/㎡</v>
      </c>
      <c r="O3" s="3300" t="s">
        <v>2052</v>
      </c>
      <c r="P3" s="3301" t="s">
        <v>2032</v>
      </c>
      <c r="Q3" s="3301" t="s">
        <v>2053</v>
      </c>
      <c r="R3" s="3301" t="s">
        <v>2024</v>
      </c>
    </row>
    <row r="4" spans="1:18" ht="36.75" customHeight="1">
      <c r="A4" s="3300"/>
      <c r="B4" s="3300"/>
      <c r="C4" s="3301"/>
      <c r="D4" s="3300"/>
      <c r="E4" s="2491" t="s">
        <v>2031</v>
      </c>
      <c r="F4" s="2491" t="s">
        <v>2724</v>
      </c>
      <c r="G4" s="2491" t="s">
        <v>2025</v>
      </c>
      <c r="H4" s="2491" t="s">
        <v>2026</v>
      </c>
      <c r="I4" s="2491" t="s">
        <v>2725</v>
      </c>
      <c r="J4" s="2491" t="s">
        <v>2025</v>
      </c>
      <c r="K4" s="3301"/>
      <c r="L4" s="3301"/>
      <c r="M4" s="3300"/>
      <c r="N4" s="3302"/>
      <c r="O4" s="3300"/>
      <c r="P4" s="3301"/>
      <c r="Q4" s="3301"/>
      <c r="R4" s="3301"/>
    </row>
    <row r="5" spans="1:18" ht="135" customHeight="1">
      <c r="A5" s="1857" t="s">
        <v>2635</v>
      </c>
      <c r="B5" s="2584" t="s">
        <v>2633</v>
      </c>
      <c r="C5" s="2490">
        <v>22</v>
      </c>
      <c r="D5" s="2489" t="s">
        <v>2634</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45034</v>
      </c>
      <c r="O5" s="1725">
        <f>项目基本情况!C21</f>
        <v>88976</v>
      </c>
      <c r="P5" s="1725">
        <f ca="1">结果表!E42</f>
        <v>10246</v>
      </c>
      <c r="Q5" s="1725">
        <f ca="1">结果表!D42</f>
        <v>5186</v>
      </c>
      <c r="R5" s="1726">
        <f ca="1">结果表!C42</f>
        <v>46140</v>
      </c>
    </row>
    <row r="6" spans="1:18">
      <c r="A6" s="3296" t="str">
        <f>IF(项目基本情况!B9="市场价格","——","抵押价格")</f>
        <v>抵押价格</v>
      </c>
      <c r="B6" s="3297"/>
      <c r="C6" s="3297"/>
      <c r="D6" s="3297"/>
      <c r="E6" s="3297"/>
      <c r="F6" s="3297"/>
      <c r="G6" s="3297"/>
      <c r="H6" s="3297"/>
      <c r="I6" s="3297"/>
      <c r="J6" s="3297"/>
      <c r="K6" s="3297"/>
      <c r="L6" s="3297"/>
      <c r="M6" s="3297"/>
      <c r="N6" s="3297"/>
      <c r="O6" s="3297"/>
      <c r="P6" s="3297"/>
      <c r="Q6" s="3298"/>
      <c r="R6" s="1727" t="str">
        <f>结果表!O39</f>
        <v>——</v>
      </c>
    </row>
    <row r="7" spans="1:18">
      <c r="A7" s="3296" t="str">
        <f>IF(项目基本情况!B9="市场价格","——",IF(项目基本情况!E8="已注销及未注销","抵押担保权已注销时的抵押价格","——"))</f>
        <v>——</v>
      </c>
      <c r="B7" s="3297"/>
      <c r="C7" s="3297"/>
      <c r="D7" s="3297"/>
      <c r="E7" s="3297"/>
      <c r="F7" s="3297"/>
      <c r="G7" s="3297"/>
      <c r="H7" s="3297"/>
      <c r="I7" s="3297"/>
      <c r="J7" s="3297"/>
      <c r="K7" s="3297"/>
      <c r="L7" s="3297"/>
      <c r="M7" s="3297"/>
      <c r="N7" s="3297"/>
      <c r="O7" s="3297"/>
      <c r="P7" s="3297"/>
      <c r="Q7" s="3298"/>
      <c r="R7" s="1727">
        <f ca="1">结果表!O40</f>
        <v>46140</v>
      </c>
    </row>
    <row r="8" spans="1:18">
      <c r="A8" s="3296">
        <f>IF(项目基本情况!B9="市场价格","——",项目基本情况!E9)</f>
        <v>0</v>
      </c>
      <c r="B8" s="3297"/>
      <c r="C8" s="3297"/>
      <c r="D8" s="3297"/>
      <c r="E8" s="3297"/>
      <c r="F8" s="3297"/>
      <c r="G8" s="3297"/>
      <c r="H8" s="3297"/>
      <c r="I8" s="3297"/>
      <c r="J8" s="3297"/>
      <c r="K8" s="3297"/>
      <c r="L8" s="3297"/>
      <c r="M8" s="3297"/>
      <c r="N8" s="3297"/>
      <c r="O8" s="3297"/>
      <c r="P8" s="3297"/>
      <c r="Q8" s="3298"/>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04" t="s">
        <v>2054</v>
      </c>
      <c r="B1" s="3304"/>
      <c r="C1" s="3304"/>
      <c r="D1" s="3304"/>
    </row>
    <row r="2" spans="1:4" ht="47.25" customHeight="1">
      <c r="A2" s="3308" t="str">
        <f>"1.权利限制："&amp;项目基本情况!L24&amp;"未设定租赁等其他他项权利。"</f>
        <v>1.权利限制：根据估价对象《不动产权证书》原件、《国有土地使用权》复印件，截至估价期日，估价对象抵押权未见登记。未设定租赁等其他他项权利。</v>
      </c>
      <c r="B2" s="3308"/>
      <c r="C2" s="3308"/>
      <c r="D2" s="3308"/>
    </row>
    <row r="3" spans="1:4" ht="48" customHeight="1">
      <c r="A3" s="33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4"/>
      <c r="C3" s="3304"/>
      <c r="D3" s="3304"/>
    </row>
    <row r="4" spans="1:4" ht="36.75" customHeight="1">
      <c r="A4" s="3304" t="str">
        <f>"3.估价规划限制条件：详见"&amp;项目基本情况!E21&amp;"。"</f>
        <v>3.估价规划限制条件：详见《建设工程规划许可证》[]、《出让合同》[]。</v>
      </c>
      <c r="B4" s="3304"/>
      <c r="C4" s="3304"/>
      <c r="D4" s="3304"/>
    </row>
    <row r="5" spans="1:4">
      <c r="A5" s="3307" t="s">
        <v>2055</v>
      </c>
      <c r="B5" s="3307"/>
      <c r="C5" s="3307"/>
      <c r="D5" s="3307"/>
    </row>
    <row r="6" spans="1:4">
      <c r="A6" s="3304" t="s">
        <v>2033</v>
      </c>
      <c r="B6" s="3304"/>
      <c r="C6" s="3304"/>
      <c r="D6" s="3304"/>
    </row>
    <row r="7" spans="1:4" ht="33" customHeight="1">
      <c r="A7" s="3304" t="s">
        <v>2555</v>
      </c>
      <c r="B7" s="3304"/>
      <c r="C7" s="3304"/>
      <c r="D7" s="3304"/>
    </row>
    <row r="8" spans="1:4" ht="32.25" customHeight="1">
      <c r="A8" s="33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4"/>
      <c r="C8" s="3304"/>
      <c r="D8" s="3304"/>
    </row>
    <row r="9" spans="1:4" ht="33.75" customHeight="1">
      <c r="A9" s="33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4"/>
      <c r="C9" s="3304"/>
      <c r="D9" s="3304"/>
    </row>
    <row r="10" spans="1:4">
      <c r="A10" s="3304" t="str">
        <f>IF(项目基本情况!B8="抵押","4.估价师所知悉的法定优先受偿款情况为：","——")</f>
        <v>4.估价师所知悉的法定优先受偿款情况为：</v>
      </c>
      <c r="B10" s="3304"/>
      <c r="C10" s="3304"/>
      <c r="D10" s="3304"/>
    </row>
    <row r="11" spans="1:4" ht="37.5" customHeight="1">
      <c r="A11" s="33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6"/>
      <c r="C11" s="3306"/>
      <c r="D11" s="3306"/>
    </row>
    <row r="12" spans="1:4" ht="168" customHeight="1">
      <c r="A12" s="3307" t="s">
        <v>2057</v>
      </c>
      <c r="B12" s="3307"/>
      <c r="C12" s="3307"/>
      <c r="D12" s="3307"/>
    </row>
    <row r="13" spans="1:4">
      <c r="A13" s="3305" t="s">
        <v>2726</v>
      </c>
      <c r="B13" s="3305"/>
      <c r="C13" s="3305"/>
      <c r="D13" s="3305"/>
    </row>
    <row r="14" spans="1:4">
      <c r="A14" s="3306" t="str">
        <f>IF(项目基本情况!B8="抵押","综上，"&amp;结果表!K47,"——")</f>
        <v>综上，本次评估不存在估价师知悉的法定优先受偿款</v>
      </c>
      <c r="B14" s="3306"/>
      <c r="C14" s="3306"/>
      <c r="D14" s="3306"/>
    </row>
    <row r="15" spans="1:4" ht="58.5" customHeight="1">
      <c r="A15" s="33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4"/>
      <c r="C15" s="3304"/>
      <c r="D15" s="3304"/>
    </row>
    <row r="16" spans="1:4" ht="70.5" customHeight="1">
      <c r="A16" s="33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4"/>
      <c r="C16" s="3304"/>
      <c r="D16" s="3304"/>
    </row>
    <row r="17" spans="1:4">
      <c r="A17" s="3304" t="s">
        <v>2682</v>
      </c>
      <c r="B17" s="3304"/>
      <c r="C17" s="3304"/>
      <c r="D17" s="3304"/>
    </row>
    <row r="18" spans="1:4">
      <c r="A18" s="3304" t="s">
        <v>2674</v>
      </c>
      <c r="B18" s="3304"/>
      <c r="C18" s="3304"/>
      <c r="D18" s="3304"/>
    </row>
    <row r="19" spans="1:4">
      <c r="A19" s="2585" t="s">
        <v>2675</v>
      </c>
      <c r="B19" s="2585" t="s">
        <v>2676</v>
      </c>
      <c r="C19" s="2585" t="s">
        <v>2677</v>
      </c>
      <c r="D19" s="2585" t="s">
        <v>2678</v>
      </c>
    </row>
    <row r="20" spans="1:4">
      <c r="A20" s="2585" t="str">
        <f>项目基本情况!B4</f>
        <v>土地估价师</v>
      </c>
      <c r="B20" s="2585">
        <f>项目基本情况!C4</f>
        <v>0</v>
      </c>
      <c r="C20" s="2587"/>
      <c r="D20" s="1715" t="s">
        <v>2683</v>
      </c>
    </row>
    <row r="21" spans="1:4">
      <c r="A21" s="2585" t="str">
        <f>项目基本情况!D4</f>
        <v>土地估价师</v>
      </c>
      <c r="B21" s="2585">
        <f>项目基本情况!E4</f>
        <v>0</v>
      </c>
      <c r="C21" s="2587"/>
      <c r="D21" s="1715" t="s">
        <v>2684</v>
      </c>
    </row>
    <row r="23" spans="1:4">
      <c r="A23" s="3304" t="s">
        <v>2679</v>
      </c>
      <c r="B23" s="3304"/>
      <c r="C23" s="3304"/>
      <c r="D23" s="3304"/>
    </row>
    <row r="24" spans="1:4">
      <c r="A24" s="2585" t="s">
        <v>2675</v>
      </c>
      <c r="B24" s="2585" t="s">
        <v>2680</v>
      </c>
      <c r="C24" s="2585" t="s">
        <v>2677</v>
      </c>
      <c r="D24" s="2585" t="s">
        <v>2678</v>
      </c>
    </row>
    <row r="25" spans="1:4">
      <c r="A25" s="2588" t="s">
        <v>2681</v>
      </c>
      <c r="B25" s="2585" t="s">
        <v>943</v>
      </c>
      <c r="C25" s="2587"/>
      <c r="D25" s="1715" t="s">
        <v>2684</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16" t="s">
        <v>53</v>
      </c>
      <c r="B15" s="3317" t="s">
        <v>838</v>
      </c>
      <c r="C15" s="3313"/>
    </row>
    <row r="16" spans="1:7" ht="14.25">
      <c r="A16" s="3316"/>
      <c r="B16" s="3314" t="s">
        <v>54</v>
      </c>
      <c r="C16" s="1154" t="s">
        <v>53</v>
      </c>
    </row>
    <row r="17" spans="1:3" ht="14.25">
      <c r="A17" s="3316"/>
      <c r="B17" s="3314"/>
      <c r="C17" s="1154" t="s">
        <v>55</v>
      </c>
    </row>
    <row r="18" spans="1:3" ht="14.25">
      <c r="A18" s="3316"/>
      <c r="B18" s="3314"/>
      <c r="C18" s="1154" t="s">
        <v>56</v>
      </c>
    </row>
    <row r="19" spans="1:3" ht="14.25">
      <c r="A19" s="3316"/>
      <c r="B19" s="3312" t="s">
        <v>57</v>
      </c>
      <c r="C19" s="3313"/>
    </row>
    <row r="20" spans="1:3" ht="14.25">
      <c r="A20" s="1155" t="s">
        <v>58</v>
      </c>
      <c r="B20" s="1156"/>
      <c r="C20" s="1157"/>
    </row>
    <row r="21" spans="1:3" ht="14.25">
      <c r="A21" s="3315" t="s">
        <v>59</v>
      </c>
      <c r="B21" s="3312" t="s">
        <v>60</v>
      </c>
      <c r="C21" s="3313"/>
    </row>
    <row r="22" spans="1:3" ht="14.25">
      <c r="A22" s="3315"/>
      <c r="B22" s="3312" t="s">
        <v>61</v>
      </c>
      <c r="C22" s="3313"/>
    </row>
    <row r="23" spans="1:3" ht="14.25">
      <c r="A23" s="3315"/>
      <c r="B23" s="3312" t="s">
        <v>62</v>
      </c>
      <c r="C23" s="3313"/>
    </row>
    <row r="24" spans="1:3" ht="14.25">
      <c r="A24" s="3315"/>
      <c r="B24" s="3318" t="s">
        <v>63</v>
      </c>
      <c r="C24" s="1158" t="s">
        <v>829</v>
      </c>
    </row>
    <row r="25" spans="1:3" ht="14.25">
      <c r="A25" s="3315"/>
      <c r="B25" s="3319"/>
      <c r="C25" s="1158" t="s">
        <v>830</v>
      </c>
    </row>
    <row r="26" spans="1:3" ht="14.25">
      <c r="A26" s="3315"/>
      <c r="B26" s="3319"/>
      <c r="C26" s="1158" t="s">
        <v>831</v>
      </c>
    </row>
    <row r="27" spans="1:3" ht="14.25">
      <c r="A27" s="3315"/>
      <c r="B27" s="3319"/>
      <c r="C27" s="1158" t="s">
        <v>832</v>
      </c>
    </row>
    <row r="28" spans="1:3" ht="14.25">
      <c r="A28" s="3315"/>
      <c r="B28" s="3319"/>
      <c r="C28" s="1158" t="s">
        <v>833</v>
      </c>
    </row>
    <row r="29" spans="1:3" ht="14.25">
      <c r="A29" s="3315"/>
      <c r="B29" s="3319"/>
      <c r="C29" s="1158" t="s">
        <v>834</v>
      </c>
    </row>
    <row r="30" spans="1:3" ht="14.25">
      <c r="A30" s="3315"/>
      <c r="B30" s="3319"/>
      <c r="C30" s="1158" t="s">
        <v>835</v>
      </c>
    </row>
    <row r="31" spans="1:3" ht="14.25">
      <c r="A31" s="3315"/>
      <c r="B31" s="3319"/>
      <c r="C31" s="1158" t="s">
        <v>836</v>
      </c>
    </row>
    <row r="32" spans="1:3" ht="14.25">
      <c r="A32" s="3315"/>
      <c r="B32" s="3319"/>
      <c r="C32" s="1158" t="s">
        <v>1637</v>
      </c>
    </row>
    <row r="33" spans="1:3" ht="14.25">
      <c r="A33" s="3315"/>
      <c r="B33" s="3309" t="s">
        <v>1643</v>
      </c>
      <c r="C33" s="1158" t="s">
        <v>1638</v>
      </c>
    </row>
    <row r="34" spans="1:3" ht="14.25">
      <c r="A34" s="3315"/>
      <c r="B34" s="3310"/>
      <c r="C34" s="1163" t="s">
        <v>1639</v>
      </c>
    </row>
    <row r="35" spans="1:3" ht="14.25">
      <c r="A35" s="3315"/>
      <c r="B35" s="3310"/>
      <c r="C35" s="1164" t="s">
        <v>1640</v>
      </c>
    </row>
    <row r="36" spans="1:3" ht="14.25">
      <c r="A36" s="3315"/>
      <c r="B36" s="3310"/>
      <c r="C36" s="1164" t="s">
        <v>1641</v>
      </c>
    </row>
    <row r="37" spans="1:3" ht="14.25">
      <c r="A37" s="3315"/>
      <c r="B37" s="3311"/>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1898</v>
      </c>
      <c r="B2" s="3026">
        <f ca="1">TODAY()</f>
        <v>44386</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f ca="1">IF(C6&lt;B2,"已过期",1120050019)</f>
        <v>1120050019</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2945</v>
      </c>
      <c r="B12" s="3029">
        <f ca="1">IF(C12&lt;B2,"已过期",1120040230)</f>
        <v>1120040230</v>
      </c>
      <c r="C12" s="3032">
        <v>44864</v>
      </c>
      <c r="D12" s="3040" t="s">
        <v>2946</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t="str">
        <f ca="1">IF(C14&lt;B2,"已过期",1120020033)</f>
        <v>已过期</v>
      </c>
      <c r="C14" s="3032">
        <v>44339</v>
      </c>
      <c r="D14" s="3040" t="s">
        <v>1914</v>
      </c>
      <c r="E14" s="3029">
        <f ca="1">IF(F14&lt;B2,"已过期",2000110137)</f>
        <v>2000110137</v>
      </c>
      <c r="F14" s="3031">
        <v>46387</v>
      </c>
      <c r="G14" s="3024"/>
    </row>
    <row r="15" spans="1:7" ht="20.25" customHeight="1">
      <c r="A15" s="3029" t="s">
        <v>2960</v>
      </c>
      <c r="B15" s="3029" t="str">
        <f ca="1">IF(C14&lt;B2,"已过期",1119980106)</f>
        <v>已过期</v>
      </c>
      <c r="C15" s="3032">
        <v>44969</v>
      </c>
      <c r="D15" s="3040"/>
      <c r="E15" s="3029"/>
      <c r="F15" s="3029"/>
      <c r="G15" s="3024"/>
    </row>
    <row r="16" spans="1:7" s="2830" customFormat="1" ht="20.25" customHeight="1">
      <c r="A16" s="3028" t="s">
        <v>2042</v>
      </c>
      <c r="B16" s="3028" t="s">
        <v>2042</v>
      </c>
      <c r="C16" s="3032"/>
      <c r="D16" s="3041" t="s">
        <v>2042</v>
      </c>
      <c r="E16" s="3029" t="s">
        <v>2042</v>
      </c>
      <c r="F16" s="3031"/>
      <c r="G16" s="3033"/>
    </row>
    <row r="17" spans="1:7" ht="20.25" customHeight="1">
      <c r="A17" s="3323" t="s">
        <v>1915</v>
      </c>
      <c r="B17" s="3324"/>
      <c r="C17" s="3324"/>
      <c r="D17" s="3324"/>
      <c r="E17" s="3324"/>
      <c r="F17" s="3324"/>
      <c r="G17" s="3033"/>
    </row>
    <row r="18" spans="1:7" ht="20.25" customHeight="1">
      <c r="A18" s="3320" t="s">
        <v>1916</v>
      </c>
      <c r="B18" s="3320"/>
      <c r="C18" s="3321"/>
      <c r="D18" s="3322" t="s">
        <v>1917</v>
      </c>
      <c r="E18" s="3320"/>
      <c r="F18" s="3320"/>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2959</v>
      </c>
      <c r="F21" s="3037">
        <v>44012</v>
      </c>
      <c r="G21" s="3025"/>
    </row>
    <row r="22" spans="1:7" ht="20.25" customHeight="1">
      <c r="A22" s="3024"/>
      <c r="B22" s="3024"/>
      <c r="C22" s="3038"/>
      <c r="D22" s="3046"/>
      <c r="E22" s="3047"/>
      <c r="F22" s="3039" t="s">
        <v>2973</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7" sqref="A27"/>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1" t="s">
        <v>2921</v>
      </c>
      <c r="C18" s="1492"/>
    </row>
    <row r="19" spans="1:3">
      <c r="A19" s="8" t="s">
        <v>120</v>
      </c>
      <c r="B19" s="2791" t="s">
        <v>2928</v>
      </c>
      <c r="C19" s="1492"/>
    </row>
    <row r="20" spans="1:3">
      <c r="A20" s="8" t="s">
        <v>121</v>
      </c>
      <c r="B20" s="2791" t="s">
        <v>2974</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2791" t="s">
        <v>3385</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25"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7月8日，在规划利用条件下、设定土地开发程度为红线外“七通”、宗地内场地，设定用途为，剩余土地使用年限为的出让国有建设用地使用权价格。</v>
      </c>
      <c r="D53" s="1685"/>
      <c r="E53" s="1685"/>
    </row>
    <row r="54" spans="1:5">
      <c r="A54" s="3325"/>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25"/>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25"/>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25"/>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剩余法-待开发</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2021-07-09T05:25:17Z</dcterms:modified>
</cp:coreProperties>
</file>