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基准地价修正办公" sheetId="43" r:id="rId22"/>
    <sheet name="基准地价修正商业" sheetId="77" r:id="rId23"/>
    <sheet name="假设开发法" sheetId="12" r:id="rId24"/>
    <sheet name="比较法-办公 (2)" sheetId="78" r:id="rId25"/>
    <sheet name="比较法-商业 (2)" sheetId="79" r:id="rId26"/>
    <sheet name="收益法办公" sheetId="15" state="hidden" r:id="rId27"/>
    <sheet name="收益法仓储" sheetId="81"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及商业修正表" sheetId="83" r:id="rId49"/>
  </sheets>
  <externalReferences>
    <externalReference r:id="rId50"/>
    <externalReference r:id="rId51"/>
  </externalReferences>
  <definedNames>
    <definedName name="_xlnm._FilterDatabase" localSheetId="33" hidden="1">'比较法-办公'!$A$1:$L$50</definedName>
    <definedName name="_xlnm._FilterDatabase" localSheetId="24" hidden="1">'比较法-办公 (2)'!$A$1:$L$50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'比较法-商业 (2)'!$A$1:$L$49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收益法办公!$A$1:$AK$69</definedName>
    <definedName name="_xlnm.Print_Area" localSheetId="27">收益法仓储!$A$1:$AK$69</definedName>
    <definedName name="_xlnm.Print_Area" localSheetId="13">'数据-汇总表'!$A$1:$P$32</definedName>
    <definedName name="八级">区片价!$O$1:$O$40</definedName>
    <definedName name="办公层高" localSheetId="24">'比较法-办公 (2)'!$B$119:$M$119</definedName>
    <definedName name="办公层高" localSheetId="25">'[1]比较法-办公'!$B$119:$M$119</definedName>
    <definedName name="办公层高" localSheetId="48">'[2]比较法-办公'!$B$119:$M$119</definedName>
    <definedName name="办公层高">'比较法-办公'!$B$119:$M$119</definedName>
    <definedName name="办公朝向" localSheetId="24">'比较法-办公 (2)'!$B$91:$M$91</definedName>
    <definedName name="办公朝向" localSheetId="25">'[1]比较法-办公'!$B$91:$M$91</definedName>
    <definedName name="办公朝向" localSheetId="48">'[2]比较法-办公'!$B$91:$M$91</definedName>
    <definedName name="办公朝向">'比较法-办公'!$B$91:$M$91</definedName>
    <definedName name="办公道路级别" localSheetId="24">'比较法-办公 (2)'!$B$87:$M$87</definedName>
    <definedName name="办公道路级别" localSheetId="25">'[1]比较法-办公'!$B$87:$M$87</definedName>
    <definedName name="办公道路级别" localSheetId="48">'[2]比较法-办公'!$B$87:$M$87</definedName>
    <definedName name="办公道路级别">'比较法-办公'!$B$87:$M$87</definedName>
    <definedName name="办公公共部分装修" localSheetId="24">'比较法-办公 (2)'!$B$108:$M$108</definedName>
    <definedName name="办公公共部分装修" localSheetId="25">'[1]比较法-办公'!$B$108:$M$108</definedName>
    <definedName name="办公公共部分装修" localSheetId="48">'[2]比较法-办公'!$B$108:$M$108</definedName>
    <definedName name="办公公共部分装修">'比较法-办公'!$B$108:$M$108</definedName>
    <definedName name="办公基础设施水平" localSheetId="24">'比较法-办公 (2)'!$B$117:$M$117</definedName>
    <definedName name="办公基础设施水平" localSheetId="25">'[1]比较法-办公'!$B$117:$M$117</definedName>
    <definedName name="办公基础设施水平" localSheetId="48">'[2]比较法-办公'!$B$117:$M$117</definedName>
    <definedName name="办公基础设施水平">'比较法-办公'!$B$117:$M$117</definedName>
    <definedName name="办公集聚程度" localSheetId="24">[1]定义!$M$1:$M$6</definedName>
    <definedName name="办公集聚程度" localSheetId="25">[1]定义!$M$1:$M$6</definedName>
    <definedName name="办公集聚程度" localSheetId="48">[2]定义!$M$1:$M$6</definedName>
    <definedName name="办公集聚程度">定义!$M$1:$M$6</definedName>
    <definedName name="办公建筑结构" localSheetId="24">'比较法-办公 (2)'!$B$106:$M$106</definedName>
    <definedName name="办公建筑结构" localSheetId="25">'[1]比较法-办公'!$B$106:$M$106</definedName>
    <definedName name="办公建筑结构" localSheetId="48">'[2]比较法-办公'!$B$106:$M$106</definedName>
    <definedName name="办公建筑结构">'比较法-办公'!$B$106:$M$106</definedName>
    <definedName name="办公建筑类型" localSheetId="24">'比较法-办公 (2)'!$B$101:$M$101</definedName>
    <definedName name="办公建筑类型" localSheetId="25">'[1]比较法-办公'!$B$101:$M$101</definedName>
    <definedName name="办公建筑类型" localSheetId="48">'[2]比较法-办公'!$B$101:$M$101</definedName>
    <definedName name="办公建筑类型">'比较法-办公'!$B$101:$M$101</definedName>
    <definedName name="办公交易情况" localSheetId="24">'比较法-办公 (2)'!$A$62:$M$62</definedName>
    <definedName name="办公交易情况" localSheetId="25">'[1]比较法-办公'!$A$62:$M$62</definedName>
    <definedName name="办公交易情况" localSheetId="48">'[2]比较法-办公'!$A$62:$M$62</definedName>
    <definedName name="办公交易情况">'比较法-办公'!$A$62:$M$62</definedName>
    <definedName name="办公楼层" localSheetId="24">'比较法-办公 (2)'!$B$89:$M$89</definedName>
    <definedName name="办公楼层" localSheetId="25">'[1]比较法-办公'!$B$89:$M$89</definedName>
    <definedName name="办公楼层" localSheetId="48">'[2]比较法-办公'!$B$89:$M$89</definedName>
    <definedName name="办公楼层">'比较法-办公'!$B$89:$M$89</definedName>
    <definedName name="办公内部装修" localSheetId="24">'比较法-办公 (2)'!$B$123:$M$123</definedName>
    <definedName name="办公内部装修" localSheetId="25">'[1]比较法-办公'!$B$123:$M$123</definedName>
    <definedName name="办公内部装修" localSheetId="48">'[2]比较法-办公'!$B$123:$M$123</definedName>
    <definedName name="办公内部装修">'比较法-办公'!$B$123:$M$123</definedName>
    <definedName name="办公物业管理" localSheetId="24">'比较法-办公 (2)'!$B$115:$M$115</definedName>
    <definedName name="办公物业管理" localSheetId="25">'[1]比较法-办公'!$B$115:$M$115</definedName>
    <definedName name="办公物业管理" localSheetId="48">'[2]比较法-办公'!$B$115:$M$115</definedName>
    <definedName name="办公物业管理">'比较法-办公'!$B$115:$M$115</definedName>
    <definedName name="办公用途" localSheetId="24">'比较法-办公 (2)'!$B$64:$M$64</definedName>
    <definedName name="办公用途" localSheetId="25">'[1]比较法-办公'!$B$64:$M$64</definedName>
    <definedName name="办公用途" localSheetId="48">'[2]比较法-办公'!$B$64:$M$64</definedName>
    <definedName name="办公用途">'比较法-办公'!$B$64:$M$64</definedName>
    <definedName name="仓储公共部分装修" localSheetId="24">'[1]比较法-仓储'!$B$77:$M$77</definedName>
    <definedName name="仓储公共部分装修" localSheetId="25">'[1]比较法-仓储'!$B$77:$M$77</definedName>
    <definedName name="仓储公共部分装修" localSheetId="48">'[2]比较法-仓储'!$B$77:$M$77</definedName>
    <definedName name="仓储公共部分装修">'比较法-仓储'!$B$77:$M$77</definedName>
    <definedName name="仓储交易情况" localSheetId="24">'[1]比较法-仓储'!$A$49:$M$49</definedName>
    <definedName name="仓储交易情况" localSheetId="25">'[1]比较法-仓储'!$A$49:$M$49</definedName>
    <definedName name="仓储交易情况" localSheetId="48">'[2]比较法-仓储'!$A$49:$M$49</definedName>
    <definedName name="仓储交易情况">'比较法-仓储'!$A$49:$M$49</definedName>
    <definedName name="仓储楼层" localSheetId="24">'[1]比较法-仓储'!$B$69:$M$69</definedName>
    <definedName name="仓储楼层" localSheetId="25">'[1]比较法-仓储'!$B$69:$M$69</definedName>
    <definedName name="仓储楼层" localSheetId="48">'[2]比较法-仓储'!$B$69:$M$69</definedName>
    <definedName name="仓储楼层">'比较法-仓储'!$B$69:$M$69</definedName>
    <definedName name="仓储物业等级" localSheetId="24">'[1]比较法-仓储'!$B$82:$M$82</definedName>
    <definedName name="仓储物业等级" localSheetId="25">'[1]比较法-仓储'!$B$82:$M$82</definedName>
    <definedName name="仓储物业等级" localSheetId="48">'[2]比较法-仓储'!$B$82:$M$82</definedName>
    <definedName name="仓储物业等级">'比较法-仓储'!$B$82:$M$82</definedName>
    <definedName name="仓储用途" localSheetId="24">'[1]比较法-仓储'!$B$51:$M$51</definedName>
    <definedName name="仓储用途" localSheetId="25">'[1]比较法-仓储'!$B$51:$M$51</definedName>
    <definedName name="仓储用途" localSheetId="48">'[2]比较法-仓储'!$B$51:$M$51</definedName>
    <definedName name="仓储用途">'比较法-仓储'!$B$51:$M$51</definedName>
    <definedName name="产业集聚程度" localSheetId="24">[1]定义!$N$1:$N$6</definedName>
    <definedName name="产业集聚程度" localSheetId="25">[1]定义!$N$1:$N$6</definedName>
    <definedName name="产业集聚程度" localSheetId="48">[2]定义!$N$1:$N$6</definedName>
    <definedName name="产业集聚程度">定义!$N$1:$N$6</definedName>
    <definedName name="车位公共部分装修" localSheetId="24">'[1]比较法-车位'!$B$83:$M$83</definedName>
    <definedName name="车位公共部分装修" localSheetId="25">'[1]比较法-车位'!$B$83:$M$83</definedName>
    <definedName name="车位公共部分装修" localSheetId="48">'[2]比较法-车位'!$B$83:$M$83</definedName>
    <definedName name="车位公共部分装修">'比较法-车位'!$B$83:$M$83</definedName>
    <definedName name="车位交易情况" localSheetId="24">'[1]比较法-车位'!$A$51:$M$51</definedName>
    <definedName name="车位交易情况" localSheetId="25">'[1]比较法-车位'!$A$51:$M$51</definedName>
    <definedName name="车位交易情况" localSheetId="48">'[2]比较法-车位'!$A$51:$M$51</definedName>
    <definedName name="车位交易情况">'比较法-车位'!$A$51:$M$51</definedName>
    <definedName name="车位类型" localSheetId="24">'[1]比较法-车位'!$B$93:$M$93</definedName>
    <definedName name="车位类型" localSheetId="25">'[1]比较法-车位'!$B$93:$M$93</definedName>
    <definedName name="车位类型" localSheetId="48">'[2]比较法-车位'!$B$93:$M$93</definedName>
    <definedName name="车位类型">'比较法-车位'!$B$93:$M$93</definedName>
    <definedName name="车位楼层" localSheetId="24">'[1]比较法-车位'!$B$71:$M$71</definedName>
    <definedName name="车位楼层" localSheetId="25">'[1]比较法-车位'!$B$71:$M$71</definedName>
    <definedName name="车位楼层" localSheetId="48">'[2]比较法-车位'!$B$71:$M$71</definedName>
    <definedName name="车位楼层">'比较法-车位'!$B$71:$M$71</definedName>
    <definedName name="车位配套类型" localSheetId="24">'[1]比较法-车位'!$B$79:$M$79</definedName>
    <definedName name="车位配套类型" localSheetId="25">'[1]比较法-车位'!$B$79:$M$79</definedName>
    <definedName name="车位配套类型" localSheetId="48">'[2]比较法-车位'!$B$79:$M$79</definedName>
    <definedName name="车位配套类型">'比较法-车位'!$B$79:$M$79</definedName>
    <definedName name="车位物业等级" localSheetId="24">'[1]比较法-车位'!$B$88:$M$88</definedName>
    <definedName name="车位物业等级" localSheetId="25">'[1]比较法-车位'!$B$88:$M$88</definedName>
    <definedName name="车位物业等级" localSheetId="48">'[2]比较法-车位'!$B$88:$M$88</definedName>
    <definedName name="车位物业等级">'比较法-车位'!$B$88:$M$88</definedName>
    <definedName name="车位用途" localSheetId="24">'[1]比较法-车位'!$B$53:$M$53</definedName>
    <definedName name="车位用途" localSheetId="25">'[1]比较法-车位'!$B$53:$M$53</definedName>
    <definedName name="车位用途" localSheetId="48">'[2]比较法-车位'!$B$53:$M$53</definedName>
    <definedName name="车位用途">'比较法-车位'!$B$53:$M$53</definedName>
    <definedName name="城镇土地纳税等级分级范围" localSheetId="24">'[1]数据-取费表'!$A$53:$A$63</definedName>
    <definedName name="城镇土地纳税等级分级范围" localSheetId="25">'[1]数据-取费表'!$A$53:$A$63</definedName>
    <definedName name="城镇土地纳税等级分级范围" localSheetId="48">'[2]数据-取费表'!$A$53:$A$63</definedName>
    <definedName name="城镇土地纳税等级分级范围">'数据-取费表'!$A$53:$A$63</definedName>
    <definedName name="单价内涵" localSheetId="24">[1]定义!$V$1:$V$3</definedName>
    <definedName name="单价内涵" localSheetId="25">[1]定义!$V$1:$V$3</definedName>
    <definedName name="单价内涵" localSheetId="48">[2]定义!$V$1:$V$3</definedName>
    <definedName name="单价内涵">定义!$V$1:$V$3</definedName>
    <definedName name="地类判定" localSheetId="24">[1]定义!$H$1:$H$9</definedName>
    <definedName name="地类判定" localSheetId="25">[1]定义!$H$1:$H$9</definedName>
    <definedName name="地类判定" localSheetId="48">[2]定义!$H$1:$H$9</definedName>
    <definedName name="地类判定">定义!$H$1:$H$9</definedName>
    <definedName name="二级">区片价!$I$1:$I$20</definedName>
    <definedName name="二级分类" localSheetId="24">[1]修正!$C$17:$C$39</definedName>
    <definedName name="二级分类" localSheetId="25">[1]修正!$C$17:$C$39</definedName>
    <definedName name="二级分类" localSheetId="48">[2]修正!$C$17:$C$39</definedName>
    <definedName name="二级分类">修正!$C$17:$C$39</definedName>
    <definedName name="法定最高年限" localSheetId="24">[1]定义!$G$1:$G$4</definedName>
    <definedName name="法定最高年限" localSheetId="25">[1]定义!$G$1:$G$4</definedName>
    <definedName name="法定最高年限" localSheetId="48">[2]定义!$G$1:$G$4</definedName>
    <definedName name="法定最高年限">定义!$G$1:$G$4</definedName>
    <definedName name="工业公共部分装修" localSheetId="24">'[1]比较法-工业'!$B$95:$M$95</definedName>
    <definedName name="工业公共部分装修" localSheetId="25">'[1]比较法-工业'!$B$95:$M$95</definedName>
    <definedName name="工业公共部分装修" localSheetId="48">'[2]比较法-工业'!$B$95:$M$95</definedName>
    <definedName name="工业公共部分装修">'比较法-工业'!$B$95:$M$95</definedName>
    <definedName name="工业基础设施水平" localSheetId="24">'[1]比较法-工业'!$B$102:$M$102</definedName>
    <definedName name="工业基础设施水平" localSheetId="25">'[1]比较法-工业'!$B$102:$M$102</definedName>
    <definedName name="工业基础设施水平" localSheetId="48">'[2]比较法-工业'!$B$102:$M$102</definedName>
    <definedName name="工业基础设施水平">'比较法-工业'!$B$102:$M$102</definedName>
    <definedName name="工业建筑结构" localSheetId="24">'[1]比较法-工业'!$B$93:$M$93</definedName>
    <definedName name="工业建筑结构" localSheetId="25">'[1]比较法-工业'!$B$93:$M$93</definedName>
    <definedName name="工业建筑结构" localSheetId="48">'[2]比较法-工业'!$B$93:$M$93</definedName>
    <definedName name="工业建筑结构">'比较法-工业'!$B$93:$M$93</definedName>
    <definedName name="工业建筑类型" localSheetId="24">'[1]比较法-工业'!$B$88:$M$88</definedName>
    <definedName name="工业建筑类型" localSheetId="25">'[1]比较法-工业'!$B$88:$M$88</definedName>
    <definedName name="工业建筑类型" localSheetId="48">'[2]比较法-工业'!$B$88:$M$88</definedName>
    <definedName name="工业建筑类型">'比较法-工业'!$B$88:$M$88</definedName>
    <definedName name="工业交易情况" localSheetId="24">'[1]比较法-工业'!$A$55:$M$55</definedName>
    <definedName name="工业交易情况" localSheetId="25">'[1]比较法-工业'!$A$55:$M$55</definedName>
    <definedName name="工业交易情况" localSheetId="48">'[2]比较法-工业'!$A$55:$M$55</definedName>
    <definedName name="工业交易情况">'比较法-工业'!$A$55:$M$55</definedName>
    <definedName name="工业内部装修" localSheetId="24">'[1]比较法-工业'!$B$104:$M$104</definedName>
    <definedName name="工业内部装修" localSheetId="25">'[1]比较法-工业'!$B$104:$M$104</definedName>
    <definedName name="工业内部装修" localSheetId="48">'[2]比较法-工业'!$B$104:$M$104</definedName>
    <definedName name="工业内部装修">'比较法-工业'!$B$104:$M$104</definedName>
    <definedName name="工业物业管理" localSheetId="24">'[1]比较法-工业'!$B$100:$M$100</definedName>
    <definedName name="工业物业管理" localSheetId="25">'[1]比较法-工业'!$B$100:$M$100</definedName>
    <definedName name="工业物业管理" localSheetId="48">'[2]比较法-工业'!$B$100:$M$100</definedName>
    <definedName name="工业物业管理">'比较法-工业'!$B$100:$M$100</definedName>
    <definedName name="工业用途" localSheetId="24">'[1]比较法-工业'!$B$57:$M$57</definedName>
    <definedName name="工业用途" localSheetId="25">'[1]比较法-工业'!$B$57:$M$57</definedName>
    <definedName name="工业用途" localSheetId="48">'[2]比较法-工业'!$B$57:$M$57</definedName>
    <definedName name="工业用途">'比较法-工业'!$B$57:$M$57</definedName>
    <definedName name="公共配套设施" localSheetId="24">[1]定义!$Q$1:$Q$6</definedName>
    <definedName name="公共配套设施" localSheetId="25">[1]定义!$Q$1:$Q$6</definedName>
    <definedName name="公共配套设施" localSheetId="48">[2]定义!$Q$1:$Q$6</definedName>
    <definedName name="公共配套设施">定义!$Q$1:$Q$6</definedName>
    <definedName name="估价方法" localSheetId="24">[1]定义!$B$1:$B$50</definedName>
    <definedName name="估价方法" localSheetId="25">[1]定义!$B$1:$B$50</definedName>
    <definedName name="估价方法" localSheetId="48">[2]定义!$B$1:$B$50</definedName>
    <definedName name="估价方法">定义!$B$1:$B$50</definedName>
    <definedName name="环境" localSheetId="24">[1]定义!$S$1:$S$6</definedName>
    <definedName name="环境" localSheetId="25">[1]定义!$S$1:$S$6</definedName>
    <definedName name="环境" localSheetId="48">[2]定义!$S$1:$S$6</definedName>
    <definedName name="环境">定义!$S$1:$S$6</definedName>
    <definedName name="基础设施水平" localSheetId="24">[1]定义!$R$1:$R$6</definedName>
    <definedName name="基础设施水平" localSheetId="25">[1]定义!$R$1:$R$6</definedName>
    <definedName name="基础设施水平" localSheetId="48">[2]定义!$R$1:$R$6</definedName>
    <definedName name="基础设施水平">定义!$R$1:$R$6</definedName>
    <definedName name="季度" localSheetId="22">基准地价修正商业!$Q$19:$AD$19</definedName>
    <definedName name="季度">基准地价修正办公!$Q$19:$AD$19</definedName>
    <definedName name="价值类型2" localSheetId="24">[1]定义!$B$54:$B$56</definedName>
    <definedName name="价值类型2" localSheetId="25">[1]定义!$B$54:$B$56</definedName>
    <definedName name="价值类型2" localSheetId="48">[2]定义!$B$54:$B$56</definedName>
    <definedName name="价值类型2">定义!$B$54:$B$56</definedName>
    <definedName name="交通便捷度" localSheetId="24">[1]定义!$O$1:$O$6</definedName>
    <definedName name="交通便捷度" localSheetId="25">[1]定义!$O$1:$O$6</definedName>
    <definedName name="交通便捷度" localSheetId="48">[2]定义!$O$1:$O$6</definedName>
    <definedName name="交通便捷度">定义!$O$1:$O$6</definedName>
    <definedName name="九级">区片价!$P$1:$P$46</definedName>
    <definedName name="居住社区成熟度" localSheetId="24">[1]定义!$K$1:$K$6</definedName>
    <definedName name="居住社区成熟度" localSheetId="25">[1]定义!$K$1:$K$6</definedName>
    <definedName name="居住社区成熟度" localSheetId="48">[2]定义!$K$1:$K$6</definedName>
    <definedName name="居住社区成熟度">定义!$K$1:$K$6</definedName>
    <definedName name="类别" localSheetId="24">[1]定义!$J$1:$J$3</definedName>
    <definedName name="类别" localSheetId="25">[1]定义!$J$1:$J$3</definedName>
    <definedName name="类别" localSheetId="48">[2]定义!$J$1:$J$3</definedName>
    <definedName name="类别">定义!$J$1:$J$3</definedName>
    <definedName name="临街状况" localSheetId="24">[1]定义!$T$1:$T$5</definedName>
    <definedName name="临街状况" localSheetId="25">[1]定义!$T$1:$T$5</definedName>
    <definedName name="临街状况" localSheetId="48">[2]定义!$T$1:$T$5</definedName>
    <definedName name="临街状况">定义!$T$1:$T$5</definedName>
    <definedName name="六级">区片价!$M$1:$M$49</definedName>
    <definedName name="面积修正">'[1]比较法-办公'!$B$119:$M$119</definedName>
    <definedName name="内部装修维护情况" localSheetId="24">[1]定义!$U$1:$U$6</definedName>
    <definedName name="内部装修维护情况" localSheetId="25">[1]定义!$U$1:$U$6</definedName>
    <definedName name="内部装修维护情况" localSheetId="48">[2]定义!$U$1:$U$6</definedName>
    <definedName name="内部装修维护情况">定义!$U$1:$U$6</definedName>
    <definedName name="判定" localSheetId="24">[1]定义!$D$1:$D$4</definedName>
    <definedName name="判定" localSheetId="25">[1]定义!$D$1:$D$4</definedName>
    <definedName name="判定" localSheetId="48">[2]定义!$D$1:$D$4</definedName>
    <definedName name="判定">定义!$D$1:$D$4</definedName>
    <definedName name="七级">区片价!$N$1:$N$49</definedName>
    <definedName name="七通一平" localSheetId="24">[1]修正!$A$6:$A$14</definedName>
    <definedName name="七通一平" localSheetId="25">[1]修正!$A$6:$A$14</definedName>
    <definedName name="七通一平" localSheetId="48">[2]修正!$A$6:$A$14</definedName>
    <definedName name="七通一平">修正!$A$6:$A$14</definedName>
    <definedName name="区域土地利用方向" localSheetId="24">[1]定义!$P$1:$P$6</definedName>
    <definedName name="区域土地利用方向" localSheetId="25">[1]定义!$P$1:$P$6</definedName>
    <definedName name="区域土地利用方向" localSheetId="48">[2]定义!$P$1:$P$6</definedName>
    <definedName name="区域土地利用方向">定义!$P$1:$P$6</definedName>
    <definedName name="三级">区片价!$J$1:$J$21</definedName>
    <definedName name="商业层高" localSheetId="24">'[1]比较法-商业'!$B$116:$M$116</definedName>
    <definedName name="商业层高" localSheetId="25">'比较法-商业 (2)'!$B$116:$M$116</definedName>
    <definedName name="商业层高" localSheetId="48">'[2]比较法-商业'!$B$116:$M$116</definedName>
    <definedName name="商业层高">'比较法-商业'!$B$116:$M$116</definedName>
    <definedName name="商业成新度" localSheetId="25">'比较法-商业 (2)'!$B$109:$M$109</definedName>
    <definedName name="商业成新度">'比较法-商业'!$B$109:$M$109</definedName>
    <definedName name="商业繁华度" localSheetId="24">[1]定义!$L$1:$L$6</definedName>
    <definedName name="商业繁华度" localSheetId="25">[1]定义!$L$1:$L$6</definedName>
    <definedName name="商业繁华度" localSheetId="48">[2]定义!$L$1:$L$6</definedName>
    <definedName name="商业繁华度">定义!$L$1:$L$6</definedName>
    <definedName name="商业公共部分装修" localSheetId="24">'[1]比较法-商业'!$B$107:$M$107</definedName>
    <definedName name="商业公共部分装修" localSheetId="25">'比较法-商业 (2)'!$B$107:$M$107</definedName>
    <definedName name="商业公共部分装修" localSheetId="48">'[2]比较法-商业'!$B$107:$M$107</definedName>
    <definedName name="商业公共部分装修">'比较法-商业'!$B$107:$M$107</definedName>
    <definedName name="商业基础设施水平" localSheetId="24">'[1]比较法-商业'!$B$112:$M$112</definedName>
    <definedName name="商业基础设施水平" localSheetId="25">'比较法-商业 (2)'!$B$112:$M$112</definedName>
    <definedName name="商业基础设施水平" localSheetId="48">'[2]比较法-商业'!$B$112:$M$112</definedName>
    <definedName name="商业基础设施水平">'比较法-商业'!$B$112:$M$112</definedName>
    <definedName name="商业建筑结构" localSheetId="24">'[1]比较法-商业'!$B$105:$M$105</definedName>
    <definedName name="商业建筑结构" localSheetId="25">'比较法-商业 (2)'!$B$105:$M$105</definedName>
    <definedName name="商业建筑结构" localSheetId="48">'[2]比较法-商业'!$B$105:$M$105</definedName>
    <definedName name="商业建筑结构">'比较法-商业'!$B$105:$M$105</definedName>
    <definedName name="商业交易情况" localSheetId="24">'[1]比较法-商业'!$A$61:$M$61</definedName>
    <definedName name="商业交易情况" localSheetId="25">'比较法-商业 (2)'!$A$61:$M$61</definedName>
    <definedName name="商业交易情况" localSheetId="48">'[2]比较法-商业'!$A$61:$M$61</definedName>
    <definedName name="商业交易情况">'比较法-商业'!$A$61:$M$61</definedName>
    <definedName name="商业街名称" localSheetId="24">[1]修正!$C$59:$C$119</definedName>
    <definedName name="商业街名称" localSheetId="25">[1]修正!$C$59:$C$119</definedName>
    <definedName name="商业街名称" localSheetId="48">[2]修正!$C$59:$C$119</definedName>
    <definedName name="商业街名称">修正!$C$59:$C$119</definedName>
    <definedName name="商业进深比" localSheetId="24">'[1]比较法-商业'!$B$120:$M$120</definedName>
    <definedName name="商业进深比" localSheetId="25">'比较法-商业 (2)'!$B$120:$M$120</definedName>
    <definedName name="商业进深比" localSheetId="48">'[2]比较法-商业'!$B$120:$M$120</definedName>
    <definedName name="商业进深比">'比较法-商业'!$B$120:$M$120</definedName>
    <definedName name="商业类型" localSheetId="24">'[1]比较法-商业'!$B$100:$M$100</definedName>
    <definedName name="商业类型" localSheetId="25">'比较法-商业 (2)'!$B$100:$M$100</definedName>
    <definedName name="商业类型" localSheetId="48">'[2]比较法-商业'!$B$100:$M$100</definedName>
    <definedName name="商业类型">'比较法-商业'!$B$100:$M$100</definedName>
    <definedName name="商业临街状况" localSheetId="24">'[1]比较法-商业'!$B$86:$M$86</definedName>
    <definedName name="商业临街状况" localSheetId="25">'比较法-商业 (2)'!$B$86:$M$86</definedName>
    <definedName name="商业临街状况" localSheetId="48">'[2]比较法-商业'!$B$86:$M$86</definedName>
    <definedName name="商业临街状况">'比较法-商业'!$B$86:$M$86</definedName>
    <definedName name="商业楼层" localSheetId="24">'[1]比较法-商业'!$B$92:$M$92</definedName>
    <definedName name="商业楼层" localSheetId="25">'比较法-商业 (2)'!$B$92:$M$92</definedName>
    <definedName name="商业楼层" localSheetId="48">'[2]比较法-商业'!$B$92:$M$92</definedName>
    <definedName name="商业楼层">'比较法-商业'!$B$92:$M$92</definedName>
    <definedName name="商业内部装修" localSheetId="24">'[1]比较法-商业'!$B$122:$M$122</definedName>
    <definedName name="商业内部装修" localSheetId="25">'比较法-商业 (2)'!$B$122:$M$122</definedName>
    <definedName name="商业内部装修" localSheetId="48">'[2]比较法-商业'!$B$122:$M$122</definedName>
    <definedName name="商业内部装修">'比较法-商业'!$B$122:$M$122</definedName>
    <definedName name="商业人流量" localSheetId="24">'[1]比较法-商业'!$B$90:$M$90</definedName>
    <definedName name="商业人流量" localSheetId="25">'比较法-商业 (2)'!$B$90:$M$90</definedName>
    <definedName name="商业人流量" localSheetId="48">'[2]比较法-商业'!$B$90:$M$90</definedName>
    <definedName name="商业人流量">'比较法-商业'!$B$90:$M$90</definedName>
    <definedName name="商业业态" localSheetId="24">'[1]比较法-商业'!$B$114:$M$114</definedName>
    <definedName name="商业业态" localSheetId="25">'比较法-商业 (2)'!$B$114:$M$114</definedName>
    <definedName name="商业业态" localSheetId="48">'[2]比较法-商业'!$B$114:$M$114</definedName>
    <definedName name="商业业态">'比较法-商业'!$B$114:$M$114</definedName>
    <definedName name="商业用途" localSheetId="24">'[1]比较法-商业'!$B$63:$M$63</definedName>
    <definedName name="商业用途" localSheetId="25">'比较法-商业 (2)'!$B$63:$M$63</definedName>
    <definedName name="商业用途" localSheetId="48">'[2]比较法-商业'!$B$63:$M$63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'[1]比较法-仓储'!$B$89:$M$89</definedName>
    <definedName name="是否封闭" localSheetId="25">'[1]比较法-仓储'!$B$89:$M$89</definedName>
    <definedName name="是否封闭" localSheetId="48">'[2]比较法-仓储'!$B$89:$M$89</definedName>
    <definedName name="是否封闭">'比较法-仓储'!$B$89:$M$89</definedName>
    <definedName name="是否直接入户" localSheetId="24">'[1]比较法-车位'!$B$95:$M$95</definedName>
    <definedName name="是否直接入户" localSheetId="25">'[1]比较法-车位'!$B$95:$M$95</definedName>
    <definedName name="是否直接入户" localSheetId="48">'[2]比较法-车位'!$B$95:$M$95</definedName>
    <definedName name="是否直接入户">'比较法-车位'!$B$95:$M$95</definedName>
    <definedName name="四级">区片价!$K$1:$K$28</definedName>
    <definedName name="套工道路等级" localSheetId="24">'[1]土地比较法-工业'!$B$97:$M$97</definedName>
    <definedName name="套工道路等级" localSheetId="25">'[1]土地比较法-工业'!$B$97:$M$97</definedName>
    <definedName name="套工道路等级" localSheetId="48">'[2]土地比较法-工业'!$B$97:$M$97</definedName>
    <definedName name="套工道路等级">'土地比较法-工业'!$B$97:$M$97</definedName>
    <definedName name="套工地质条件" localSheetId="24">'[1]土地比较法-工业'!$B$114:$M$114</definedName>
    <definedName name="套工地质条件" localSheetId="25">'[1]土地比较法-工业'!$B$114:$M$114</definedName>
    <definedName name="套工地质条件" localSheetId="48">'[2]土地比较法-工业'!$B$114:$M$114</definedName>
    <definedName name="套工地质条件">'土地比较法-工业'!$B$114:$M$114</definedName>
    <definedName name="套工交易情况" localSheetId="24">'[1]土地比较法-住宅、综合'!$A$73:$M$73</definedName>
    <definedName name="套工交易情况" localSheetId="25">'[1]土地比较法-住宅、综合'!$A$73:$M$73</definedName>
    <definedName name="套工交易情况" localSheetId="48">'[2]土地比较法-住宅、综合'!$A$73:$M$73</definedName>
    <definedName name="套工交易情况">'土地比较法-住宅、综合'!$A$73:$M$73</definedName>
    <definedName name="套工土地级别" localSheetId="24">'[1]土地比较法-工业'!$B$99:$M$99</definedName>
    <definedName name="套工土地级别" localSheetId="25">'[1]土地比较法-工业'!$B$99:$M$99</definedName>
    <definedName name="套工土地级别" localSheetId="48">'[2]土地比较法-工业'!$B$99:$M$99</definedName>
    <definedName name="套工土地级别">'土地比较法-工业'!$B$99:$M$99</definedName>
    <definedName name="套工用途" localSheetId="24">'[1]土地比较法-工业'!$B$70:$M$70</definedName>
    <definedName name="套工用途" localSheetId="25">'[1]土地比较法-工业'!$B$70:$M$70</definedName>
    <definedName name="套工用途" localSheetId="48">'[2]土地比较法-工业'!$B$70:$M$70</definedName>
    <definedName name="套工用途">'土地比较法-工业'!$B$70:$M$70</definedName>
    <definedName name="套工宗地开发程度" localSheetId="24">'[1]土地比较法-工业'!$B$112:$M$112</definedName>
    <definedName name="套工宗地开发程度" localSheetId="25">'[1]土地比较法-工业'!$B$112:$M$112</definedName>
    <definedName name="套工宗地开发程度" localSheetId="48">'[2]土地比较法-工业'!$B$112:$M$112</definedName>
    <definedName name="套工宗地开发程度">'土地比较法-工业'!$B$112:$M$112</definedName>
    <definedName name="套工宗地形状" localSheetId="24">'[1]土地比较法-工业'!$B$110:$M$110</definedName>
    <definedName name="套工宗地形状" localSheetId="25">'[1]土地比较法-工业'!$B$110:$M$110</definedName>
    <definedName name="套工宗地形状" localSheetId="48">'[2]土地比较法-工业'!$B$110:$M$110</definedName>
    <definedName name="套工宗地形状">'土地比较法-工业'!$B$110:$M$110</definedName>
    <definedName name="套综道路等级" localSheetId="24">'[1]土地比较法-住宅、综合'!$B$106:$M$106</definedName>
    <definedName name="套综道路等级" localSheetId="25">'[1]土地比较法-住宅、综合'!$B$106:$M$106</definedName>
    <definedName name="套综道路等级" localSheetId="48">'[2]土地比较法-住宅、综合'!$B$106:$M$106</definedName>
    <definedName name="套综道路等级">'土地比较法-住宅、综合'!$B$106:$M$106</definedName>
    <definedName name="套综工程地质条件" localSheetId="24">'[1]土地比较法-住宅、综合'!$B$125:$M$125</definedName>
    <definedName name="套综工程地质条件" localSheetId="25">'[1]土地比较法-住宅、综合'!$B$125:$M$125</definedName>
    <definedName name="套综工程地质条件" localSheetId="48">'[2]土地比较法-住宅、综合'!$B$125:$M$125</definedName>
    <definedName name="套综工程地质条件">'土地比较法-住宅、综合'!$B$125:$M$125</definedName>
    <definedName name="套综交易情况" localSheetId="24">'[1]土地比较法-住宅、综合'!$A$73:$M$73</definedName>
    <definedName name="套综交易情况" localSheetId="25">'[1]土地比较法-住宅、综合'!$A$73:$M$73</definedName>
    <definedName name="套综交易情况" localSheetId="48">'[2]土地比较法-住宅、综合'!$A$73:$M$73</definedName>
    <definedName name="套综交易情况">'土地比较法-住宅、综合'!$A$73:$M$73</definedName>
    <definedName name="套综临街宽度及深度" localSheetId="24">'[1]土地比较法-住宅、综合'!$B$121:$M$121</definedName>
    <definedName name="套综临街宽度及深度" localSheetId="25">'[1]土地比较法-住宅、综合'!$B$121:$M$121</definedName>
    <definedName name="套综临街宽度及深度" localSheetId="48">'[2]土地比较法-住宅、综合'!$B$121:$M$121</definedName>
    <definedName name="套综临街宽度及深度">'土地比较法-住宅、综合'!$B$121:$M$121</definedName>
    <definedName name="套综土地级别" localSheetId="24">'[1]土地比较法-住宅、综合'!$B$108:$M$108</definedName>
    <definedName name="套综土地级别" localSheetId="25">'[1]土地比较法-住宅、综合'!$B$108:$M$108</definedName>
    <definedName name="套综土地级别" localSheetId="48">'[2]土地比较法-住宅、综合'!$B$108:$M$108</definedName>
    <definedName name="套综土地级别">'土地比较法-住宅、综合'!$B$108:$M$108</definedName>
    <definedName name="套综用途" localSheetId="24">'[1]土地比较法-住宅、综合'!$B$75:$M$75</definedName>
    <definedName name="套综用途" localSheetId="25">'[1]土地比较法-住宅、综合'!$B$75:$M$75</definedName>
    <definedName name="套综用途" localSheetId="48">'[2]土地比较法-住宅、综合'!$B$75:$M$75</definedName>
    <definedName name="套综用途">'土地比较法-住宅、综合'!$B$75:$M$75</definedName>
    <definedName name="套综宗地内开发程度" localSheetId="24">'[1]土地比较法-住宅、综合'!$B$123:$M$123</definedName>
    <definedName name="套综宗地内开发程度" localSheetId="25">'[1]土地比较法-住宅、综合'!$B$123:$M$123</definedName>
    <definedName name="套综宗地内开发程度" localSheetId="48">'[2]土地比较法-住宅、综合'!$B$123:$M$123</definedName>
    <definedName name="套综宗地内开发程度">'土地比较法-住宅、综合'!$B$123:$M$123</definedName>
    <definedName name="套综宗地形状" localSheetId="24">'[1]土地比较法-住宅、综合'!$B$119:$M$119</definedName>
    <definedName name="套综宗地形状" localSheetId="25">'[1]土地比较法-住宅、综合'!$B$119:$M$119</definedName>
    <definedName name="套综宗地形状" localSheetId="48">'[2]土地比较法-住宅、综合'!$B$119:$M$119</definedName>
    <definedName name="套综宗地形状">'土地比较法-住宅、综合'!$B$119:$M$119</definedName>
    <definedName name="土地估价师">估价师及机构信息!$D$3:$D$24</definedName>
    <definedName name="土地级别" localSheetId="24">[1]定义!$C$1:$C$14</definedName>
    <definedName name="土地级别" localSheetId="25">[1]定义!$C$1:$C$14</definedName>
    <definedName name="土地级别" localSheetId="48">[2]定义!$C$1:$C$14</definedName>
    <definedName name="土地级别">定义!$C$1:$C$14</definedName>
    <definedName name="土地利用方向">定义!$P$1:$P$6</definedName>
    <definedName name="土地年限区间" localSheetId="24">[1]定义!$I$1:$I$8</definedName>
    <definedName name="土地年限区间" localSheetId="25">[1]定义!$I$1:$I$8</definedName>
    <definedName name="土地年限区间" localSheetId="48">[2]定义!$I$1:$I$8</definedName>
    <definedName name="土地年限区间">定义!$I$1:$I$8</definedName>
    <definedName name="位置" localSheetId="24">[1]定义!$E$2:$E$4</definedName>
    <definedName name="位置" localSheetId="25">[1]定义!$E$2:$E$4</definedName>
    <definedName name="位置" localSheetId="48">[2]定义!$E$2:$E$4</definedName>
    <definedName name="位置">定义!$E$2:$E$4</definedName>
    <definedName name="五等判定" localSheetId="24">[1]定义!$W$1:$W$6</definedName>
    <definedName name="五等判定" localSheetId="25">[1]定义!$W$1:$W$6</definedName>
    <definedName name="五等判定" localSheetId="48">[2]定义!$W$1:$W$6</definedName>
    <definedName name="五等判定">定义!$W$1:$W$6</definedName>
    <definedName name="五级">区片价!$L$1:$L$35</definedName>
    <definedName name="项目类型" localSheetId="24">'[1]数据-汇总表'!$C$17:$C$26</definedName>
    <definedName name="项目类型" localSheetId="25">'[1]数据-汇总表'!$C$17:$C$26</definedName>
    <definedName name="项目类型" localSheetId="48">'[2]数据-汇总表'!$C$17:$C$26</definedName>
    <definedName name="项目类型">'数据-汇总表'!$C$17:$C$26</definedName>
    <definedName name="写字楼等级" localSheetId="24">'比较法-办公 (2)'!$B$113:$M$113</definedName>
    <definedName name="写字楼等级" localSheetId="25">'[1]比较法-办公'!$B$113:$M$113</definedName>
    <definedName name="写字楼等级" localSheetId="48">'[2]比较法-办公'!$B$113:$M$113</definedName>
    <definedName name="写字楼等级">'比较法-办公'!$B$113:$M$113</definedName>
    <definedName name="新的">'[1]比较法-办公'!$B$91:$M$91</definedName>
    <definedName name="一级">区片价!$H$1:$H$6</definedName>
    <definedName name="一修多修正项2" localSheetId="24">[1]典型户型修正!$5:$5</definedName>
    <definedName name="一修多修正项2" localSheetId="25">[1]典型户型修正!$5:$5</definedName>
    <definedName name="一修多修正项2" localSheetId="48">[2]典型户型修正!$5:$5</definedName>
    <definedName name="一修多修正项2">典型户型修正!$5:$5</definedName>
    <definedName name="一修多修正项3" localSheetId="24">[1]典型户型修正!$7:$7</definedName>
    <definedName name="一修多修正项3" localSheetId="25">[1]典型户型修正!$7:$7</definedName>
    <definedName name="一修多修正项3" localSheetId="48">[2]典型户型修正!$7:$7</definedName>
    <definedName name="一修多修正项3">典型户型修正!$7:$7</definedName>
    <definedName name="一修多修正项4" localSheetId="24">[1]典型户型修正!$9:$9</definedName>
    <definedName name="一修多修正项4" localSheetId="25">[1]典型户型修正!$9:$9</definedName>
    <definedName name="一修多修正项4" localSheetId="48">[2]典型户型修正!$9:$9</definedName>
    <definedName name="一修多修正项4">典型户型修正!$9:$9</definedName>
    <definedName name="一修多修正项5" localSheetId="24">[1]典型户型修正!$11:$11</definedName>
    <definedName name="一修多修正项5" localSheetId="25">[1]典型户型修正!$11:$11</definedName>
    <definedName name="一修多修正项5" localSheetId="48">[2]典型户型修正!$11:$11</definedName>
    <definedName name="一修多修正项5">典型户型修正!$11:$11</definedName>
    <definedName name="一修多修正项6" localSheetId="24">[1]典型户型修正!$13:$13</definedName>
    <definedName name="一修多修正项6" localSheetId="25">[1]典型户型修正!$13:$13</definedName>
    <definedName name="一修多修正项6" localSheetId="48">[2]典型户型修正!$13:$13</definedName>
    <definedName name="一修多修正项6">典型户型修正!$13:$13</definedName>
    <definedName name="一修多修正项7" localSheetId="24">[1]典型户型修正!$15:$15</definedName>
    <definedName name="一修多修正项7" localSheetId="25">[1]典型户型修正!$15:$15</definedName>
    <definedName name="一修多修正项7" localSheetId="48">[2]典型户型修正!$15:$15</definedName>
    <definedName name="一修多修正项7">典型户型修正!$15:$15</definedName>
    <definedName name="一修多修正项8" localSheetId="24">[1]典型户型修正!$17:$17</definedName>
    <definedName name="一修多修正项8" localSheetId="25">[1]典型户型修正!$17:$17</definedName>
    <definedName name="一修多修正项8" localSheetId="48">[2]典型户型修正!$17:$17</definedName>
    <definedName name="一修多修正项8">典型户型修正!$17:$17</definedName>
    <definedName name="用途明细" localSheetId="24">[1]定义!$A$1:$A$50</definedName>
    <definedName name="用途明细" localSheetId="25">[1]定义!$A$1:$A$50</definedName>
    <definedName name="用途明细" localSheetId="48">[2]定义!$A$1:$A$50</definedName>
    <definedName name="用途明细">定义!$A$1:$A$50</definedName>
    <definedName name="有无电梯" localSheetId="24">'[1]比较法-仓储'!$B$84:$M$84</definedName>
    <definedName name="有无电梯" localSheetId="25">'[1]比较法-仓储'!$B$84:$M$84</definedName>
    <definedName name="有无电梯" localSheetId="48">'[2]比较法-仓储'!$B$84:$M$84</definedName>
    <definedName name="有无电梯">'比较法-仓储'!$B$84:$M$84</definedName>
    <definedName name="主用途" localSheetId="24">[1]定义!$F$1:$F$10</definedName>
    <definedName name="主用途" localSheetId="25">[1]定义!$F$1:$F$10</definedName>
    <definedName name="主用途" localSheetId="48">[2]定义!$F$1:$F$10</definedName>
    <definedName name="主用途">定义!$F$1:$F$10</definedName>
    <definedName name="住宅朝向" localSheetId="24">'[1]比较法-住宅'!$B$88:$M$88</definedName>
    <definedName name="住宅朝向" localSheetId="25">'[1]比较法-住宅'!$B$88:$M$88</definedName>
    <definedName name="住宅朝向" localSheetId="48">'[2]比较法-住宅'!$B$88:$M$88</definedName>
    <definedName name="住宅朝向">'比较法-住宅'!$B$88:$M$88</definedName>
    <definedName name="住宅房型" localSheetId="24">'[1]比较法-住宅'!$B$118:$M$118</definedName>
    <definedName name="住宅房型" localSheetId="25">'[1]比较法-住宅'!$B$118:$M$118</definedName>
    <definedName name="住宅房型" localSheetId="48">'[2]比较法-住宅'!$B$118:$M$118</definedName>
    <definedName name="住宅房型">'比较法-住宅'!$B$118:$M$118</definedName>
    <definedName name="住宅公共部分装修" localSheetId="24">'[1]比较法-住宅'!$B$109:$M$109</definedName>
    <definedName name="住宅公共部分装修" localSheetId="25">'[1]比较法-住宅'!$B$109:$M$109</definedName>
    <definedName name="住宅公共部分装修" localSheetId="48">'[2]比较法-住宅'!$B$109:$M$109</definedName>
    <definedName name="住宅公共部分装修">'比较法-住宅'!$B$109:$M$109</definedName>
    <definedName name="住宅基础设施水平" localSheetId="24">'[1]比较法-住宅'!$B$116:$M$116</definedName>
    <definedName name="住宅基础设施水平" localSheetId="25">'[1]比较法-住宅'!$B$116:$M$116</definedName>
    <definedName name="住宅基础设施水平" localSheetId="48">'[2]比较法-住宅'!$B$116:$M$116</definedName>
    <definedName name="住宅基础设施水平">'比较法-住宅'!$B$116:$M$116</definedName>
    <definedName name="住宅建筑结构" localSheetId="24">'[1]比较法-住宅'!$B$105:$M$105</definedName>
    <definedName name="住宅建筑结构" localSheetId="25">'[1]比较法-住宅'!$B$105:$M$105</definedName>
    <definedName name="住宅建筑结构" localSheetId="48">'[2]比较法-住宅'!$B$105:$M$105</definedName>
    <definedName name="住宅建筑结构">'比较法-住宅'!$B$105:$M$105</definedName>
    <definedName name="住宅建筑类型" localSheetId="24">'[1]比较法-住宅'!$B$100:$M$100</definedName>
    <definedName name="住宅建筑类型" localSheetId="25">'[1]比较法-住宅'!$B$100:$M$100</definedName>
    <definedName name="住宅建筑类型" localSheetId="48">'[2]比较法-住宅'!$B$100:$M$100</definedName>
    <definedName name="住宅建筑类型">'比较法-住宅'!$B$100:$M$100</definedName>
    <definedName name="住宅建筑品质" localSheetId="24">'[1]比较法-住宅'!$B$107:$M$107</definedName>
    <definedName name="住宅建筑品质" localSheetId="25">'[1]比较法-住宅'!$B$107:$M$107</definedName>
    <definedName name="住宅建筑品质" localSheetId="48">'[2]比较法-住宅'!$B$107:$M$107</definedName>
    <definedName name="住宅建筑品质">'比较法-住宅'!$B$107:$M$107</definedName>
    <definedName name="住宅交易情况" localSheetId="24">'[1]比较法-住宅'!$A$61:$M$61</definedName>
    <definedName name="住宅交易情况" localSheetId="25">'[1]比较法-住宅'!$A$61:$M$61</definedName>
    <definedName name="住宅交易情况" localSheetId="48">'[2]比较法-住宅'!$A$61:$M$61</definedName>
    <definedName name="住宅交易情况">'比较法-住宅'!$A$61:$M$61</definedName>
    <definedName name="住宅楼层" localSheetId="24">'[1]比较法-住宅'!$B$86:$M$86</definedName>
    <definedName name="住宅楼层" localSheetId="25">'[1]比较法-住宅'!$B$86:$M$86</definedName>
    <definedName name="住宅楼层" localSheetId="48">'[2]比较法-住宅'!$B$86:$M$86</definedName>
    <definedName name="住宅楼层">'比较法-住宅'!$B$86:$M$86</definedName>
    <definedName name="住宅内部装修" localSheetId="24">'[1]比较法-住宅'!$B$122:$M$122</definedName>
    <definedName name="住宅内部装修" localSheetId="25">'[1]比较法-住宅'!$B$122:$M$122</definedName>
    <definedName name="住宅内部装修" localSheetId="48">'[2]比较法-住宅'!$B$122:$M$122</definedName>
    <definedName name="住宅内部装修">'比较法-住宅'!$B$122:$M$122</definedName>
    <definedName name="住宅物业管理" localSheetId="24">'[1]比较法-住宅'!$B$114:$M$114</definedName>
    <definedName name="住宅物业管理" localSheetId="25">'[1]比较法-住宅'!$B$114:$M$114</definedName>
    <definedName name="住宅物业管理" localSheetId="48">'[2]比较法-住宅'!$B$114:$M$114</definedName>
    <definedName name="住宅物业管理">'比较法-住宅'!$B$114:$M$114</definedName>
    <definedName name="住宅用途" localSheetId="24">'[1]比较法-住宅'!$B$63:$M$63</definedName>
    <definedName name="住宅用途" localSheetId="25">'[1]比较法-住宅'!$B$63:$M$63</definedName>
    <definedName name="住宅用途" localSheetId="48">'[2]比较法-住宅'!$B$63:$M$63</definedName>
    <definedName name="住宅用途">'比较法-住宅'!$B$63:$M$63</definedName>
    <definedName name="住宅主力户型面积">'比较法-住宅'!$B$120:$M$120</definedName>
    <definedName name="注册房地产估价师" localSheetId="24">[1]估价师及机构信息!$A$3:$A$24</definedName>
    <definedName name="注册房地产估价师" localSheetId="25">[1]估价师及机构信息!$A$3:$A$24</definedName>
    <definedName name="注册房地产估价师" localSheetId="48">[2]估价师及机构信息!$A$3:$A$24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L16" i="3" l="1"/>
  <c r="AN16" i="3"/>
  <c r="D14" i="9" l="1"/>
  <c r="Q237" i="83"/>
  <c r="Q235" i="83"/>
  <c r="K5" i="83" s="1"/>
  <c r="U8" i="77" s="1"/>
  <c r="Q233" i="83"/>
  <c r="Q230" i="83"/>
  <c r="Q227" i="83"/>
  <c r="Q224" i="83"/>
  <c r="Q221" i="83"/>
  <c r="Q218" i="83"/>
  <c r="Q215" i="83"/>
  <c r="Q212" i="83"/>
  <c r="Q209" i="83"/>
  <c r="Q206" i="83"/>
  <c r="Q203" i="83"/>
  <c r="Q198" i="83"/>
  <c r="Q193" i="83"/>
  <c r="Q188" i="83"/>
  <c r="Q183" i="83"/>
  <c r="Q178" i="83"/>
  <c r="Q173" i="83"/>
  <c r="Q168" i="83"/>
  <c r="Q163" i="83"/>
  <c r="Q158" i="83"/>
  <c r="Q153" i="83"/>
  <c r="Q149" i="83"/>
  <c r="Q138" i="83"/>
  <c r="Q127" i="83"/>
  <c r="Q116" i="83"/>
  <c r="Q105" i="83"/>
  <c r="Q94" i="83"/>
  <c r="Q83" i="83"/>
  <c r="Q72" i="83"/>
  <c r="Q61" i="83"/>
  <c r="C55" i="83"/>
  <c r="C54" i="83"/>
  <c r="C53" i="83"/>
  <c r="C52" i="83"/>
  <c r="Q50" i="83"/>
  <c r="C49" i="83"/>
  <c r="Q39" i="83"/>
  <c r="Q36" i="83"/>
  <c r="I12" i="83" s="1"/>
  <c r="K3" i="83" s="1"/>
  <c r="Q29" i="83"/>
  <c r="J13" i="83" s="1"/>
  <c r="Q27" i="83"/>
  <c r="Q16" i="83"/>
  <c r="I14" i="83"/>
  <c r="K14" i="83" s="1"/>
  <c r="I6" i="83"/>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F83" i="79"/>
  <c r="G83" i="79" s="1"/>
  <c r="D83" i="79"/>
  <c r="E83" i="79" s="1"/>
  <c r="F81" i="79"/>
  <c r="G81" i="79" s="1"/>
  <c r="D81" i="79"/>
  <c r="E81" i="79" s="1"/>
  <c r="F79" i="79"/>
  <c r="G79" i="79" s="1"/>
  <c r="D79" i="79"/>
  <c r="E79" i="79" s="1"/>
  <c r="F77" i="79"/>
  <c r="G77" i="79" s="1"/>
  <c r="D77" i="79"/>
  <c r="E77" i="79" s="1"/>
  <c r="B74" i="79"/>
  <c r="B72" i="79"/>
  <c r="B70" i="79"/>
  <c r="G69" i="79"/>
  <c r="H69" i="79" s="1"/>
  <c r="I69" i="79" s="1"/>
  <c r="J69" i="79" s="1"/>
  <c r="K69" i="79" s="1"/>
  <c r="L69" i="79" s="1"/>
  <c r="M69" i="79" s="1"/>
  <c r="E69" i="79"/>
  <c r="F69" i="79" s="1"/>
  <c r="D69" i="79"/>
  <c r="M67" i="79"/>
  <c r="L67" i="79"/>
  <c r="K67" i="79"/>
  <c r="J67" i="79"/>
  <c r="I67" i="79"/>
  <c r="H67" i="79"/>
  <c r="G67" i="79"/>
  <c r="F67" i="79"/>
  <c r="E67" i="79"/>
  <c r="D67" i="79"/>
  <c r="C67" i="79"/>
  <c r="H66" i="79"/>
  <c r="I66" i="79" s="1"/>
  <c r="G66" i="79"/>
  <c r="C63" i="79"/>
  <c r="P49" i="79"/>
  <c r="P48" i="79"/>
  <c r="P47" i="79"/>
  <c r="I47" i="79"/>
  <c r="G47" i="79"/>
  <c r="E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F33" i="79"/>
  <c r="AA33" i="79" s="1"/>
  <c r="C33" i="79"/>
  <c r="H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W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C7" i="79"/>
  <c r="C58" i="79" s="1"/>
  <c r="D58" i="79" s="1"/>
  <c r="E58" i="79" s="1"/>
  <c r="F58" i="79" s="1"/>
  <c r="G58" i="79" s="1"/>
  <c r="H58" i="79" s="1"/>
  <c r="I58" i="79" s="1"/>
  <c r="J58" i="79" s="1"/>
  <c r="K58" i="79" s="1"/>
  <c r="L58" i="79" s="1"/>
  <c r="M58" i="79" s="1"/>
  <c r="N58" i="79" s="1"/>
  <c r="O58" i="79" s="1"/>
  <c r="D3" i="79"/>
  <c r="B131" i="78"/>
  <c r="B129" i="78"/>
  <c r="B127" i="78"/>
  <c r="D126" i="78"/>
  <c r="E126" i="78" s="1"/>
  <c r="F126" i="78" s="1"/>
  <c r="G126" i="78" s="1"/>
  <c r="D124" i="78"/>
  <c r="E124" i="78" s="1"/>
  <c r="F124" i="78" s="1"/>
  <c r="G124" i="78" s="1"/>
  <c r="H124" i="78" s="1"/>
  <c r="I124" i="78" s="1"/>
  <c r="J124" i="78" s="1"/>
  <c r="K124" i="78" s="1"/>
  <c r="L124" i="78" s="1"/>
  <c r="M124" i="78" s="1"/>
  <c r="D120" i="78"/>
  <c r="E120" i="78" s="1"/>
  <c r="F120" i="78" s="1"/>
  <c r="G120" i="78" s="1"/>
  <c r="H120" i="78" s="1"/>
  <c r="I120" i="78" s="1"/>
  <c r="J120" i="78" s="1"/>
  <c r="K120" i="78" s="1"/>
  <c r="L120" i="78" s="1"/>
  <c r="M120" i="78" s="1"/>
  <c r="D118" i="78"/>
  <c r="E118" i="78" s="1"/>
  <c r="F118" i="78" s="1"/>
  <c r="G118" i="78" s="1"/>
  <c r="D116" i="78"/>
  <c r="E116" i="78" s="1"/>
  <c r="F116" i="78" s="1"/>
  <c r="G116" i="78" s="1"/>
  <c r="H116" i="78" s="1"/>
  <c r="I116" i="78" s="1"/>
  <c r="J116" i="78" s="1"/>
  <c r="K116" i="78" s="1"/>
  <c r="L116" i="78" s="1"/>
  <c r="M116" i="78" s="1"/>
  <c r="D114" i="78"/>
  <c r="E114" i="78" s="1"/>
  <c r="F114" i="78" s="1"/>
  <c r="G114" i="78" s="1"/>
  <c r="H114" i="78" s="1"/>
  <c r="I114" i="78" s="1"/>
  <c r="J114" i="78" s="1"/>
  <c r="K114" i="78" s="1"/>
  <c r="L114" i="78" s="1"/>
  <c r="M114" i="78" s="1"/>
  <c r="D112" i="78"/>
  <c r="E112" i="78" s="1"/>
  <c r="F112" i="78" s="1"/>
  <c r="G112" i="78" s="1"/>
  <c r="H112" i="78" s="1"/>
  <c r="I112" i="78" s="1"/>
  <c r="J112" i="78" s="1"/>
  <c r="K112" i="78" s="1"/>
  <c r="L112" i="78" s="1"/>
  <c r="M112" i="78" s="1"/>
  <c r="G110" i="78"/>
  <c r="F110" i="78"/>
  <c r="E110" i="78"/>
  <c r="D110" i="78"/>
  <c r="C110"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M103" i="78"/>
  <c r="L103" i="78"/>
  <c r="K103" i="78"/>
  <c r="J103" i="78"/>
  <c r="I103" i="78"/>
  <c r="H103" i="78"/>
  <c r="G103" i="78"/>
  <c r="F103" i="78"/>
  <c r="E103" i="78"/>
  <c r="D103" i="78"/>
  <c r="C103" i="78"/>
  <c r="D102" i="78"/>
  <c r="E102" i="78" s="1"/>
  <c r="F102" i="78" s="1"/>
  <c r="G102" i="78" s="1"/>
  <c r="H102" i="78" s="1"/>
  <c r="I102" i="78" s="1"/>
  <c r="J102" i="78" s="1"/>
  <c r="K102" i="78" s="1"/>
  <c r="L102" i="78" s="1"/>
  <c r="M102" i="78" s="1"/>
  <c r="B99" i="78"/>
  <c r="B97" i="78"/>
  <c r="B95" i="78"/>
  <c r="B93" i="78"/>
  <c r="D92" i="78"/>
  <c r="E92" i="78" s="1"/>
  <c r="F92" i="78" s="1"/>
  <c r="G92" i="78" s="1"/>
  <c r="H92" i="78" s="1"/>
  <c r="I92" i="78" s="1"/>
  <c r="J92" i="78" s="1"/>
  <c r="K92" i="78" s="1"/>
  <c r="L92" i="78" s="1"/>
  <c r="M92" i="78" s="1"/>
  <c r="B91" i="78"/>
  <c r="E90" i="78"/>
  <c r="F90" i="78" s="1"/>
  <c r="G90" i="78" s="1"/>
  <c r="H90" i="78" s="1"/>
  <c r="I90" i="78" s="1"/>
  <c r="J90" i="78" s="1"/>
  <c r="K90" i="78" s="1"/>
  <c r="L90" i="78" s="1"/>
  <c r="M90" i="78" s="1"/>
  <c r="D90" i="78"/>
  <c r="B89" i="78"/>
  <c r="D88" i="78"/>
  <c r="E88" i="78" s="1"/>
  <c r="F88" i="78" s="1"/>
  <c r="G88" i="78" s="1"/>
  <c r="H88" i="78" s="1"/>
  <c r="I88" i="78" s="1"/>
  <c r="J88" i="78" s="1"/>
  <c r="K88" i="78" s="1"/>
  <c r="L88" i="78" s="1"/>
  <c r="M88" i="78" s="1"/>
  <c r="D86" i="78"/>
  <c r="E86" i="78" s="1"/>
  <c r="F86" i="78" s="1"/>
  <c r="G86" i="78" s="1"/>
  <c r="D84" i="78"/>
  <c r="E84" i="78" s="1"/>
  <c r="F84" i="78" s="1"/>
  <c r="G84" i="78" s="1"/>
  <c r="D82" i="78"/>
  <c r="E82" i="78" s="1"/>
  <c r="F82" i="78" s="1"/>
  <c r="G82" i="78" s="1"/>
  <c r="D80" i="78"/>
  <c r="E80" i="78" s="1"/>
  <c r="F80" i="78" s="1"/>
  <c r="G80" i="78" s="1"/>
  <c r="D78" i="78"/>
  <c r="E78" i="78" s="1"/>
  <c r="F78" i="78" s="1"/>
  <c r="G78" i="78" s="1"/>
  <c r="B75" i="78"/>
  <c r="B73" i="78"/>
  <c r="B71" i="78"/>
  <c r="E70" i="78"/>
  <c r="F70" i="78" s="1"/>
  <c r="G70" i="78" s="1"/>
  <c r="H70" i="78" s="1"/>
  <c r="I70" i="78" s="1"/>
  <c r="J70" i="78" s="1"/>
  <c r="K70" i="78" s="1"/>
  <c r="L70" i="78" s="1"/>
  <c r="M70" i="78" s="1"/>
  <c r="D70" i="78"/>
  <c r="M68" i="78"/>
  <c r="L68" i="78"/>
  <c r="K68" i="78"/>
  <c r="J68" i="78"/>
  <c r="I68" i="78"/>
  <c r="H68" i="78"/>
  <c r="G68" i="78"/>
  <c r="F68" i="78"/>
  <c r="E68" i="78"/>
  <c r="D68" i="78"/>
  <c r="C68" i="78"/>
  <c r="H67" i="78"/>
  <c r="I67" i="78" s="1"/>
  <c r="F67" i="78"/>
  <c r="G67" i="78" s="1"/>
  <c r="C64" i="78"/>
  <c r="I55" i="78"/>
  <c r="J55" i="78" s="1"/>
  <c r="G55" i="78"/>
  <c r="H55" i="78" s="1"/>
  <c r="E55" i="78"/>
  <c r="F55" i="78" s="1"/>
  <c r="P50" i="78"/>
  <c r="P49" i="78"/>
  <c r="V48" i="78"/>
  <c r="T48" i="78"/>
  <c r="R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H27" i="78"/>
  <c r="AB27" i="78" s="1"/>
  <c r="F27" i="78"/>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9" i="78" s="1"/>
  <c r="D59" i="78" s="1"/>
  <c r="E59" i="78" s="1"/>
  <c r="F59" i="78" s="1"/>
  <c r="G59" i="78" s="1"/>
  <c r="H59" i="78" s="1"/>
  <c r="I59" i="78" s="1"/>
  <c r="J59" i="78" s="1"/>
  <c r="K59" i="78" s="1"/>
  <c r="L59" i="78" s="1"/>
  <c r="M59" i="78" s="1"/>
  <c r="N59" i="78" s="1"/>
  <c r="O59" i="78" s="1"/>
  <c r="D3" i="78"/>
  <c r="K56" i="77"/>
  <c r="J56" i="77" s="1"/>
  <c r="D56" i="77" s="1"/>
  <c r="D33" i="77"/>
  <c r="H33" i="77" s="1"/>
  <c r="D38" i="43"/>
  <c r="D29" i="43"/>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B77" i="77"/>
  <c r="N76" i="77"/>
  <c r="M76" i="77"/>
  <c r="K76" i="77"/>
  <c r="J76" i="77" s="1"/>
  <c r="D76" i="77"/>
  <c r="N75" i="77"/>
  <c r="M75" i="77"/>
  <c r="K75" i="77"/>
  <c r="J75" i="77" s="1"/>
  <c r="D75" i="77"/>
  <c r="B75" i="77"/>
  <c r="M74" i="77"/>
  <c r="N74" i="77" s="1"/>
  <c r="K74" i="77"/>
  <c r="J74" i="77"/>
  <c r="D74" i="77"/>
  <c r="B74" i="77"/>
  <c r="N73" i="77"/>
  <c r="M73" i="77"/>
  <c r="K73" i="77"/>
  <c r="J73" i="77" s="1"/>
  <c r="D73" i="77"/>
  <c r="B73" i="77"/>
  <c r="M72" i="77"/>
  <c r="N72" i="77" s="1"/>
  <c r="K72" i="77"/>
  <c r="J72" i="77"/>
  <c r="D72" i="77"/>
  <c r="B72" i="77"/>
  <c r="N71" i="77"/>
  <c r="M71" i="77"/>
  <c r="K71" i="77"/>
  <c r="J71" i="77" s="1"/>
  <c r="D71" i="77"/>
  <c r="B71" i="77"/>
  <c r="M70" i="77"/>
  <c r="N70" i="77" s="1"/>
  <c r="K70" i="77"/>
  <c r="J70" i="77"/>
  <c r="F70" i="77"/>
  <c r="H76" i="77" s="1"/>
  <c r="D70" i="77"/>
  <c r="E70" i="77" s="1"/>
  <c r="B68" i="77" s="1"/>
  <c r="B70" i="77"/>
  <c r="M67" i="77"/>
  <c r="N67" i="77" s="1"/>
  <c r="K67" i="77"/>
  <c r="J67" i="77"/>
  <c r="D67" i="77"/>
  <c r="B67" i="77"/>
  <c r="N66" i="77"/>
  <c r="M66" i="77"/>
  <c r="K66" i="77"/>
  <c r="J66" i="77" s="1"/>
  <c r="D66" i="77"/>
  <c r="B66" i="77"/>
  <c r="M65" i="77"/>
  <c r="N65" i="77" s="1"/>
  <c r="K65" i="77"/>
  <c r="J65" i="77"/>
  <c r="D65" i="77"/>
  <c r="B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B60" i="77"/>
  <c r="M59" i="77"/>
  <c r="N59" i="77" s="1"/>
  <c r="K59" i="77"/>
  <c r="J59" i="77"/>
  <c r="D59" i="77"/>
  <c r="E59" i="77" s="1"/>
  <c r="B57" i="77" s="1"/>
  <c r="B59" i="77"/>
  <c r="M56" i="77"/>
  <c r="N56" i="77" s="1"/>
  <c r="B56" i="77"/>
  <c r="N55" i="77"/>
  <c r="M55" i="77"/>
  <c r="K55" i="77"/>
  <c r="J55" i="77" s="1"/>
  <c r="D55" i="77" s="1"/>
  <c r="B55" i="77"/>
  <c r="M54" i="77"/>
  <c r="N54" i="77" s="1"/>
  <c r="K54" i="77"/>
  <c r="J54" i="77" s="1"/>
  <c r="D54" i="77" s="1"/>
  <c r="B54" i="77"/>
  <c r="M53" i="77"/>
  <c r="N53" i="77" s="1"/>
  <c r="K53" i="77"/>
  <c r="J53" i="77" s="1"/>
  <c r="D53" i="77" s="1"/>
  <c r="M52" i="77"/>
  <c r="N52" i="77" s="1"/>
  <c r="K52" i="77"/>
  <c r="J52" i="77" s="1"/>
  <c r="D52" i="77"/>
  <c r="B52" i="77"/>
  <c r="M51" i="77"/>
  <c r="N51" i="77" s="1"/>
  <c r="K51" i="77"/>
  <c r="J51" i="77" s="1"/>
  <c r="D51" i="77"/>
  <c r="M50" i="77"/>
  <c r="N50" i="77" s="1"/>
  <c r="K50" i="77"/>
  <c r="J50" i="77" s="1"/>
  <c r="D50" i="77"/>
  <c r="B50" i="77"/>
  <c r="M49" i="77"/>
  <c r="N49" i="77" s="1"/>
  <c r="K49" i="77"/>
  <c r="J49" i="77" s="1"/>
  <c r="D49" i="77"/>
  <c r="B49" i="77"/>
  <c r="M48" i="77"/>
  <c r="N48" i="77" s="1"/>
  <c r="K48" i="77"/>
  <c r="J48" i="77"/>
  <c r="D48" i="77" s="1"/>
  <c r="B48" i="77"/>
  <c r="H39" i="77"/>
  <c r="H38" i="77"/>
  <c r="H37" i="77"/>
  <c r="H36" i="77"/>
  <c r="H35" i="77"/>
  <c r="H34" i="77"/>
  <c r="J20" i="77"/>
  <c r="I20" i="77"/>
  <c r="M19" i="77"/>
  <c r="I19" i="77"/>
  <c r="G19" i="77"/>
  <c r="P24" i="77" s="1"/>
  <c r="C18" i="77"/>
  <c r="F15" i="77"/>
  <c r="E15" i="77"/>
  <c r="D15" i="77"/>
  <c r="C15" i="77"/>
  <c r="Y12" i="77"/>
  <c r="C12" i="77"/>
  <c r="Y10" i="77"/>
  <c r="C10" i="77"/>
  <c r="C11" i="77" s="1"/>
  <c r="AJ9" i="77"/>
  <c r="AJ10" i="77" s="1"/>
  <c r="AI9" i="77"/>
  <c r="AI12" i="77" s="1"/>
  <c r="AH9" i="77"/>
  <c r="AH10" i="77" s="1"/>
  <c r="AG9" i="77"/>
  <c r="AG12" i="77" s="1"/>
  <c r="AF9" i="77"/>
  <c r="AF10" i="77" s="1"/>
  <c r="AE9" i="77"/>
  <c r="AE12" i="77" s="1"/>
  <c r="AD9" i="77"/>
  <c r="AD10" i="77" s="1"/>
  <c r="AC9" i="77"/>
  <c r="AC12" i="77" s="1"/>
  <c r="AB9" i="77"/>
  <c r="AB12" i="77" s="1"/>
  <c r="AA9" i="77"/>
  <c r="AA12" i="77" s="1"/>
  <c r="Z9" i="77"/>
  <c r="Z10" i="77" s="1"/>
  <c r="C9" i="77"/>
  <c r="A7" i="77"/>
  <c r="S3" i="77"/>
  <c r="G3" i="77"/>
  <c r="I2" i="77"/>
  <c r="G2" i="77"/>
  <c r="S5" i="77" s="1"/>
  <c r="G21" i="6"/>
  <c r="G20" i="6"/>
  <c r="F20" i="6"/>
  <c r="F19" i="6"/>
  <c r="F9" i="81"/>
  <c r="F8" i="81"/>
  <c r="C76" i="81"/>
  <c r="D2" i="79"/>
  <c r="D2" i="78"/>
  <c r="I13" i="83" l="1"/>
  <c r="U2" i="77"/>
  <c r="D29" i="77"/>
  <c r="Q238" i="83"/>
  <c r="K4" i="83"/>
  <c r="K6" i="83"/>
  <c r="U9" i="77" s="1"/>
  <c r="K13" i="83"/>
  <c r="J15" i="83"/>
  <c r="K15" i="83" s="1"/>
  <c r="C56" i="83"/>
  <c r="AD12" i="77"/>
  <c r="Z12" i="77"/>
  <c r="AH12" i="77"/>
  <c r="I16" i="83"/>
  <c r="K12" i="83"/>
  <c r="Q71" i="81"/>
  <c r="F51" i="81"/>
  <c r="F7" i="79"/>
  <c r="J7" i="79"/>
  <c r="S8" i="79"/>
  <c r="W8" i="79"/>
  <c r="S9" i="79"/>
  <c r="W9" i="79"/>
  <c r="U10" i="79"/>
  <c r="S11" i="79"/>
  <c r="W11" i="79"/>
  <c r="U12" i="79"/>
  <c r="S13" i="79"/>
  <c r="W13" i="79"/>
  <c r="U14" i="79"/>
  <c r="U15" i="79"/>
  <c r="U17" i="79"/>
  <c r="U19" i="79"/>
  <c r="U21" i="79"/>
  <c r="U23" i="79"/>
  <c r="S25" i="79"/>
  <c r="W25" i="79"/>
  <c r="U26" i="79"/>
  <c r="AC26" i="79"/>
  <c r="AB33" i="79"/>
  <c r="U33" i="79"/>
  <c r="H7" i="79"/>
  <c r="U9" i="79"/>
  <c r="S10" i="79"/>
  <c r="W10" i="79"/>
  <c r="U11" i="79"/>
  <c r="S12" i="79"/>
  <c r="W12" i="79"/>
  <c r="U13" i="79"/>
  <c r="S14" i="79"/>
  <c r="W14" i="79"/>
  <c r="S15" i="79"/>
  <c r="W15" i="79"/>
  <c r="S17" i="79"/>
  <c r="W17" i="79"/>
  <c r="S19" i="79"/>
  <c r="W19" i="79"/>
  <c r="S21" i="79"/>
  <c r="W21" i="79"/>
  <c r="S23" i="79"/>
  <c r="W23" i="79"/>
  <c r="U25" i="79"/>
  <c r="S26" i="79"/>
  <c r="U27" i="79"/>
  <c r="S28" i="79"/>
  <c r="W28" i="79"/>
  <c r="U29" i="79"/>
  <c r="S30" i="79"/>
  <c r="W30" i="79"/>
  <c r="U31" i="79"/>
  <c r="S32" i="79"/>
  <c r="W32" i="79"/>
  <c r="S33" i="79"/>
  <c r="W33" i="79"/>
  <c r="U34" i="79"/>
  <c r="S35" i="79"/>
  <c r="W35" i="79"/>
  <c r="U36" i="79"/>
  <c r="S37" i="79"/>
  <c r="W37" i="79"/>
  <c r="U38" i="79"/>
  <c r="S39" i="79"/>
  <c r="W39" i="79"/>
  <c r="U40" i="79"/>
  <c r="S41" i="79"/>
  <c r="W41" i="79"/>
  <c r="U42" i="79"/>
  <c r="S43" i="79"/>
  <c r="W43" i="79"/>
  <c r="U44" i="79"/>
  <c r="S45" i="79"/>
  <c r="W45" i="79"/>
  <c r="U46" i="79"/>
  <c r="E54" i="79"/>
  <c r="F54" i="79" s="1"/>
  <c r="I54" i="79"/>
  <c r="J54" i="79" s="1"/>
  <c r="R47" i="79"/>
  <c r="V47"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G54" i="79"/>
  <c r="H54" i="79" s="1"/>
  <c r="T47" i="79"/>
  <c r="H7" i="78"/>
  <c r="F7" i="78"/>
  <c r="J7" i="78"/>
  <c r="S8" i="78"/>
  <c r="W8" i="78"/>
  <c r="S9" i="78"/>
  <c r="W9" i="78"/>
  <c r="U10" i="78"/>
  <c r="S11" i="78"/>
  <c r="W11" i="78"/>
  <c r="U12" i="78"/>
  <c r="S13" i="78"/>
  <c r="W13" i="78"/>
  <c r="U14" i="78"/>
  <c r="U15" i="78"/>
  <c r="U17" i="78"/>
  <c r="U19" i="78"/>
  <c r="U21" i="78"/>
  <c r="U23" i="78"/>
  <c r="S25" i="78"/>
  <c r="W25" i="78"/>
  <c r="U9" i="78"/>
  <c r="S10" i="78"/>
  <c r="W10" i="78"/>
  <c r="U11" i="78"/>
  <c r="S12" i="78"/>
  <c r="W12" i="78"/>
  <c r="U13" i="78"/>
  <c r="S14" i="78"/>
  <c r="W14" i="78"/>
  <c r="S15" i="78"/>
  <c r="W15" i="78"/>
  <c r="S17" i="78"/>
  <c r="W17" i="78"/>
  <c r="S19" i="78"/>
  <c r="W19" i="78"/>
  <c r="S21" i="78"/>
  <c r="W21" i="78"/>
  <c r="S23" i="78"/>
  <c r="W23" i="78"/>
  <c r="U25" i="78"/>
  <c r="AA27" i="78"/>
  <c r="S27" i="78"/>
  <c r="AC27" i="78"/>
  <c r="W27"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W46" i="78"/>
  <c r="U4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U46" i="78"/>
  <c r="S47" i="78"/>
  <c r="W47" i="78"/>
  <c r="E48" i="77"/>
  <c r="B46" i="77" s="1"/>
  <c r="C24" i="77" s="1"/>
  <c r="D1" i="77"/>
  <c r="S6" i="77"/>
  <c r="X7" i="77"/>
  <c r="E11" i="77"/>
  <c r="E10" i="77"/>
  <c r="E9" i="77"/>
  <c r="E8" i="77"/>
  <c r="M12" i="77"/>
  <c r="N11" i="77"/>
  <c r="N2" i="77"/>
  <c r="N4" i="77"/>
  <c r="M5" i="77"/>
  <c r="M6" i="77"/>
  <c r="N7" i="77"/>
  <c r="N8" i="77"/>
  <c r="N9" i="77"/>
  <c r="N1" i="77"/>
  <c r="H113" i="77"/>
  <c r="J17" i="77"/>
  <c r="H17" i="77"/>
  <c r="E17" i="77"/>
  <c r="M2" i="77"/>
  <c r="S2" i="77"/>
  <c r="B113" i="77"/>
  <c r="M101" i="77"/>
  <c r="K101" i="77"/>
  <c r="I101" i="77"/>
  <c r="G101" i="77"/>
  <c r="E101" i="77"/>
  <c r="C101" i="77"/>
  <c r="L101" i="77"/>
  <c r="H101" i="77"/>
  <c r="D101" i="77"/>
  <c r="N101" i="77"/>
  <c r="J101" i="77"/>
  <c r="F101" i="77"/>
  <c r="F109" i="77" s="1"/>
  <c r="C23" i="77"/>
  <c r="C21" i="77" s="1"/>
  <c r="J22" i="77"/>
  <c r="G22" i="77"/>
  <c r="E22" i="77"/>
  <c r="AJ11" i="77"/>
  <c r="AH11" i="77"/>
  <c r="AH13" i="77" s="1"/>
  <c r="AF11" i="77"/>
  <c r="AD11" i="77"/>
  <c r="AD13" i="77" s="1"/>
  <c r="AB11" i="77"/>
  <c r="AB13" i="77" s="1"/>
  <c r="Z11" i="77"/>
  <c r="Z13" i="77" s="1"/>
  <c r="N3" i="77"/>
  <c r="M4" i="77"/>
  <c r="S4" i="77"/>
  <c r="N5" i="77"/>
  <c r="C6" i="77"/>
  <c r="N6" i="77"/>
  <c r="F59" i="77" s="1"/>
  <c r="M7" i="77"/>
  <c r="S7" i="77"/>
  <c r="Z7" i="77"/>
  <c r="M8" i="77"/>
  <c r="M9" i="77"/>
  <c r="N10" i="77"/>
  <c r="AB10" i="77"/>
  <c r="AG10" i="77"/>
  <c r="AA11" i="77"/>
  <c r="AA13" i="77" s="1"/>
  <c r="AE11" i="77"/>
  <c r="AE13" i="77" s="1"/>
  <c r="AI11" i="77"/>
  <c r="AI13" i="77" s="1"/>
  <c r="N12" i="77"/>
  <c r="AF12" i="77"/>
  <c r="AF13" i="77" s="1"/>
  <c r="AJ12" i="77"/>
  <c r="AJ13" i="77" s="1"/>
  <c r="G17" i="77"/>
  <c r="F22" i="77"/>
  <c r="P22" i="77"/>
  <c r="F34" i="77"/>
  <c r="F36" i="77"/>
  <c r="F38" i="77"/>
  <c r="J109" i="77"/>
  <c r="N109" i="77"/>
  <c r="D109" i="77"/>
  <c r="L109" i="77"/>
  <c r="M1" i="77"/>
  <c r="M3" i="77"/>
  <c r="M10" i="77"/>
  <c r="AA10" i="77"/>
  <c r="AC10" i="77"/>
  <c r="AE10" i="77"/>
  <c r="AI10" i="77"/>
  <c r="M11" i="77"/>
  <c r="Y11" i="77"/>
  <c r="Y13" i="77" s="1"/>
  <c r="AC11" i="77"/>
  <c r="AC13" i="77" s="1"/>
  <c r="AG11" i="77"/>
  <c r="AG13" i="77" s="1"/>
  <c r="C17" i="77"/>
  <c r="I17" i="77"/>
  <c r="P25" i="77"/>
  <c r="P21" i="77"/>
  <c r="M20" i="77"/>
  <c r="C19" i="77" s="1"/>
  <c r="O19" i="77"/>
  <c r="H22" i="77"/>
  <c r="P23" i="77"/>
  <c r="F33" i="77"/>
  <c r="F35" i="77"/>
  <c r="F37" i="77"/>
  <c r="F39" i="77"/>
  <c r="H109" i="77"/>
  <c r="H70" i="77"/>
  <c r="H72" i="77"/>
  <c r="H74" i="77"/>
  <c r="H77" i="77"/>
  <c r="H78" i="77"/>
  <c r="H81" i="77"/>
  <c r="H83" i="77"/>
  <c r="H85" i="77"/>
  <c r="H88" i="77"/>
  <c r="F100" i="77"/>
  <c r="J100" i="77"/>
  <c r="N100" i="77"/>
  <c r="H71" i="77"/>
  <c r="H73" i="77"/>
  <c r="H75" i="77"/>
  <c r="H82" i="77"/>
  <c r="H84" i="77"/>
  <c r="H86" i="77"/>
  <c r="C108" i="77"/>
  <c r="C109" i="77" s="1"/>
  <c r="C100" i="77"/>
  <c r="E108" i="77"/>
  <c r="E109" i="77" s="1"/>
  <c r="E100" i="77"/>
  <c r="G108" i="77"/>
  <c r="G109" i="77" s="1"/>
  <c r="G100" i="77"/>
  <c r="I108" i="77"/>
  <c r="I109" i="77" s="1"/>
  <c r="I100" i="77"/>
  <c r="K108" i="77"/>
  <c r="K109" i="77" s="1"/>
  <c r="K100" i="77"/>
  <c r="M108" i="77"/>
  <c r="M109" i="77" s="1"/>
  <c r="M100" i="77"/>
  <c r="F6" i="81"/>
  <c r="M8" i="81"/>
  <c r="F13" i="81"/>
  <c r="J15" i="81"/>
  <c r="F26" i="81"/>
  <c r="M27" i="81"/>
  <c r="F36" i="81"/>
  <c r="F38" i="81"/>
  <c r="M28" i="81"/>
  <c r="F42" i="81"/>
  <c r="L47" i="81"/>
  <c r="M6" i="81"/>
  <c r="M9" i="81"/>
  <c r="F16" i="81"/>
  <c r="M23" i="81"/>
  <c r="M26" i="81"/>
  <c r="F37" i="81"/>
  <c r="M22" i="81"/>
  <c r="M24" i="81"/>
  <c r="F40" i="81"/>
  <c r="L48" i="81"/>
  <c r="K16" i="83" l="1"/>
  <c r="J16" i="83"/>
  <c r="K7" i="83"/>
  <c r="J53" i="81"/>
  <c r="Q52" i="81" s="1"/>
  <c r="L56" i="81"/>
  <c r="I54" i="81"/>
  <c r="J57" i="81"/>
  <c r="J55" i="81" s="1"/>
  <c r="J58" i="81" s="1"/>
  <c r="Q50" i="81" s="1"/>
  <c r="F68" i="81"/>
  <c r="F65" i="81"/>
  <c r="N59" i="81"/>
  <c r="L59" i="81"/>
  <c r="L58" i="81"/>
  <c r="M59" i="81"/>
  <c r="F66" i="81"/>
  <c r="F64" i="81"/>
  <c r="C27" i="81"/>
  <c r="T48" i="79"/>
  <c r="G48" i="79" s="1"/>
  <c r="W7" i="79"/>
  <c r="AC7" i="79"/>
  <c r="V48" i="79" s="1"/>
  <c r="I48" i="79" s="1"/>
  <c r="AB7" i="79"/>
  <c r="U7" i="79"/>
  <c r="S7" i="79"/>
  <c r="AA7" i="79"/>
  <c r="R48" i="79" s="1"/>
  <c r="AA7" i="78"/>
  <c r="R49" i="78" s="1"/>
  <c r="S7" i="78"/>
  <c r="AC7" i="78"/>
  <c r="V49" i="78" s="1"/>
  <c r="I49" i="78" s="1"/>
  <c r="W7" i="78"/>
  <c r="U7" i="78"/>
  <c r="AB7" i="78"/>
  <c r="T49" i="78" s="1"/>
  <c r="G49" i="78" s="1"/>
  <c r="C16" i="77"/>
  <c r="D5" i="77" s="1"/>
  <c r="F48" i="77"/>
  <c r="H66" i="77"/>
  <c r="H64" i="77"/>
  <c r="H63" i="77"/>
  <c r="H60" i="77"/>
  <c r="H67" i="77"/>
  <c r="H65" i="77"/>
  <c r="H62" i="77"/>
  <c r="H61" i="77"/>
  <c r="H59" i="77"/>
  <c r="D22" i="77"/>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G39" i="77"/>
  <c r="I39" i="77" s="1"/>
  <c r="C7" i="77"/>
  <c r="F1" i="81" l="1"/>
  <c r="D113" i="77"/>
  <c r="Q60" i="81"/>
  <c r="Q73" i="81"/>
  <c r="Q61" i="81"/>
  <c r="Q74" i="81"/>
  <c r="R49" i="79"/>
  <c r="E48" i="79"/>
  <c r="I53" i="79" s="1"/>
  <c r="J53" i="79" s="1"/>
  <c r="I52" i="79"/>
  <c r="J52" i="79" s="1"/>
  <c r="G53" i="79"/>
  <c r="H53" i="79" s="1"/>
  <c r="G52" i="79"/>
  <c r="H52" i="79" s="1"/>
  <c r="I53" i="78"/>
  <c r="J53" i="78" s="1"/>
  <c r="E49" i="78"/>
  <c r="R50" i="78"/>
  <c r="C5" i="77"/>
  <c r="G54" i="78"/>
  <c r="H54" i="78" s="1"/>
  <c r="G53" i="78"/>
  <c r="H53" i="78" s="1"/>
  <c r="H55" i="77"/>
  <c r="H52" i="77"/>
  <c r="H56" i="77"/>
  <c r="H51" i="77"/>
  <c r="H48" i="77"/>
  <c r="H53" i="77"/>
  <c r="H49" i="77"/>
  <c r="H54" i="77"/>
  <c r="H50" i="77"/>
  <c r="C49" i="79" l="1"/>
  <c r="J3" i="83" s="1"/>
  <c r="C48" i="79"/>
  <c r="E53" i="79"/>
  <c r="F53" i="79" s="1"/>
  <c r="E52" i="79"/>
  <c r="F52" i="79" s="1"/>
  <c r="E53" i="78"/>
  <c r="F53" i="78" s="1"/>
  <c r="E54" i="78"/>
  <c r="F54" i="78" s="1"/>
  <c r="C50" i="78"/>
  <c r="C6" i="12" s="1"/>
  <c r="C49" i="78"/>
  <c r="I54" i="78"/>
  <c r="J54" i="78" s="1"/>
  <c r="B3" i="79" l="1"/>
  <c r="B2" i="79"/>
  <c r="B3" i="78"/>
  <c r="B2" i="78"/>
  <c r="O15" i="3" l="1"/>
  <c r="M14" i="3"/>
  <c r="K14" i="3"/>
  <c r="I13" i="3"/>
  <c r="J4" i="83" l="1"/>
  <c r="L4" i="83" s="1"/>
  <c r="J6" i="83"/>
  <c r="L6" i="83" s="1"/>
  <c r="J5" i="83"/>
  <c r="L5" i="83" s="1"/>
  <c r="L3" i="83"/>
  <c r="L7" i="83" l="1"/>
  <c r="D8" i="12" s="1"/>
  <c r="M7" i="83" l="1"/>
  <c r="D6" i="12" s="1"/>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B65" i="72" s="1"/>
  <c r="A12" i="62"/>
  <c r="A120" i="9"/>
  <c r="H2" i="52"/>
  <c r="A1" i="52"/>
  <c r="A3" i="53"/>
  <c r="Q8" i="71"/>
  <c r="P8" i="71"/>
  <c r="O8" i="71"/>
  <c r="N8"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7" i="72"/>
  <c r="B66" i="72"/>
  <c r="B10" i="72"/>
  <c r="C53" i="10"/>
  <c r="B51" i="10"/>
  <c r="B19" i="72"/>
  <c r="A18" i="51"/>
  <c r="B13" i="72" s="1"/>
  <c r="C8" i="68"/>
  <c r="B49" i="48"/>
  <c r="B5" i="72"/>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c r="N23" i="71"/>
  <c r="B24" i="71"/>
  <c r="B25" i="71" s="1"/>
  <c r="B26" i="71" s="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B20" i="71" s="1"/>
  <c r="B21" i="71" s="1"/>
  <c r="B22" i="71" s="1"/>
  <c r="S22" i="71" s="1"/>
  <c r="D19" i="71"/>
  <c r="Q18" i="71"/>
  <c r="AB18" i="71" s="1"/>
  <c r="P18" i="71"/>
  <c r="AA17" i="71" s="1"/>
  <c r="O18" i="71"/>
  <c r="Y18" i="71"/>
  <c r="Z18" i="71" s="1"/>
  <c r="N18" i="71"/>
  <c r="Q17" i="71"/>
  <c r="AB17" i="71"/>
  <c r="P17" i="71"/>
  <c r="O17" i="71"/>
  <c r="Y17" i="71" s="1"/>
  <c r="Z17" i="71" s="1"/>
  <c r="N17" i="71"/>
  <c r="Q16" i="71"/>
  <c r="AB16" i="71" s="1"/>
  <c r="P16" i="71"/>
  <c r="AA16" i="71" s="1"/>
  <c r="O16" i="71"/>
  <c r="Y16" i="71"/>
  <c r="Z16" i="71" s="1"/>
  <c r="N16" i="71"/>
  <c r="Q15" i="71"/>
  <c r="F16" i="71" s="1"/>
  <c r="F17" i="71" s="1"/>
  <c r="F18" i="71" s="1"/>
  <c r="V18" i="71" s="1"/>
  <c r="P15" i="71"/>
  <c r="O15" i="71"/>
  <c r="N15" i="71"/>
  <c r="D15" i="71"/>
  <c r="Q14" i="71"/>
  <c r="AB14" i="71" s="1"/>
  <c r="P14" i="71"/>
  <c r="O14" i="71"/>
  <c r="Y14" i="71"/>
  <c r="Z14" i="71" s="1"/>
  <c r="N14" i="71"/>
  <c r="X13" i="71" s="1"/>
  <c r="Q13" i="71"/>
  <c r="AB13" i="71"/>
  <c r="P13" i="71"/>
  <c r="O13" i="71"/>
  <c r="Y13" i="71" s="1"/>
  <c r="Z13" i="71" s="1"/>
  <c r="N13" i="71"/>
  <c r="Q12" i="71"/>
  <c r="AB12" i="71" s="1"/>
  <c r="P12" i="71"/>
  <c r="O12" i="71"/>
  <c r="Y12" i="71"/>
  <c r="Z12" i="71" s="1"/>
  <c r="N12" i="71"/>
  <c r="X12" i="71" s="1"/>
  <c r="Q11" i="71"/>
  <c r="F12" i="71" s="1"/>
  <c r="F13" i="71" s="1"/>
  <c r="F14" i="71" s="1"/>
  <c r="V14" i="71" s="1"/>
  <c r="P11" i="71"/>
  <c r="E12" i="71" s="1"/>
  <c r="E13" i="71" s="1"/>
  <c r="E14" i="71" s="1"/>
  <c r="U14" i="71" s="1"/>
  <c r="O11" i="71"/>
  <c r="N11" i="71"/>
  <c r="X7" i="71" s="1"/>
  <c r="D11" i="71"/>
  <c r="O10" i="71"/>
  <c r="C10" i="71" s="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C18" i="71" s="1"/>
  <c r="X16" i="71"/>
  <c r="X17" i="71"/>
  <c r="X18" i="71"/>
  <c r="C20" i="71"/>
  <c r="C21" i="71" s="1"/>
  <c r="Y19" i="71"/>
  <c r="Z19" i="71"/>
  <c r="AB19" i="71"/>
  <c r="X20" i="71"/>
  <c r="AA20" i="71"/>
  <c r="F33" i="71"/>
  <c r="F34" i="71" s="1"/>
  <c r="V34" i="71" s="1"/>
  <c r="Y3" i="71"/>
  <c r="Z3" i="71" s="1"/>
  <c r="Y7" i="71"/>
  <c r="Z7" i="71" s="1"/>
  <c r="Y8" i="71"/>
  <c r="Z8" i="71" s="1"/>
  <c r="Y9" i="71"/>
  <c r="Z9" i="71" s="1"/>
  <c r="Y10" i="71"/>
  <c r="Z10" i="71" s="1"/>
  <c r="B10" i="71"/>
  <c r="B9" i="71" s="1"/>
  <c r="B8" i="71" s="1"/>
  <c r="X8" i="71"/>
  <c r="X3" i="71"/>
  <c r="C13" i="71"/>
  <c r="C14" i="71" s="1"/>
  <c r="D12" i="71"/>
  <c r="D16" i="71"/>
  <c r="D20" i="71"/>
  <c r="C25" i="71"/>
  <c r="D24" i="71"/>
  <c r="C29" i="71"/>
  <c r="D29" i="71"/>
  <c r="D28" i="71"/>
  <c r="C33" i="71"/>
  <c r="C34" i="71" s="1"/>
  <c r="D32" i="71"/>
  <c r="P10" i="71"/>
  <c r="E10" i="71" s="1"/>
  <c r="E37" i="71"/>
  <c r="E38" i="71"/>
  <c r="U38" i="71" s="1"/>
  <c r="E41" i="71"/>
  <c r="E42" i="71" s="1"/>
  <c r="U42" i="71" s="1"/>
  <c r="E45" i="71"/>
  <c r="E46" i="71"/>
  <c r="U46" i="71" s="1"/>
  <c r="U50" i="71"/>
  <c r="E49" i="71"/>
  <c r="P49" i="71" s="1"/>
  <c r="Q10" i="71"/>
  <c r="C41" i="71"/>
  <c r="C42" i="71" s="1"/>
  <c r="D40" i="71"/>
  <c r="C45" i="71"/>
  <c r="D45" i="71" s="1"/>
  <c r="D44" i="71"/>
  <c r="N49" i="71"/>
  <c r="B48"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F10" i="71"/>
  <c r="F9" i="71"/>
  <c r="F8" i="71" s="1"/>
  <c r="AB3" i="71"/>
  <c r="AB8" i="71"/>
  <c r="AB10" i="71"/>
  <c r="AA3" i="71"/>
  <c r="AA8" i="71"/>
  <c r="AA10" i="71"/>
  <c r="O49" i="71"/>
  <c r="C46" i="71"/>
  <c r="D46" i="71" s="1"/>
  <c r="D65" i="71"/>
  <c r="C56" i="71"/>
  <c r="D56" i="71" s="1"/>
  <c r="N47" i="71"/>
  <c r="N48" i="71"/>
  <c r="D69" i="71"/>
  <c r="C68" i="71"/>
  <c r="D68" i="71"/>
  <c r="C60" i="71"/>
  <c r="D60" i="71" s="1"/>
  <c r="D53" i="71"/>
  <c r="D41" i="71"/>
  <c r="E48" i="71"/>
  <c r="P47" i="71" s="1"/>
  <c r="D33" i="71"/>
  <c r="C26" i="71"/>
  <c r="D25" i="71"/>
  <c r="D17" i="71"/>
  <c r="D13" i="71"/>
  <c r="P48"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J18" i="36"/>
  <c r="AC18" i="36" s="1"/>
  <c r="F68" i="35"/>
  <c r="H18" i="35"/>
  <c r="AB18" i="35" s="1"/>
  <c r="S18" i="35"/>
  <c r="G68" i="35"/>
  <c r="J18" i="35"/>
  <c r="H21" i="37"/>
  <c r="F21" i="37"/>
  <c r="AA21" i="37" s="1"/>
  <c r="F84" i="34"/>
  <c r="H21" i="34"/>
  <c r="AB21" i="34" s="1"/>
  <c r="F83" i="33"/>
  <c r="H21" i="33"/>
  <c r="U21" i="33" s="1"/>
  <c r="F21" i="33"/>
  <c r="E83" i="21"/>
  <c r="F83" i="21" s="1"/>
  <c r="S21" i="21"/>
  <c r="H1" i="69"/>
  <c r="AC25" i="40"/>
  <c r="W25" i="40"/>
  <c r="AB25" i="40"/>
  <c r="U25" i="40"/>
  <c r="AB29" i="39"/>
  <c r="U29" i="39"/>
  <c r="AC29" i="39"/>
  <c r="W29" i="39"/>
  <c r="W18" i="36"/>
  <c r="AB21" i="37"/>
  <c r="U21" i="37"/>
  <c r="S21" i="37"/>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3"/>
  <c r="AB21" i="21"/>
  <c r="G83" i="21"/>
  <c r="J21" i="21"/>
  <c r="F38" i="68"/>
  <c r="E37" i="68"/>
  <c r="F36" i="68"/>
  <c r="F35" i="68"/>
  <c r="F21" i="68"/>
  <c r="C21" i="68" s="1"/>
  <c r="F20" i="68"/>
  <c r="E10" i="68"/>
  <c r="E9" i="68"/>
  <c r="F7" i="68"/>
  <c r="W21" i="21"/>
  <c r="AC21" i="21"/>
  <c r="C40"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M62" i="43"/>
  <c r="N62" i="43" s="1"/>
  <c r="K62" i="43"/>
  <c r="D62" i="43" s="1"/>
  <c r="M61" i="43"/>
  <c r="N61" i="43" s="1"/>
  <c r="K61" i="43"/>
  <c r="J61" i="43" s="1"/>
  <c r="M60" i="43"/>
  <c r="N60" i="43" s="1"/>
  <c r="K60" i="43"/>
  <c r="J60" i="43" s="1"/>
  <c r="D60" i="43" s="1"/>
  <c r="M59" i="43"/>
  <c r="N59" i="43" s="1"/>
  <c r="K59" i="43"/>
  <c r="J59" i="43" s="1"/>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AZ13" i="3" s="1"/>
  <c r="E10" i="6"/>
  <c r="BA5" i="3"/>
  <c r="E11" i="6"/>
  <c r="E61" i="39" s="1"/>
  <c r="BL17" i="3"/>
  <c r="AZ17" i="3"/>
  <c r="BL13" i="3"/>
  <c r="BL5" i="3" s="1"/>
  <c r="E65" i="39"/>
  <c r="J56" i="9"/>
  <c r="J57" i="9"/>
  <c r="A24" i="51"/>
  <c r="B18" i="72"/>
  <c r="U29" i="34"/>
  <c r="E14" i="6"/>
  <c r="E64" i="39" s="1"/>
  <c r="E5" i="6"/>
  <c r="D9" i="11" s="1"/>
  <c r="C9" i="11" s="1"/>
  <c r="P10" i="1"/>
  <c r="E32" i="6"/>
  <c r="L19" i="6"/>
  <c r="G1" i="68"/>
  <c r="K1" i="12"/>
  <c r="E57" i="40"/>
  <c r="E56" i="40"/>
  <c r="AQ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s="1"/>
  <c r="B24" i="72"/>
  <c r="G6" i="1"/>
  <c r="H85" i="43"/>
  <c r="H81" i="43"/>
  <c r="H84" i="43"/>
  <c r="H88" i="43"/>
  <c r="H53" i="43"/>
  <c r="H54" i="43"/>
  <c r="H78" i="43"/>
  <c r="H70" i="43"/>
  <c r="H71" i="43"/>
  <c r="C17" i="43"/>
  <c r="F33" i="43"/>
  <c r="G17" i="43"/>
  <c r="F34" i="43"/>
  <c r="M7" i="43"/>
  <c r="N6" i="43"/>
  <c r="F59" i="43" s="1"/>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s="1"/>
  <c r="B14" i="72" s="1"/>
  <c r="C46" i="36"/>
  <c r="D46" i="36" s="1"/>
  <c r="C59" i="34"/>
  <c r="D59" i="34"/>
  <c r="C52" i="37"/>
  <c r="D52" i="37"/>
  <c r="E52" i="37" s="1"/>
  <c r="A4" i="51"/>
  <c r="B6" i="72"/>
  <c r="C48" i="35"/>
  <c r="D48" i="35"/>
  <c r="E48" i="35" s="1"/>
  <c r="F48" i="35" s="1"/>
  <c r="G48" i="35" s="1"/>
  <c r="H48" i="35" s="1"/>
  <c r="I48" i="35" s="1"/>
  <c r="J48" i="35" s="1"/>
  <c r="C94" i="9"/>
  <c r="C92" i="9"/>
  <c r="H55" i="43"/>
  <c r="H51" i="43"/>
  <c r="H56" i="43"/>
  <c r="H76" i="43"/>
  <c r="H72" i="43"/>
  <c r="H77" i="43"/>
  <c r="L20" i="6"/>
  <c r="E62" i="39"/>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E4" i="49"/>
  <c r="AQ13" i="1"/>
  <c r="M6" i="1"/>
  <c r="O6" i="1" s="1"/>
  <c r="F30" i="68"/>
  <c r="C30" i="68"/>
  <c r="F30" i="11"/>
  <c r="C48" i="11"/>
  <c r="F28" i="67"/>
  <c r="C28" i="67"/>
  <c r="F31" i="12"/>
  <c r="F52" i="9"/>
  <c r="M18" i="67"/>
  <c r="F32" i="67"/>
  <c r="F60" i="67" s="1"/>
  <c r="F30" i="69"/>
  <c r="C48" i="69" s="1"/>
  <c r="F32" i="15"/>
  <c r="F60" i="15" s="1"/>
  <c r="M18" i="15"/>
  <c r="F28" i="15"/>
  <c r="E63" i="39"/>
  <c r="T11" i="1"/>
  <c r="D68" i="39"/>
  <c r="D70" i="39" s="1"/>
  <c r="T9" i="1"/>
  <c r="T13" i="1"/>
  <c r="E69" i="3"/>
  <c r="E237" i="3"/>
  <c r="E114" i="3"/>
  <c r="E261" i="3"/>
  <c r="E278" i="3"/>
  <c r="E304" i="3"/>
  <c r="E415" i="3"/>
  <c r="E528" i="3"/>
  <c r="E563" i="3"/>
  <c r="E565" i="3"/>
  <c r="E395" i="3"/>
  <c r="E183" i="3"/>
  <c r="E172" i="3"/>
  <c r="E213" i="3"/>
  <c r="E260" i="3"/>
  <c r="E361" i="3"/>
  <c r="E445" i="3"/>
  <c r="E17" i="3"/>
  <c r="E550" i="3"/>
  <c r="E503" i="3"/>
  <c r="E535" i="3"/>
  <c r="E302" i="3"/>
  <c r="C48" i="68"/>
  <c r="C30" i="69"/>
  <c r="E7" i="70"/>
  <c r="C24" i="12"/>
  <c r="AA39" i="40"/>
  <c r="S39" i="40"/>
  <c r="S12" i="33"/>
  <c r="AA12" i="33"/>
  <c r="D68" i="9"/>
  <c r="F54" i="9"/>
  <c r="J32" i="39"/>
  <c r="H107" i="39"/>
  <c r="I107" i="39" s="1"/>
  <c r="J107" i="39"/>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J23" i="21"/>
  <c r="AC23" i="21" s="1"/>
  <c r="F85" i="21"/>
  <c r="G85" i="21"/>
  <c r="H23" i="21"/>
  <c r="S13" i="21"/>
  <c r="D6" i="52"/>
  <c r="D121" i="9"/>
  <c r="D7" i="52" s="1"/>
  <c r="K120" i="9"/>
  <c r="E329" i="3"/>
  <c r="E347" i="3"/>
  <c r="E539" i="3"/>
  <c r="E583" i="3"/>
  <c r="E545" i="3"/>
  <c r="AA6" i="3"/>
  <c r="E567" i="3"/>
  <c r="X6" i="3"/>
  <c r="E510" i="3"/>
  <c r="E399" i="3"/>
  <c r="E461" i="3"/>
  <c r="E336" i="3"/>
  <c r="E352" i="3"/>
  <c r="E280" i="3"/>
  <c r="E227" i="3"/>
  <c r="E246" i="3"/>
  <c r="E205" i="3"/>
  <c r="E124" i="3"/>
  <c r="E165" i="3"/>
  <c r="E293" i="3"/>
  <c r="E128"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B21" i="31"/>
  <c r="O19" i="43"/>
  <c r="F58" i="21"/>
  <c r="J7" i="21" s="1"/>
  <c r="E59" i="34"/>
  <c r="F59" i="34" s="1"/>
  <c r="G59" i="34" s="1"/>
  <c r="AP7" i="1"/>
  <c r="AB45" i="21"/>
  <c r="AC33" i="21"/>
  <c r="W33" i="21"/>
  <c r="S33" i="21"/>
  <c r="AA33" i="21"/>
  <c r="W32" i="21"/>
  <c r="AC32" i="21"/>
  <c r="AB9" i="21"/>
  <c r="U9" i="21"/>
  <c r="AA32" i="21"/>
  <c r="S32" i="21"/>
  <c r="W9" i="21"/>
  <c r="AC9" i="21"/>
  <c r="AB32" i="21"/>
  <c r="U32" i="21"/>
  <c r="AA10" i="21"/>
  <c r="S10" i="21"/>
  <c r="C30" i="1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S17" i="33"/>
  <c r="U17" i="33"/>
  <c r="AB17" i="33"/>
  <c r="U23" i="21"/>
  <c r="AB23" i="21"/>
  <c r="W23" i="21"/>
  <c r="F1" i="15"/>
  <c r="Q52" i="15"/>
  <c r="G58" i="21"/>
  <c r="H58" i="21" s="1"/>
  <c r="I58" i="21" s="1"/>
  <c r="J58" i="21" s="1"/>
  <c r="K58" i="21" s="1"/>
  <c r="L58" i="21" s="1"/>
  <c r="M58" i="21" s="1"/>
  <c r="N58" i="21" s="1"/>
  <c r="O58" i="21" s="1"/>
  <c r="G39" i="43"/>
  <c r="I39" i="43" s="1"/>
  <c r="E68" i="39"/>
  <c r="F68" i="39" s="1"/>
  <c r="G68" i="39" s="1"/>
  <c r="H68" i="39" s="1"/>
  <c r="F1" i="67"/>
  <c r="Q52" i="67"/>
  <c r="AC11" i="37"/>
  <c r="W11" i="37"/>
  <c r="AC11" i="34"/>
  <c r="C13" i="12"/>
  <c r="H7" i="21"/>
  <c r="AB7" i="21" s="1"/>
  <c r="T48" i="21" s="1"/>
  <c r="G48" i="21" s="1"/>
  <c r="F70" i="39"/>
  <c r="G70" i="39"/>
  <c r="AE7" i="1"/>
  <c r="AG6" i="1"/>
  <c r="H109" i="9"/>
  <c r="M49" i="9" s="1"/>
  <c r="L68" i="9" s="1"/>
  <c r="M68" i="9" s="1"/>
  <c r="L65" i="9"/>
  <c r="M65" i="9" s="1"/>
  <c r="L64" i="9"/>
  <c r="M64" i="9" s="1"/>
  <c r="L67" i="9"/>
  <c r="M67" i="9" s="1"/>
  <c r="D124" i="9"/>
  <c r="H14" i="74" s="1"/>
  <c r="B7" i="74" s="1"/>
  <c r="D10" i="52"/>
  <c r="D125" i="9"/>
  <c r="D11" i="52" s="1"/>
  <c r="J7" i="33"/>
  <c r="W7" i="33" s="1"/>
  <c r="F7" i="33"/>
  <c r="S7" i="33" s="1"/>
  <c r="H7" i="33"/>
  <c r="U7" i="33" s="1"/>
  <c r="H112" i="9"/>
  <c r="D21" i="53" s="1"/>
  <c r="B39" i="72" s="1"/>
  <c r="H111" i="9"/>
  <c r="D126" i="9"/>
  <c r="I14" i="74" s="1"/>
  <c r="B8" i="74" s="1"/>
  <c r="D19" i="53"/>
  <c r="D59" i="9"/>
  <c r="M55" i="9" s="1"/>
  <c r="B38" i="72"/>
  <c r="D20" i="53"/>
  <c r="B40" i="72"/>
  <c r="AD3" i="71"/>
  <c r="P21" i="43" s="1"/>
  <c r="P22" i="43"/>
  <c r="F43" i="81"/>
  <c r="M29" i="81"/>
  <c r="F7" i="81"/>
  <c r="AE8" i="1"/>
  <c r="F41" i="81"/>
  <c r="AE6" i="1"/>
  <c r="E8" i="76"/>
  <c r="E10" i="76"/>
  <c r="E12" i="76"/>
  <c r="B12" i="76"/>
  <c r="B10" i="76"/>
  <c r="B9" i="76"/>
  <c r="E7" i="76"/>
  <c r="E9" i="76"/>
  <c r="E11" i="76"/>
  <c r="E13" i="76"/>
  <c r="B8" i="76"/>
  <c r="B11" i="76"/>
  <c r="B13" i="76"/>
  <c r="B7" i="76"/>
  <c r="AO9" i="1"/>
  <c r="AO13" i="1"/>
  <c r="AO12" i="1"/>
  <c r="AO11" i="1"/>
  <c r="AO10" i="1"/>
  <c r="M24" i="15"/>
  <c r="F6" i="67"/>
  <c r="F8" i="67"/>
  <c r="F42" i="15"/>
  <c r="F7" i="67"/>
  <c r="M9" i="67"/>
  <c r="M6" i="67"/>
  <c r="F16" i="67"/>
  <c r="C76" i="15"/>
  <c r="F13" i="15"/>
  <c r="F37" i="67"/>
  <c r="F43" i="15"/>
  <c r="M8" i="67"/>
  <c r="M6" i="15"/>
  <c r="C76" i="67"/>
  <c r="F7" i="15"/>
  <c r="M23" i="15"/>
  <c r="F38" i="15"/>
  <c r="F9" i="15"/>
  <c r="J15" i="15"/>
  <c r="F43" i="67"/>
  <c r="M9" i="15"/>
  <c r="M8" i="15"/>
  <c r="M22" i="67"/>
  <c r="L48" i="15"/>
  <c r="F36" i="67"/>
  <c r="M29" i="67"/>
  <c r="F42" i="67"/>
  <c r="F31" i="67"/>
  <c r="M21" i="67"/>
  <c r="F35" i="15"/>
  <c r="F41" i="15"/>
  <c r="F41" i="67"/>
  <c r="AO7" i="1"/>
  <c r="D2" i="36"/>
  <c r="F20" i="31"/>
  <c r="D2" i="33"/>
  <c r="E2" i="68"/>
  <c r="D34" i="9"/>
  <c r="M21" i="15"/>
  <c r="M27" i="15"/>
  <c r="E2" i="69"/>
  <c r="D2" i="21"/>
  <c r="F35" i="67"/>
  <c r="M27" i="67"/>
  <c r="D2" i="37"/>
  <c r="D2" i="34"/>
  <c r="D2" i="35"/>
  <c r="D35" i="9"/>
  <c r="E28" i="6" l="1"/>
  <c r="K14" i="1" s="1"/>
  <c r="G30" i="6"/>
  <c r="G31" i="6" s="1"/>
  <c r="F50" i="81"/>
  <c r="C49" i="81" s="1"/>
  <c r="M7" i="81"/>
  <c r="J6" i="81" s="1"/>
  <c r="C6" i="81"/>
  <c r="F71" i="81"/>
  <c r="M8" i="1"/>
  <c r="B4" i="49"/>
  <c r="E10" i="49"/>
  <c r="E16" i="49"/>
  <c r="E6" i="49"/>
  <c r="B16" i="49"/>
  <c r="C4" i="4" s="1"/>
  <c r="B4" i="62" s="1"/>
  <c r="B71" i="72" s="1"/>
  <c r="F69" i="81"/>
  <c r="D61" i="43"/>
  <c r="E59" i="43" s="1"/>
  <c r="B57" i="43" s="1"/>
  <c r="C24" i="43" s="1"/>
  <c r="J62" i="43"/>
  <c r="E11" i="49"/>
  <c r="B8" i="49"/>
  <c r="B6" i="49"/>
  <c r="E9" i="49"/>
  <c r="E21" i="49"/>
  <c r="B11" i="49"/>
  <c r="B13" i="49"/>
  <c r="B5" i="49"/>
  <c r="E22" i="49"/>
  <c r="B14" i="49"/>
  <c r="B7" i="49"/>
  <c r="B22" i="49"/>
  <c r="H66" i="43"/>
  <c r="H62" i="43"/>
  <c r="H61" i="43"/>
  <c r="H60" i="43"/>
  <c r="H59" i="43"/>
  <c r="H67" i="43"/>
  <c r="H65" i="43"/>
  <c r="H64" i="43"/>
  <c r="H63" i="43"/>
  <c r="C16" i="43"/>
  <c r="C5" i="43" s="1"/>
  <c r="C36" i="69"/>
  <c r="C28" i="15"/>
  <c r="C77" i="9"/>
  <c r="C74" i="9" s="1"/>
  <c r="C40" i="69"/>
  <c r="F27" i="6"/>
  <c r="E56" i="39"/>
  <c r="E51" i="40"/>
  <c r="F22" i="43"/>
  <c r="K101" i="43"/>
  <c r="N101" i="43"/>
  <c r="G101" i="43"/>
  <c r="J101" i="43"/>
  <c r="L101" i="43"/>
  <c r="D101" i="43"/>
  <c r="I101" i="43"/>
  <c r="G22" i="43"/>
  <c r="AJ11" i="43"/>
  <c r="AJ13" i="43" s="1"/>
  <c r="AF11" i="43"/>
  <c r="AF13" i="43" s="1"/>
  <c r="AB11" i="43"/>
  <c r="AB13" i="43" s="1"/>
  <c r="Z7" i="43"/>
  <c r="AI11" i="43"/>
  <c r="AI13" i="43" s="1"/>
  <c r="AE11" i="43"/>
  <c r="AE13" i="43" s="1"/>
  <c r="AA11" i="43"/>
  <c r="AA13" i="43" s="1"/>
  <c r="J22" i="43"/>
  <c r="B113" i="43"/>
  <c r="F101" i="43"/>
  <c r="E22" i="43"/>
  <c r="C101" i="43"/>
  <c r="N104" i="46"/>
  <c r="H22" i="43"/>
  <c r="H101" i="43"/>
  <c r="M101" i="43"/>
  <c r="M109" i="43" s="1"/>
  <c r="E101" i="43"/>
  <c r="AH11" i="43"/>
  <c r="AH13" i="43" s="1"/>
  <c r="AD11" i="43"/>
  <c r="AD13" i="43" s="1"/>
  <c r="Z11" i="43"/>
  <c r="Z13" i="43" s="1"/>
  <c r="AG11" i="43"/>
  <c r="AG13" i="43" s="1"/>
  <c r="AC11" i="43"/>
  <c r="AC13" i="43" s="1"/>
  <c r="Y11" i="43"/>
  <c r="Y13" i="43" s="1"/>
  <c r="E27" i="6"/>
  <c r="K21" i="6" s="1"/>
  <c r="E16" i="6"/>
  <c r="H107" i="43"/>
  <c r="E105" i="43"/>
  <c r="T12" i="1"/>
  <c r="Q16" i="1"/>
  <c r="F27" i="69" s="1"/>
  <c r="H106" i="43"/>
  <c r="E107" i="43"/>
  <c r="AR11" i="1"/>
  <c r="L27" i="6"/>
  <c r="D19" i="12"/>
  <c r="C19" i="12" s="1"/>
  <c r="O7" i="1"/>
  <c r="P7" i="1" s="1"/>
  <c r="E66" i="39"/>
  <c r="K24" i="6"/>
  <c r="M24" i="6" s="1"/>
  <c r="I24" i="6" s="1"/>
  <c r="S24" i="6" s="1"/>
  <c r="K26" i="6"/>
  <c r="M26" i="6" s="1"/>
  <c r="I26" i="6" s="1"/>
  <c r="S26" i="6" s="1"/>
  <c r="K19" i="6"/>
  <c r="S6" i="1" s="1"/>
  <c r="K23" i="6"/>
  <c r="M23" i="6" s="1"/>
  <c r="I23" i="6" s="1"/>
  <c r="S23" i="6" s="1"/>
  <c r="T6" i="1"/>
  <c r="C34" i="69"/>
  <c r="C35" i="69" s="1"/>
  <c r="H16" i="1"/>
  <c r="L104" i="43"/>
  <c r="L105" i="43"/>
  <c r="L102" i="43"/>
  <c r="E109" i="43"/>
  <c r="H104" i="43"/>
  <c r="H103" i="43"/>
  <c r="E103" i="43"/>
  <c r="E106" i="43"/>
  <c r="D9" i="68"/>
  <c r="C9" i="68" s="1"/>
  <c r="E59" i="40"/>
  <c r="AQ9" i="1"/>
  <c r="D9" i="69"/>
  <c r="C9" i="69" s="1"/>
  <c r="P6" i="1"/>
  <c r="H48" i="43"/>
  <c r="H50" i="43"/>
  <c r="H75" i="43"/>
  <c r="G16" i="1"/>
  <c r="F10" i="40" s="1"/>
  <c r="AC7" i="21"/>
  <c r="V48" i="21" s="1"/>
  <c r="I48" i="21" s="1"/>
  <c r="W7" i="21"/>
  <c r="D63" i="40"/>
  <c r="C65" i="40"/>
  <c r="AA7" i="33"/>
  <c r="R48" i="33" s="1"/>
  <c r="U7" i="21"/>
  <c r="F63" i="67"/>
  <c r="C62" i="67" s="1"/>
  <c r="C34" i="67"/>
  <c r="J20" i="15"/>
  <c r="B20" i="31"/>
  <c r="B7" i="70"/>
  <c r="F69" i="67"/>
  <c r="F69" i="15"/>
  <c r="F63" i="15"/>
  <c r="C62" i="15" s="1"/>
  <c r="C34" i="15"/>
  <c r="J20" i="67"/>
  <c r="F70" i="67"/>
  <c r="F64" i="67"/>
  <c r="L56" i="15"/>
  <c r="I54" i="15"/>
  <c r="J57" i="15"/>
  <c r="J55" i="15" s="1"/>
  <c r="J58" i="15" s="1"/>
  <c r="Q50" i="15" s="1"/>
  <c r="F71" i="67"/>
  <c r="F66" i="15"/>
  <c r="M7" i="15"/>
  <c r="J6" i="15" s="1"/>
  <c r="F50" i="15"/>
  <c r="Q71" i="67"/>
  <c r="F71" i="15"/>
  <c r="F65" i="67"/>
  <c r="Q71" i="15"/>
  <c r="M7" i="67"/>
  <c r="J6" i="67" s="1"/>
  <c r="F50" i="67"/>
  <c r="F51" i="67"/>
  <c r="B10" i="70"/>
  <c r="B11" i="70"/>
  <c r="B12" i="70"/>
  <c r="B13" i="70"/>
  <c r="B9" i="70"/>
  <c r="I52" i="21"/>
  <c r="J52" i="21" s="1"/>
  <c r="R49" i="33"/>
  <c r="E48" i="33"/>
  <c r="P25" i="43"/>
  <c r="P24" i="43"/>
  <c r="B66" i="40" s="1"/>
  <c r="P23" i="43"/>
  <c r="B71" i="39" s="1"/>
  <c r="D12" i="52"/>
  <c r="D127" i="9"/>
  <c r="D13" i="52" s="1"/>
  <c r="AC7" i="33"/>
  <c r="V48" i="33" s="1"/>
  <c r="I48" i="33" s="1"/>
  <c r="AB7" i="33"/>
  <c r="T48" i="33" s="1"/>
  <c r="G48" i="33" s="1"/>
  <c r="D16" i="53"/>
  <c r="H110" i="9"/>
  <c r="D18" i="53" s="1"/>
  <c r="B35" i="72" s="1"/>
  <c r="L63" i="9"/>
  <c r="M63" i="9" s="1"/>
  <c r="M69" i="9" s="1"/>
  <c r="N69" i="9" s="1"/>
  <c r="L66" i="9"/>
  <c r="M66" i="9" s="1"/>
  <c r="K48" i="35"/>
  <c r="L48" i="35" s="1"/>
  <c r="M48" i="35" s="1"/>
  <c r="N48" i="35" s="1"/>
  <c r="O48" i="35" s="1"/>
  <c r="H7" i="35"/>
  <c r="F7" i="35"/>
  <c r="G52" i="21"/>
  <c r="H52" i="21" s="1"/>
  <c r="G53" i="21"/>
  <c r="H53" i="21" s="1"/>
  <c r="I68" i="39"/>
  <c r="H70" i="39"/>
  <c r="H59" i="34"/>
  <c r="E70" i="39"/>
  <c r="F7" i="21"/>
  <c r="J7"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52" i="37"/>
  <c r="M14" i="1"/>
  <c r="O11" i="1"/>
  <c r="P11" i="1" s="1"/>
  <c r="E46" i="36"/>
  <c r="O12" i="1"/>
  <c r="P12" i="1" s="1"/>
  <c r="F30" i="6"/>
  <c r="F31" i="6" s="1"/>
  <c r="E29" i="6"/>
  <c r="AZ347" i="3"/>
  <c r="AZ378" i="3"/>
  <c r="AZ521" i="3"/>
  <c r="S12" i="34"/>
  <c r="AA12" i="34"/>
  <c r="AB15" i="21"/>
  <c r="W17" i="21"/>
  <c r="U12" i="39"/>
  <c r="AC9" i="34"/>
  <c r="W9" i="34"/>
  <c r="AC34" i="35"/>
  <c r="W34" i="35"/>
  <c r="AB11" i="36"/>
  <c r="AA14" i="33"/>
  <c r="AA44" i="33"/>
  <c r="H9" i="34"/>
  <c r="F34" i="35"/>
  <c r="H34" i="35"/>
  <c r="J36" i="35"/>
  <c r="AZ398" i="3"/>
  <c r="AZ405" i="3"/>
  <c r="AZ407" i="3"/>
  <c r="AZ410" i="3"/>
  <c r="AZ415" i="3"/>
  <c r="AZ420" i="3"/>
  <c r="AZ426" i="3"/>
  <c r="AZ431" i="3"/>
  <c r="AZ448" i="3"/>
  <c r="AZ452" i="3"/>
  <c r="AZ461" i="3"/>
  <c r="AZ463" i="3"/>
  <c r="AZ468" i="3"/>
  <c r="AZ470" i="3"/>
  <c r="AZ479" i="3"/>
  <c r="AZ485" i="3"/>
  <c r="AZ216" i="3"/>
  <c r="AZ221" i="3"/>
  <c r="AA25" i="21"/>
  <c r="AZ439" i="3"/>
  <c r="AZ489" i="3"/>
  <c r="AZ211" i="3"/>
  <c r="AZ247" i="3"/>
  <c r="AZ285" i="3"/>
  <c r="AZ293" i="3"/>
  <c r="AZ231" i="3"/>
  <c r="AZ239" i="3"/>
  <c r="AZ264" i="3"/>
  <c r="AZ270" i="3"/>
  <c r="AZ277" i="3"/>
  <c r="AZ153" i="3"/>
  <c r="AZ169" i="3"/>
  <c r="AZ185" i="3"/>
  <c r="AZ201" i="3"/>
  <c r="AZ207" i="3"/>
  <c r="AZ25" i="3"/>
  <c r="AZ5" i="3" s="1"/>
  <c r="AZ30" i="3"/>
  <c r="AZ36" i="3"/>
  <c r="AZ40" i="3"/>
  <c r="AZ46" i="3"/>
  <c r="AZ49" i="3"/>
  <c r="AZ62" i="3"/>
  <c r="AZ65" i="3"/>
  <c r="AZ70" i="3"/>
  <c r="AZ76" i="3"/>
  <c r="AZ90" i="3"/>
  <c r="AZ92" i="3"/>
  <c r="AZ103" i="3"/>
  <c r="M100" i="43"/>
  <c r="I100" i="43"/>
  <c r="E100" i="43"/>
  <c r="D100" i="43"/>
  <c r="AC21" i="34"/>
  <c r="U21" i="34"/>
  <c r="D48" i="71"/>
  <c r="O48" i="71"/>
  <c r="O47" i="71"/>
  <c r="E9" i="71"/>
  <c r="E8" i="71" s="1"/>
  <c r="V10" i="71"/>
  <c r="T34" i="71"/>
  <c r="D34" i="71"/>
  <c r="D21" i="71"/>
  <c r="C22" i="71"/>
  <c r="T18" i="71"/>
  <c r="D18" i="71"/>
  <c r="T10" i="71"/>
  <c r="C9" i="71"/>
  <c r="D10" i="71"/>
  <c r="U10" i="71" s="1"/>
  <c r="D24" i="67"/>
  <c r="D23" i="67"/>
  <c r="T42" i="71"/>
  <c r="D42" i="71"/>
  <c r="T14" i="71"/>
  <c r="D14" i="71"/>
  <c r="C37" i="71"/>
  <c r="D36" i="71"/>
  <c r="D49" i="71"/>
  <c r="AA9" i="71"/>
  <c r="AA7" i="71"/>
  <c r="AB9" i="71"/>
  <c r="AB7" i="71"/>
  <c r="X10" i="71"/>
  <c r="X9" i="71"/>
  <c r="AA18" i="71"/>
  <c r="AB15" i="71"/>
  <c r="Y15" i="71"/>
  <c r="Z15" i="71" s="1"/>
  <c r="X14" i="71"/>
  <c r="X19" i="71"/>
  <c r="AA11" i="71"/>
  <c r="V50" i="71"/>
  <c r="F49" i="71"/>
  <c r="X6" i="71"/>
  <c r="AA5" i="71"/>
  <c r="L1" i="73"/>
  <c r="J1" i="73"/>
  <c r="Y6" i="71"/>
  <c r="Z6" i="71" s="1"/>
  <c r="AB6" i="71"/>
  <c r="X5" i="71"/>
  <c r="AB5" i="71"/>
  <c r="P74" i="67"/>
  <c r="AA6" i="71"/>
  <c r="Y5" i="71"/>
  <c r="Z5" i="71" s="1"/>
  <c r="C16" i="81"/>
  <c r="C14" i="15"/>
  <c r="C14" i="67"/>
  <c r="M17" i="15"/>
  <c r="F59" i="67"/>
  <c r="M29" i="15"/>
  <c r="M26" i="15"/>
  <c r="F40" i="67"/>
  <c r="F38" i="67"/>
  <c r="L47" i="67"/>
  <c r="F40" i="15"/>
  <c r="L47" i="15"/>
  <c r="F37" i="15"/>
  <c r="F6" i="15"/>
  <c r="F13" i="67"/>
  <c r="M26" i="67"/>
  <c r="M24" i="67"/>
  <c r="C16" i="67"/>
  <c r="C17" i="67"/>
  <c r="C17" i="15"/>
  <c r="M17" i="67"/>
  <c r="M23" i="67"/>
  <c r="F9" i="67"/>
  <c r="M28" i="67"/>
  <c r="F16" i="15"/>
  <c r="F26" i="15"/>
  <c r="F8" i="15"/>
  <c r="J15" i="67"/>
  <c r="F36" i="15"/>
  <c r="L48" i="67"/>
  <c r="M28" i="15"/>
  <c r="F26" i="67"/>
  <c r="M22" i="15"/>
  <c r="F31" i="15"/>
  <c r="AC6" i="3" l="1"/>
  <c r="H6" i="3"/>
  <c r="O8" i="1"/>
  <c r="P8" i="1" s="1"/>
  <c r="AR6" i="1"/>
  <c r="E6" i="70"/>
  <c r="K20" i="6"/>
  <c r="K25" i="6"/>
  <c r="M25" i="6" s="1"/>
  <c r="I25" i="6" s="1"/>
  <c r="S25" i="6" s="1"/>
  <c r="K22" i="6"/>
  <c r="M22" i="6" s="1"/>
  <c r="I22" i="6" s="1"/>
  <c r="S22" i="6" s="1"/>
  <c r="F27" i="68"/>
  <c r="C47" i="68" s="1"/>
  <c r="D45" i="68" s="1"/>
  <c r="K4" i="4"/>
  <c r="B46" i="48" s="1"/>
  <c r="B4" i="72" s="1"/>
  <c r="M107" i="43"/>
  <c r="M106" i="43"/>
  <c r="M104" i="43"/>
  <c r="M102" i="43"/>
  <c r="M103" i="43"/>
  <c r="M105" i="43"/>
  <c r="H10" i="39"/>
  <c r="C47" i="69"/>
  <c r="D45" i="69" s="1"/>
  <c r="M20" i="6"/>
  <c r="I20" i="6" s="1"/>
  <c r="S20" i="6" s="1"/>
  <c r="S7" i="1"/>
  <c r="M21" i="6"/>
  <c r="I21" i="6" s="1"/>
  <c r="S21" i="6" s="1"/>
  <c r="S8" i="1"/>
  <c r="AQ6" i="1"/>
  <c r="S16" i="1"/>
  <c r="E6" i="3"/>
  <c r="C104" i="43"/>
  <c r="C106" i="43"/>
  <c r="C105" i="43"/>
  <c r="C102" i="43"/>
  <c r="C109" i="43"/>
  <c r="C107" i="43"/>
  <c r="C103" i="43"/>
  <c r="F104" i="43"/>
  <c r="F107" i="43"/>
  <c r="F106" i="43"/>
  <c r="F103" i="43"/>
  <c r="F102" i="43"/>
  <c r="F105" i="43"/>
  <c r="F109" i="43"/>
  <c r="D22" i="43"/>
  <c r="D109" i="43"/>
  <c r="D105" i="43"/>
  <c r="D106" i="43"/>
  <c r="D102" i="43"/>
  <c r="D103" i="43"/>
  <c r="D104" i="43"/>
  <c r="D107" i="43"/>
  <c r="J104" i="43"/>
  <c r="J103" i="43"/>
  <c r="J106" i="43"/>
  <c r="J105" i="43"/>
  <c r="J107" i="43"/>
  <c r="J102" i="43"/>
  <c r="J109" i="43"/>
  <c r="N102" i="43"/>
  <c r="N103" i="43"/>
  <c r="N106" i="43"/>
  <c r="N107" i="43"/>
  <c r="N105" i="43"/>
  <c r="N104" i="43"/>
  <c r="N109" i="43"/>
  <c r="E102" i="43"/>
  <c r="E104" i="43"/>
  <c r="H102" i="43"/>
  <c r="H105" i="43"/>
  <c r="H109" i="43"/>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9" i="43"/>
  <c r="I104" i="43"/>
  <c r="I107" i="43"/>
  <c r="I105" i="43"/>
  <c r="I102" i="43"/>
  <c r="I106" i="43"/>
  <c r="I103" i="43"/>
  <c r="L109" i="43"/>
  <c r="L107" i="43"/>
  <c r="L106" i="43"/>
  <c r="L103" i="43"/>
  <c r="G105" i="43"/>
  <c r="G103" i="43"/>
  <c r="G109" i="43"/>
  <c r="G102" i="43"/>
  <c r="G107" i="43"/>
  <c r="G104" i="43"/>
  <c r="G106" i="43"/>
  <c r="K103" i="43"/>
  <c r="K107" i="43"/>
  <c r="K104" i="43"/>
  <c r="K106" i="43"/>
  <c r="K102" i="43"/>
  <c r="K105" i="43"/>
  <c r="K109" i="43"/>
  <c r="F27" i="11"/>
  <c r="C29" i="11" s="1"/>
  <c r="D27" i="11" s="1"/>
  <c r="H10" i="40"/>
  <c r="U10" i="40" s="1"/>
  <c r="C38" i="69"/>
  <c r="C29" i="69"/>
  <c r="D27" i="69" s="1"/>
  <c r="F28" i="12"/>
  <c r="C29" i="12" s="1"/>
  <c r="D28" i="12" s="1"/>
  <c r="C15" i="15"/>
  <c r="C18" i="15"/>
  <c r="M19" i="6"/>
  <c r="K27" i="6"/>
  <c r="F10" i="39"/>
  <c r="AA10" i="39" s="1"/>
  <c r="J10" i="40"/>
  <c r="AC10" i="40" s="1"/>
  <c r="J10" i="39"/>
  <c r="W10" i="39" s="1"/>
  <c r="AA10" i="40"/>
  <c r="S10" i="40"/>
  <c r="D65" i="40"/>
  <c r="E63" i="40"/>
  <c r="C27" i="67"/>
  <c r="J57" i="67"/>
  <c r="J55" i="67" s="1"/>
  <c r="J58" i="67" s="1"/>
  <c r="Q50" i="67" s="1"/>
  <c r="I54" i="67"/>
  <c r="L56" i="67"/>
  <c r="F64" i="15"/>
  <c r="F51" i="15"/>
  <c r="C27" i="15"/>
  <c r="C6" i="67"/>
  <c r="C6" i="15"/>
  <c r="F65" i="15"/>
  <c r="M59" i="15"/>
  <c r="N59" i="15"/>
  <c r="L59" i="15"/>
  <c r="L58" i="15"/>
  <c r="F68" i="15"/>
  <c r="L58" i="67"/>
  <c r="L59" i="67"/>
  <c r="N59" i="67"/>
  <c r="M59" i="67"/>
  <c r="F66" i="67"/>
  <c r="F68" i="67"/>
  <c r="C18" i="67"/>
  <c r="C15" i="67"/>
  <c r="E3" i="6"/>
  <c r="AY6" i="3"/>
  <c r="AC36" i="35"/>
  <c r="W36" i="35"/>
  <c r="AA34" i="35"/>
  <c r="S34" i="35"/>
  <c r="E30" i="6"/>
  <c r="E31" i="6" s="1"/>
  <c r="K15" i="1"/>
  <c r="K16" i="1" s="1"/>
  <c r="F46" i="36"/>
  <c r="C29" i="68"/>
  <c r="D27" i="68" s="1"/>
  <c r="W7" i="35"/>
  <c r="AC7" i="35"/>
  <c r="V38" i="35" s="1"/>
  <c r="I38" i="35" s="1"/>
  <c r="C47" i="11"/>
  <c r="D45" i="11" s="1"/>
  <c r="I59" i="34"/>
  <c r="AA7" i="35"/>
  <c r="R38" i="35" s="1"/>
  <c r="S7" i="35"/>
  <c r="G52" i="33"/>
  <c r="H52" i="33" s="1"/>
  <c r="G53" i="33"/>
  <c r="H53" i="33" s="1"/>
  <c r="E53" i="33"/>
  <c r="F53" i="33" s="1"/>
  <c r="E52" i="33"/>
  <c r="F52" i="33" s="1"/>
  <c r="C49" i="67"/>
  <c r="F48" i="71"/>
  <c r="Q49" i="71"/>
  <c r="D37" i="71"/>
  <c r="C38" i="71"/>
  <c r="C8" i="71"/>
  <c r="D9" i="71"/>
  <c r="T22" i="71"/>
  <c r="D22" i="71"/>
  <c r="AB34" i="35"/>
  <c r="U34" i="35"/>
  <c r="AB9" i="34"/>
  <c r="U9" i="34"/>
  <c r="O14" i="1"/>
  <c r="O16" i="1" s="1"/>
  <c r="M16" i="1"/>
  <c r="G52" i="37"/>
  <c r="H52" i="37" s="1"/>
  <c r="I52" i="37" s="1"/>
  <c r="J52" i="37" s="1"/>
  <c r="K52" i="37" s="1"/>
  <c r="L52" i="37" s="1"/>
  <c r="M52" i="37" s="1"/>
  <c r="N52" i="37" s="1"/>
  <c r="O52" i="37" s="1"/>
  <c r="U10" i="39"/>
  <c r="AB10" i="39"/>
  <c r="AA7" i="21"/>
  <c r="R48" i="21" s="1"/>
  <c r="S7" i="21"/>
  <c r="J68" i="39"/>
  <c r="I70" i="39"/>
  <c r="U7" i="35"/>
  <c r="AB7" i="35"/>
  <c r="T38" i="35" s="1"/>
  <c r="G38" i="35" s="1"/>
  <c r="B34" i="72"/>
  <c r="D17" i="53"/>
  <c r="B36" i="72" s="1"/>
  <c r="I52" i="33"/>
  <c r="J52" i="33" s="1"/>
  <c r="I53" i="33"/>
  <c r="J53" i="33" s="1"/>
  <c r="C48" i="33"/>
  <c r="C49" i="33"/>
  <c r="C17" i="81"/>
  <c r="F3" i="73"/>
  <c r="F7" i="73"/>
  <c r="F59" i="15"/>
  <c r="C16" i="15"/>
  <c r="F5" i="73"/>
  <c r="F6" i="73"/>
  <c r="F4" i="73"/>
  <c r="D3" i="73"/>
  <c r="D4" i="73"/>
  <c r="D7" i="73"/>
  <c r="D6" i="73"/>
  <c r="D5" i="73"/>
  <c r="W10" i="40" l="1"/>
  <c r="E8" i="70"/>
  <c r="E2" i="70" s="1"/>
  <c r="E20" i="77"/>
  <c r="C23" i="43"/>
  <c r="C21" i="43" s="1"/>
  <c r="S6" i="43"/>
  <c r="S3" i="43"/>
  <c r="S4" i="43"/>
  <c r="S2" i="43"/>
  <c r="S5" i="43"/>
  <c r="S7" i="43"/>
  <c r="AB10" i="40"/>
  <c r="AQ8" i="1"/>
  <c r="AR8" i="1"/>
  <c r="T8" i="1"/>
  <c r="T7" i="1"/>
  <c r="AQ7" i="1"/>
  <c r="AR7" i="1"/>
  <c r="D113" i="43"/>
  <c r="P14" i="1"/>
  <c r="P16" i="1" s="1"/>
  <c r="C11" i="12" s="1"/>
  <c r="C15" i="12" s="1"/>
  <c r="M27" i="6"/>
  <c r="I19" i="6"/>
  <c r="S10" i="39"/>
  <c r="AC10" i="39"/>
  <c r="C19" i="67"/>
  <c r="C20" i="67" s="1"/>
  <c r="C26" i="67" s="1"/>
  <c r="F7" i="37"/>
  <c r="J7" i="37"/>
  <c r="E65" i="40"/>
  <c r="F63" i="40"/>
  <c r="E20" i="43"/>
  <c r="K1" i="73"/>
  <c r="I1" i="73"/>
  <c r="B39" i="1" s="1"/>
  <c r="C19" i="15"/>
  <c r="G42" i="35"/>
  <c r="H42" i="35" s="1"/>
  <c r="G43" i="35"/>
  <c r="H43" i="35" s="1"/>
  <c r="W7" i="37"/>
  <c r="AC7" i="37"/>
  <c r="V42" i="37" s="1"/>
  <c r="I42" i="37" s="1"/>
  <c r="D8" i="71"/>
  <c r="M20" i="43" s="1"/>
  <c r="C19" i="43" s="1"/>
  <c r="Q48" i="71"/>
  <c r="Q47" i="71"/>
  <c r="T38" i="71"/>
  <c r="D38" i="71"/>
  <c r="R39" i="35"/>
  <c r="E38" i="35"/>
  <c r="I43" i="35" s="1"/>
  <c r="J43" i="35" s="1"/>
  <c r="J59" i="34"/>
  <c r="I42" i="35"/>
  <c r="J42" i="35" s="1"/>
  <c r="D3" i="34"/>
  <c r="D3" i="33"/>
  <c r="B2" i="33" s="1"/>
  <c r="B3" i="33" s="1"/>
  <c r="E6" i="6"/>
  <c r="C17" i="4"/>
  <c r="B4" i="52" s="1"/>
  <c r="B43" i="72" s="1"/>
  <c r="L18" i="9"/>
  <c r="D3" i="37"/>
  <c r="D37" i="11"/>
  <c r="D3" i="21"/>
  <c r="D19" i="11"/>
  <c r="C19" i="11" s="1"/>
  <c r="D14" i="12"/>
  <c r="M18" i="9"/>
  <c r="B118" i="9" s="1"/>
  <c r="B14" i="74" s="1"/>
  <c r="B1" i="74" s="1"/>
  <c r="H7" i="37"/>
  <c r="Q61" i="67"/>
  <c r="Q74" i="67"/>
  <c r="Q74" i="15"/>
  <c r="Q61" i="15"/>
  <c r="C49" i="15"/>
  <c r="AA7" i="37"/>
  <c r="R42" i="37" s="1"/>
  <c r="S7" i="37"/>
  <c r="K68" i="39"/>
  <c r="J70" i="39"/>
  <c r="E48" i="21"/>
  <c r="R49" i="21"/>
  <c r="N16" i="1"/>
  <c r="L16" i="1"/>
  <c r="G46"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73" i="67"/>
  <c r="Q60" i="67"/>
  <c r="Q73" i="15"/>
  <c r="Q60" i="15"/>
  <c r="C14" i="81"/>
  <c r="G1" i="73"/>
  <c r="C15" i="81" l="1"/>
  <c r="C18" i="81"/>
  <c r="C19" i="81"/>
  <c r="C20" i="81" s="1"/>
  <c r="C26" i="81" s="1"/>
  <c r="F11" i="81"/>
  <c r="M11" i="81"/>
  <c r="J10" i="81" s="1"/>
  <c r="J5" i="81" s="1"/>
  <c r="P17" i="77"/>
  <c r="N17" i="77"/>
  <c r="O17" i="77"/>
  <c r="M17" i="77"/>
  <c r="C12" i="12"/>
  <c r="C37" i="11"/>
  <c r="F34" i="11"/>
  <c r="F34" i="68"/>
  <c r="F11" i="12"/>
  <c r="T16" i="1"/>
  <c r="I27" i="6"/>
  <c r="S19" i="6"/>
  <c r="S27" i="6" s="1"/>
  <c r="F65" i="40"/>
  <c r="G63" i="40"/>
  <c r="B40" i="1"/>
  <c r="F24" i="81" s="1"/>
  <c r="H46" i="36"/>
  <c r="F50" i="11"/>
  <c r="F50" i="68"/>
  <c r="F50" i="69"/>
  <c r="E53" i="21"/>
  <c r="F53" i="21" s="1"/>
  <c r="E52" i="21"/>
  <c r="F52" i="21" s="1"/>
  <c r="I53" i="21"/>
  <c r="J53" i="21" s="1"/>
  <c r="L68" i="39"/>
  <c r="K70" i="39"/>
  <c r="R43" i="37"/>
  <c r="E42" i="37"/>
  <c r="D17" i="12"/>
  <c r="C17" i="12" s="1"/>
  <c r="K59" i="34"/>
  <c r="C39" i="35"/>
  <c r="B2" i="35" s="1"/>
  <c r="B3" i="35" s="1"/>
  <c r="C38" i="35"/>
  <c r="I47" i="37"/>
  <c r="J47" i="37" s="1"/>
  <c r="I46" i="37"/>
  <c r="J46" i="37" s="1"/>
  <c r="C20" i="15"/>
  <c r="C26" i="15"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C48" i="21"/>
  <c r="C49" i="21"/>
  <c r="B2" i="21" s="1"/>
  <c r="B3" i="21" s="1"/>
  <c r="U7" i="37"/>
  <c r="AB7" i="37"/>
  <c r="T42" i="37" s="1"/>
  <c r="G42" i="37" s="1"/>
  <c r="C7" i="74"/>
  <c r="C8" i="74"/>
  <c r="C20" i="11"/>
  <c r="C28" i="11" s="1"/>
  <c r="C27" i="11" s="1"/>
  <c r="D10" i="68"/>
  <c r="D10" i="11"/>
  <c r="C10" i="11" s="1"/>
  <c r="D20" i="12"/>
  <c r="C20" i="12" s="1"/>
  <c r="C18" i="12" s="1"/>
  <c r="D10" i="69"/>
  <c r="E43" i="35"/>
  <c r="F43" i="35" s="1"/>
  <c r="E42" i="35"/>
  <c r="F42" i="35" s="1"/>
  <c r="M11" i="15"/>
  <c r="J10" i="15" s="1"/>
  <c r="J5" i="15" s="1"/>
  <c r="M11" i="67"/>
  <c r="J10" i="67" s="1"/>
  <c r="J5" i="67" s="1"/>
  <c r="F11" i="15"/>
  <c r="F11" i="67"/>
  <c r="P17" i="43"/>
  <c r="N17" i="43"/>
  <c r="G20" i="43" s="1"/>
  <c r="C20" i="43" s="1"/>
  <c r="C34" i="43" s="1"/>
  <c r="M17" i="43"/>
  <c r="O17" i="43"/>
  <c r="H27" i="6" l="1"/>
  <c r="J26" i="81"/>
  <c r="J29" i="81" s="1"/>
  <c r="J24" i="81"/>
  <c r="J18" i="81"/>
  <c r="C24" i="81"/>
  <c r="C23" i="81"/>
  <c r="C53" i="81"/>
  <c r="C48" i="81" s="1"/>
  <c r="C10" i="81"/>
  <c r="C5" i="81" s="1"/>
  <c r="G20" i="77"/>
  <c r="C20" i="77" s="1"/>
  <c r="C36" i="77" s="1"/>
  <c r="T6" i="43"/>
  <c r="V6" i="43" s="1"/>
  <c r="T15" i="43"/>
  <c r="V15" i="43" s="1"/>
  <c r="T2" i="43"/>
  <c r="V2" i="43" s="1"/>
  <c r="T12" i="43"/>
  <c r="V12" i="43" s="1"/>
  <c r="T16" i="43"/>
  <c r="V16" i="43" s="1"/>
  <c r="C38" i="43"/>
  <c r="E38" i="43" s="1"/>
  <c r="C29" i="43"/>
  <c r="E29" i="43" s="1"/>
  <c r="C37" i="43"/>
  <c r="G37" i="43" s="1"/>
  <c r="I37" i="43" s="1"/>
  <c r="T4" i="43"/>
  <c r="V4" i="43" s="1"/>
  <c r="T5" i="43"/>
  <c r="V5" i="43" s="1"/>
  <c r="T13" i="43"/>
  <c r="V13" i="43" s="1"/>
  <c r="T8" i="43"/>
  <c r="V8" i="43" s="1"/>
  <c r="T7" i="43"/>
  <c r="V7" i="43" s="1"/>
  <c r="T9" i="43"/>
  <c r="V9" i="43" s="1"/>
  <c r="T14" i="43"/>
  <c r="V14" i="43" s="1"/>
  <c r="T11" i="43"/>
  <c r="V11" i="43" s="1"/>
  <c r="C35" i="43"/>
  <c r="G35" i="43" s="1"/>
  <c r="I35" i="43" s="1"/>
  <c r="C33" i="43"/>
  <c r="G33" i="43" s="1"/>
  <c r="I33" i="43" s="1"/>
  <c r="C36" i="43"/>
  <c r="G36" i="43" s="1"/>
  <c r="I36" i="43" s="1"/>
  <c r="C39" i="43"/>
  <c r="E39" i="43" s="1"/>
  <c r="T10" i="43"/>
  <c r="V10" i="43" s="1"/>
  <c r="T3" i="43"/>
  <c r="V3" i="43" s="1"/>
  <c r="C14" i="12"/>
  <c r="C16" i="12" s="1"/>
  <c r="C21" i="12" s="1"/>
  <c r="C36" i="11"/>
  <c r="C34" i="11"/>
  <c r="C36" i="68"/>
  <c r="C34" i="68"/>
  <c r="R25" i="6"/>
  <c r="D16" i="6"/>
  <c r="D30" i="6"/>
  <c r="G65" i="40"/>
  <c r="H63" i="40"/>
  <c r="C10" i="15"/>
  <c r="C5" i="15" s="1"/>
  <c r="C53" i="15"/>
  <c r="C48" i="15" s="1"/>
  <c r="J24" i="15"/>
  <c r="J26" i="15"/>
  <c r="J29" i="15" s="1"/>
  <c r="J18" i="15"/>
  <c r="D19" i="68"/>
  <c r="C10" i="68"/>
  <c r="R24" i="6"/>
  <c r="R26" i="6"/>
  <c r="C10" i="67"/>
  <c r="C5" i="67" s="1"/>
  <c r="C53" i="67"/>
  <c r="C48" i="67" s="1"/>
  <c r="J24" i="67"/>
  <c r="J26" i="67"/>
  <c r="J29" i="67" s="1"/>
  <c r="J18" i="67"/>
  <c r="D19" i="69"/>
  <c r="C10" i="69"/>
  <c r="C8" i="69" s="1"/>
  <c r="C5" i="69" s="1"/>
  <c r="G46" i="37"/>
  <c r="H46" i="37" s="1"/>
  <c r="G47" i="37"/>
  <c r="H47" i="37" s="1"/>
  <c r="R21" i="6"/>
  <c r="R8" i="1" s="1"/>
  <c r="R23" i="6"/>
  <c r="A7" i="51"/>
  <c r="B7" i="72" s="1"/>
  <c r="A10" i="51"/>
  <c r="B9" i="72" s="1"/>
  <c r="C4" i="52"/>
  <c r="B45" i="72" s="1"/>
  <c r="D27" i="6"/>
  <c r="D31" i="6" s="1"/>
  <c r="R19" i="6"/>
  <c r="L59" i="34"/>
  <c r="C43" i="37"/>
  <c r="B2" i="37" s="1"/>
  <c r="B3" i="37" s="1"/>
  <c r="C42" i="37"/>
  <c r="M68" i="39"/>
  <c r="L70" i="39"/>
  <c r="E35" i="43"/>
  <c r="R22" i="6"/>
  <c r="D8" i="74"/>
  <c r="D7" i="74"/>
  <c r="E47" i="37"/>
  <c r="F47" i="37" s="1"/>
  <c r="E46" i="37"/>
  <c r="F46" i="37" s="1"/>
  <c r="I46" i="36"/>
  <c r="G34" i="43"/>
  <c r="I34" i="43" s="1"/>
  <c r="E34" i="43"/>
  <c r="F24" i="15"/>
  <c r="F22" i="11"/>
  <c r="F22" i="69"/>
  <c r="F25" i="12"/>
  <c r="C26" i="12" s="1"/>
  <c r="D25" i="12" s="1"/>
  <c r="F24" i="67"/>
  <c r="F22" i="68"/>
  <c r="M21" i="81"/>
  <c r="F35" i="81"/>
  <c r="C30" i="43" l="1"/>
  <c r="E30" i="43" s="1"/>
  <c r="C34" i="81"/>
  <c r="F63" i="81"/>
  <c r="C62" i="81" s="1"/>
  <c r="J20" i="81"/>
  <c r="C38" i="81"/>
  <c r="C32" i="81"/>
  <c r="C29" i="81"/>
  <c r="C66" i="81"/>
  <c r="C60" i="81"/>
  <c r="E36" i="43"/>
  <c r="C38" i="77"/>
  <c r="E38" i="77" s="1"/>
  <c r="G38" i="43"/>
  <c r="I38" i="43" s="1"/>
  <c r="E33" i="43"/>
  <c r="E37" i="43"/>
  <c r="C37" i="77"/>
  <c r="E37" i="77" s="1"/>
  <c r="T8" i="77"/>
  <c r="V8" i="77" s="1"/>
  <c r="T3" i="77"/>
  <c r="V3" i="77" s="1"/>
  <c r="C35" i="77"/>
  <c r="E35" i="77" s="1"/>
  <c r="T7" i="77"/>
  <c r="V7" i="77" s="1"/>
  <c r="C29" i="77"/>
  <c r="C30" i="77" s="1"/>
  <c r="E30" i="77" s="1"/>
  <c r="T15" i="77"/>
  <c r="V15" i="77" s="1"/>
  <c r="T9" i="77"/>
  <c r="V9" i="77" s="1"/>
  <c r="T12" i="77"/>
  <c r="V12" i="77" s="1"/>
  <c r="C34" i="77"/>
  <c r="E34" i="77" s="1"/>
  <c r="T2" i="77"/>
  <c r="V2" i="77" s="1"/>
  <c r="T5" i="77"/>
  <c r="V5" i="77" s="1"/>
  <c r="T11" i="77"/>
  <c r="V11" i="77" s="1"/>
  <c r="C39" i="77"/>
  <c r="E39" i="77" s="1"/>
  <c r="T13" i="77"/>
  <c r="V13" i="77" s="1"/>
  <c r="T4" i="77"/>
  <c r="V4" i="77" s="1"/>
  <c r="T6" i="77"/>
  <c r="V6" i="77" s="1"/>
  <c r="T16" i="77"/>
  <c r="V16" i="77" s="1"/>
  <c r="T10" i="77"/>
  <c r="V10" i="77" s="1"/>
  <c r="T14" i="77"/>
  <c r="V14" i="77" s="1"/>
  <c r="C33" i="77"/>
  <c r="G33" i="77" s="1"/>
  <c r="I33" i="77" s="1"/>
  <c r="E29" i="77"/>
  <c r="G38" i="77"/>
  <c r="I38" i="77" s="1"/>
  <c r="G35" i="77"/>
  <c r="I35" i="77" s="1"/>
  <c r="G36" i="77"/>
  <c r="I36" i="77" s="1"/>
  <c r="E36" i="77"/>
  <c r="C35" i="68"/>
  <c r="C38" i="68"/>
  <c r="C38" i="11"/>
  <c r="C35" i="11"/>
  <c r="R27" i="6"/>
  <c r="R6" i="1"/>
  <c r="R16" i="1" s="1"/>
  <c r="H65" i="40"/>
  <c r="I63" i="40"/>
  <c r="C26" i="68"/>
  <c r="D22" i="68" s="1"/>
  <c r="C44" i="68"/>
  <c r="D41" i="68" s="1"/>
  <c r="C44" i="11"/>
  <c r="D41" i="11" s="1"/>
  <c r="C23" i="11"/>
  <c r="C26" i="11"/>
  <c r="D22" i="11" s="1"/>
  <c r="C24" i="11"/>
  <c r="M59" i="34"/>
  <c r="C19" i="69"/>
  <c r="C24" i="69" s="1"/>
  <c r="D37" i="69"/>
  <c r="C37" i="69" s="1"/>
  <c r="C33" i="69" s="1"/>
  <c r="C32" i="67"/>
  <c r="C38" i="67"/>
  <c r="C60" i="15"/>
  <c r="C66" i="15"/>
  <c r="C24" i="67"/>
  <c r="C23" i="67"/>
  <c r="C26" i="69"/>
  <c r="D22" i="69" s="1"/>
  <c r="C44" i="69"/>
  <c r="D41" i="69" s="1"/>
  <c r="C24" i="15"/>
  <c r="C23" i="15"/>
  <c r="J46" i="36"/>
  <c r="N68" i="39"/>
  <c r="M70" i="39"/>
  <c r="I6" i="6"/>
  <c r="I5" i="6"/>
  <c r="C23" i="69"/>
  <c r="C66" i="67"/>
  <c r="C60" i="67"/>
  <c r="C25" i="11"/>
  <c r="D37" i="68"/>
  <c r="C37" i="68" s="1"/>
  <c r="C19" i="68"/>
  <c r="C32" i="15"/>
  <c r="C38" i="15"/>
  <c r="C22" i="12"/>
  <c r="E6" i="76"/>
  <c r="B6" i="76"/>
  <c r="C27" i="43" l="1"/>
  <c r="V19" i="77"/>
  <c r="C57" i="81"/>
  <c r="C36" i="81"/>
  <c r="J19" i="81"/>
  <c r="J17" i="81" s="1"/>
  <c r="J14" i="81"/>
  <c r="C13" i="81"/>
  <c r="Q49" i="81"/>
  <c r="C33" i="81"/>
  <c r="C31" i="81" s="1"/>
  <c r="J59" i="81"/>
  <c r="J60" i="81" s="1"/>
  <c r="G34" i="77"/>
  <c r="I34" i="77" s="1"/>
  <c r="C26" i="43"/>
  <c r="B2" i="43" s="1"/>
  <c r="C6" i="68" s="1"/>
  <c r="G37" i="77"/>
  <c r="I37" i="77" s="1"/>
  <c r="E33" i="77"/>
  <c r="C26" i="77" s="1"/>
  <c r="B2" i="77" s="1"/>
  <c r="B3" i="77" s="1"/>
  <c r="C33" i="68"/>
  <c r="C42" i="68" s="1"/>
  <c r="C33" i="11"/>
  <c r="E2" i="76"/>
  <c r="I65" i="40"/>
  <c r="J63" i="40"/>
  <c r="C20" i="69"/>
  <c r="B2" i="76"/>
  <c r="C29" i="15"/>
  <c r="C29" i="67"/>
  <c r="N59" i="34"/>
  <c r="C22" i="11"/>
  <c r="C31" i="11" s="1"/>
  <c r="C24" i="68"/>
  <c r="O68" i="39"/>
  <c r="O70" i="39" s="1"/>
  <c r="N70" i="39"/>
  <c r="F7" i="39" s="1"/>
  <c r="K46" i="36"/>
  <c r="L46" i="36" s="1"/>
  <c r="M46" i="36" s="1"/>
  <c r="N46" i="36" s="1"/>
  <c r="O46" i="36" s="1"/>
  <c r="H7" i="36" s="1"/>
  <c r="J7" i="36"/>
  <c r="F7" i="36"/>
  <c r="C39" i="69"/>
  <c r="C43" i="69" s="1"/>
  <c r="C42" i="69"/>
  <c r="B3" i="43"/>
  <c r="C39" i="68" l="1"/>
  <c r="C43" i="68" s="1"/>
  <c r="C41" i="68" s="1"/>
  <c r="C64" i="81"/>
  <c r="C61" i="81"/>
  <c r="C59" i="81" s="1"/>
  <c r="Q48" i="81"/>
  <c r="J13" i="81"/>
  <c r="J23" i="81" s="1"/>
  <c r="J22" i="81"/>
  <c r="C75" i="81"/>
  <c r="Q70" i="81"/>
  <c r="C37" i="81"/>
  <c r="C30" i="81" s="1"/>
  <c r="C39" i="81" s="1"/>
  <c r="C56" i="81"/>
  <c r="C65" i="81" s="1"/>
  <c r="C27" i="77"/>
  <c r="C39" i="11"/>
  <c r="C42" i="11"/>
  <c r="C46" i="69"/>
  <c r="C45" i="69" s="1"/>
  <c r="B3" i="76"/>
  <c r="K63" i="40"/>
  <c r="J65" i="40"/>
  <c r="C41" i="69"/>
  <c r="C25" i="69"/>
  <c r="C22" i="69" s="1"/>
  <c r="C28" i="69"/>
  <c r="C27" i="69" s="1"/>
  <c r="U7" i="36"/>
  <c r="AB7" i="36"/>
  <c r="T36" i="36" s="1"/>
  <c r="G36" i="36" s="1"/>
  <c r="AC7" i="36"/>
  <c r="V36" i="36" s="1"/>
  <c r="I36" i="36" s="1"/>
  <c r="W7" i="36"/>
  <c r="S7" i="36"/>
  <c r="AA7" i="36"/>
  <c r="R36" i="36" s="1"/>
  <c r="J7" i="39"/>
  <c r="H7" i="39"/>
  <c r="J19" i="15"/>
  <c r="J17" i="15" s="1"/>
  <c r="Q49" i="15"/>
  <c r="J14" i="15"/>
  <c r="C33" i="15"/>
  <c r="C31" i="15" s="1"/>
  <c r="C36" i="15"/>
  <c r="C57" i="15"/>
  <c r="C13" i="15"/>
  <c r="J59" i="15"/>
  <c r="J60" i="15" s="1"/>
  <c r="S7" i="39"/>
  <c r="AA7" i="39"/>
  <c r="R47" i="39" s="1"/>
  <c r="O59" i="34"/>
  <c r="J7" i="34" s="1"/>
  <c r="H7" i="34"/>
  <c r="C13" i="67"/>
  <c r="J19" i="67"/>
  <c r="J17" i="67" s="1"/>
  <c r="C36" i="67"/>
  <c r="C33" i="67"/>
  <c r="C31" i="67" s="1"/>
  <c r="C57" i="67"/>
  <c r="J14" i="67"/>
  <c r="Q49" i="67"/>
  <c r="J59" i="67"/>
  <c r="J60" i="67" s="1"/>
  <c r="C46" i="68" l="1"/>
  <c r="C45" i="68" s="1"/>
  <c r="C49" i="68" s="1"/>
  <c r="C51" i="68" s="1"/>
  <c r="J16" i="81"/>
  <c r="J25" i="81" s="1"/>
  <c r="C80" i="81"/>
  <c r="C79" i="81" s="1"/>
  <c r="C58" i="81"/>
  <c r="C67" i="81" s="1"/>
  <c r="C68" i="81" s="1"/>
  <c r="Q69" i="81"/>
  <c r="Q68" i="81" s="1"/>
  <c r="C40" i="81"/>
  <c r="E8" i="12" s="1"/>
  <c r="C4" i="12" s="1"/>
  <c r="C7" i="68"/>
  <c r="C5" i="68" s="1"/>
  <c r="C46" i="11"/>
  <c r="C45" i="11" s="1"/>
  <c r="C43" i="11"/>
  <c r="C41" i="11" s="1"/>
  <c r="C49" i="69"/>
  <c r="C51" i="69" s="1"/>
  <c r="C31" i="69"/>
  <c r="L63" i="40"/>
  <c r="K65" i="40"/>
  <c r="W7" i="34"/>
  <c r="AC7" i="34"/>
  <c r="V49" i="34" s="1"/>
  <c r="I49" i="34" s="1"/>
  <c r="Q48" i="67"/>
  <c r="L46" i="67"/>
  <c r="J13" i="67"/>
  <c r="J23" i="67" s="1"/>
  <c r="J22" i="67"/>
  <c r="C64" i="67"/>
  <c r="C61" i="67"/>
  <c r="C59" i="67" s="1"/>
  <c r="C75" i="67"/>
  <c r="Q70" i="67"/>
  <c r="C37" i="67"/>
  <c r="C30" i="67" s="1"/>
  <c r="C39" i="67" s="1"/>
  <c r="C56" i="67"/>
  <c r="C65" i="67" s="1"/>
  <c r="F7" i="34"/>
  <c r="E47" i="39"/>
  <c r="R48" i="39"/>
  <c r="Q48" i="15"/>
  <c r="L46" i="15"/>
  <c r="C61" i="15"/>
  <c r="C59" i="15" s="1"/>
  <c r="C64" i="15"/>
  <c r="AB7" i="39"/>
  <c r="T47" i="39" s="1"/>
  <c r="G47" i="39" s="1"/>
  <c r="U7" i="39"/>
  <c r="E36" i="36"/>
  <c r="R37" i="36"/>
  <c r="AB7" i="34"/>
  <c r="T49" i="34" s="1"/>
  <c r="G49" i="34" s="1"/>
  <c r="U7" i="34"/>
  <c r="C37" i="15"/>
  <c r="C30" i="15" s="1"/>
  <c r="C39" i="15" s="1"/>
  <c r="Q70" i="15"/>
  <c r="C56" i="15"/>
  <c r="C65" i="15" s="1"/>
  <c r="C75" i="15"/>
  <c r="J13" i="15"/>
  <c r="J23" i="15" s="1"/>
  <c r="J22" i="15"/>
  <c r="AC7" i="39"/>
  <c r="V47" i="39" s="1"/>
  <c r="I47" i="39" s="1"/>
  <c r="W7" i="39"/>
  <c r="I40" i="36"/>
  <c r="J40" i="36" s="1"/>
  <c r="I41" i="36"/>
  <c r="J41" i="36" s="1"/>
  <c r="G40" i="36"/>
  <c r="H40" i="36" s="1"/>
  <c r="G41" i="36"/>
  <c r="H41" i="36" s="1"/>
  <c r="L51" i="81"/>
  <c r="C31" i="12" l="1"/>
  <c r="C23" i="12"/>
  <c r="Q67" i="81"/>
  <c r="L57" i="81"/>
  <c r="L60" i="81" s="1"/>
  <c r="L46" i="81" s="1"/>
  <c r="B2" i="81" s="1"/>
  <c r="Q47" i="81"/>
  <c r="Q53" i="81" s="1"/>
  <c r="Q65" i="81"/>
  <c r="Q56" i="81"/>
  <c r="C43" i="81"/>
  <c r="E6" i="12" s="1"/>
  <c r="C83" i="81"/>
  <c r="C82" i="81" s="1"/>
  <c r="C71" i="81"/>
  <c r="C46" i="81"/>
  <c r="C23" i="68"/>
  <c r="C20" i="68"/>
  <c r="C28" i="68" s="1"/>
  <c r="C27" i="68" s="1"/>
  <c r="C49" i="11"/>
  <c r="C51" i="11" s="1"/>
  <c r="C52" i="11" s="1"/>
  <c r="B2" i="11" s="1"/>
  <c r="B3" i="11" s="1"/>
  <c r="C52" i="69"/>
  <c r="B2" i="69" s="1"/>
  <c r="B3" i="69" s="1"/>
  <c r="M63" i="40"/>
  <c r="L65" i="40"/>
  <c r="C80" i="67"/>
  <c r="C79" i="67" s="1"/>
  <c r="J16" i="15"/>
  <c r="J25" i="15" s="1"/>
  <c r="C58" i="15"/>
  <c r="C67" i="15" s="1"/>
  <c r="C68" i="15" s="1"/>
  <c r="J16" i="67"/>
  <c r="J25" i="67" s="1"/>
  <c r="Q69" i="15"/>
  <c r="Q68" i="15" s="1"/>
  <c r="C40" i="15"/>
  <c r="E40" i="36"/>
  <c r="F40" i="36" s="1"/>
  <c r="E41" i="36"/>
  <c r="F41" i="36" s="1"/>
  <c r="G52" i="39"/>
  <c r="H52" i="39" s="1"/>
  <c r="G51" i="39"/>
  <c r="H51" i="39" s="1"/>
  <c r="C47" i="39"/>
  <c r="C48" i="39"/>
  <c r="S7" i="34"/>
  <c r="AA7" i="34"/>
  <c r="R49" i="34" s="1"/>
  <c r="C58" i="67"/>
  <c r="C67" i="67" s="1"/>
  <c r="C68" i="67" s="1"/>
  <c r="I53" i="34"/>
  <c r="J53" i="34" s="1"/>
  <c r="I51" i="39"/>
  <c r="J51" i="39" s="1"/>
  <c r="I52" i="39"/>
  <c r="J52" i="39" s="1"/>
  <c r="C80" i="15"/>
  <c r="C79" i="15" s="1"/>
  <c r="G53" i="34"/>
  <c r="H53" i="34" s="1"/>
  <c r="G54" i="34"/>
  <c r="H54" i="34" s="1"/>
  <c r="C36" i="36"/>
  <c r="C37" i="36"/>
  <c r="B2" i="36" s="1"/>
  <c r="B3" i="36" s="1"/>
  <c r="E51" i="39"/>
  <c r="F51" i="39" s="1"/>
  <c r="E52" i="39"/>
  <c r="F52" i="39" s="1"/>
  <c r="Q69" i="67"/>
  <c r="Q68" i="67" s="1"/>
  <c r="C40" i="67"/>
  <c r="AO8" i="1"/>
  <c r="L51" i="15"/>
  <c r="L51" i="67"/>
  <c r="C27" i="12" l="1"/>
  <c r="C25" i="12" s="1"/>
  <c r="C30" i="12"/>
  <c r="C28" i="12" s="1"/>
  <c r="B8" i="70"/>
  <c r="B3" i="81"/>
  <c r="Q66" i="81"/>
  <c r="Q75" i="81" s="1"/>
  <c r="Q57" i="81"/>
  <c r="Q62" i="81" s="1"/>
  <c r="C25" i="68"/>
  <c r="C22" i="68" s="1"/>
  <c r="C31" i="68" s="1"/>
  <c r="C52" i="68" s="1"/>
  <c r="C56" i="11"/>
  <c r="C57" i="11" s="1"/>
  <c r="C57" i="69"/>
  <c r="C56" i="69" s="1"/>
  <c r="C46" i="15"/>
  <c r="N63" i="40"/>
  <c r="M65" i="40"/>
  <c r="C71" i="15"/>
  <c r="Q67" i="67"/>
  <c r="L57" i="67"/>
  <c r="L60" i="67" s="1"/>
  <c r="Q67" i="15"/>
  <c r="L57" i="15"/>
  <c r="L60" i="15" s="1"/>
  <c r="C71" i="67"/>
  <c r="C45" i="67"/>
  <c r="C46" i="67" s="1"/>
  <c r="C43" i="15"/>
  <c r="Q65" i="15"/>
  <c r="Q47" i="15"/>
  <c r="Q53" i="15" s="1"/>
  <c r="Q56" i="15"/>
  <c r="B2" i="15"/>
  <c r="C83" i="15"/>
  <c r="C82" i="15" s="1"/>
  <c r="C43" i="67"/>
  <c r="Q56" i="67"/>
  <c r="D2" i="67"/>
  <c r="Q65" i="67"/>
  <c r="Q47" i="67"/>
  <c r="Q53" i="67" s="1"/>
  <c r="C83" i="67"/>
  <c r="C82" i="67" s="1"/>
  <c r="E49" i="34"/>
  <c r="R50" i="3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O6" i="1"/>
  <c r="C32" i="12" l="1"/>
  <c r="B2" i="12" s="1"/>
  <c r="B2" i="68"/>
  <c r="C57" i="68"/>
  <c r="C56" i="68" s="1"/>
  <c r="B6" i="70"/>
  <c r="B2" i="70" s="1"/>
  <c r="B3" i="70" s="1"/>
  <c r="B3" i="15"/>
  <c r="J7" i="40"/>
  <c r="N65" i="40"/>
  <c r="O63" i="40"/>
  <c r="O65" i="40" s="1"/>
  <c r="C49" i="34"/>
  <c r="C50" i="34"/>
  <c r="B2" i="34" s="1"/>
  <c r="B3" i="34" s="1"/>
  <c r="Q57" i="15"/>
  <c r="Q62" i="15" s="1"/>
  <c r="Q66" i="15"/>
  <c r="Q75" i="15" s="1"/>
  <c r="Q66" i="67"/>
  <c r="Q75" i="67" s="1"/>
  <c r="Q57" i="67"/>
  <c r="Q62" i="67" s="1"/>
  <c r="E54" i="34"/>
  <c r="F54" i="34" s="1"/>
  <c r="E53" i="34"/>
  <c r="F53" i="34" s="1"/>
  <c r="I54" i="34"/>
  <c r="J54" i="34" s="1"/>
  <c r="B2" i="67"/>
  <c r="B3" i="67"/>
  <c r="D19" i="9"/>
  <c r="C19" i="9"/>
  <c r="D102" i="9" l="1"/>
  <c r="D21" i="9"/>
  <c r="B3" i="12"/>
  <c r="C102" i="9"/>
  <c r="G19" i="9"/>
  <c r="D22" i="9"/>
  <c r="C21" i="9"/>
  <c r="B3" i="68"/>
  <c r="W7" i="40"/>
  <c r="AC7" i="40"/>
  <c r="V42" i="40" s="1"/>
  <c r="I42" i="40" s="1"/>
  <c r="F7" i="40"/>
  <c r="H7" i="40"/>
  <c r="D20" i="9"/>
  <c r="C20" i="9"/>
  <c r="D103" i="9" l="1"/>
  <c r="C103" i="9"/>
  <c r="G20" i="9"/>
  <c r="C32" i="9"/>
  <c r="G21" i="9"/>
  <c r="AB7" i="40"/>
  <c r="T42" i="40" s="1"/>
  <c r="G42" i="40" s="1"/>
  <c r="U7" i="40"/>
  <c r="I46" i="40"/>
  <c r="J46" i="40" s="1"/>
  <c r="S7" i="40"/>
  <c r="AA7" i="40"/>
  <c r="R42" i="40" s="1"/>
  <c r="H118" i="9" l="1"/>
  <c r="C35" i="9"/>
  <c r="F118" i="9" s="1"/>
  <c r="G47" i="40"/>
  <c r="H47" i="40" s="1"/>
  <c r="G46" i="40"/>
  <c r="H46" i="40" s="1"/>
  <c r="E42" i="40"/>
  <c r="R43" i="40"/>
  <c r="F119" i="9" l="1"/>
  <c r="F5" i="52" s="1"/>
  <c r="B53" i="72" s="1"/>
  <c r="F4" i="52"/>
  <c r="B51" i="72" s="1"/>
  <c r="G118" i="9"/>
  <c r="G4" i="52" s="1"/>
  <c r="B52" i="72" s="1"/>
  <c r="C34" i="9"/>
  <c r="D118" i="9" s="1"/>
  <c r="H119" i="9"/>
  <c r="H5" i="52" s="1"/>
  <c r="C104" i="9"/>
  <c r="I118" i="9"/>
  <c r="D14" i="74"/>
  <c r="H101" i="9"/>
  <c r="H4" i="52"/>
  <c r="E47" i="40"/>
  <c r="F47" i="40" s="1"/>
  <c r="E46" i="40"/>
  <c r="F46" i="40" s="1"/>
  <c r="I47" i="40"/>
  <c r="J47" i="40" s="1"/>
  <c r="C43" i="40"/>
  <c r="C42" i="40"/>
  <c r="C105" i="9" l="1"/>
  <c r="E118" i="9"/>
  <c r="E4" i="52" s="1"/>
  <c r="B48" i="72" s="1"/>
  <c r="H102" i="9"/>
  <c r="D7" i="53" s="1"/>
  <c r="B21" i="72" s="1"/>
  <c r="I4" i="52"/>
  <c r="B5" i="74"/>
  <c r="E14" i="74"/>
  <c r="F14" i="74"/>
  <c r="D4" i="52"/>
  <c r="B47" i="72" s="1"/>
  <c r="D119" i="9"/>
  <c r="D5" i="52" s="1"/>
  <c r="B49" i="72" s="1"/>
  <c r="M48" i="9"/>
  <c r="D5" i="53"/>
  <c r="H107" i="9"/>
  <c r="D45" i="9"/>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D122" i="9" l="1"/>
  <c r="H108" i="9"/>
  <c r="D15" i="53" s="1"/>
  <c r="B31" i="72" s="1"/>
  <c r="D13" i="53"/>
  <c r="C78" i="9"/>
  <c r="C73" i="9" s="1"/>
  <c r="D55" i="9"/>
  <c r="M53" i="9" s="1"/>
  <c r="C93" i="9"/>
  <c r="C86" i="9" s="1"/>
  <c r="C72" i="9"/>
  <c r="C85" i="9"/>
  <c r="D53" i="9"/>
  <c r="D52" i="9"/>
  <c r="C64" i="9"/>
  <c r="C63" i="9" s="1"/>
  <c r="C67" i="9" s="1"/>
  <c r="C68" i="9" s="1"/>
  <c r="D54" i="9" s="1"/>
  <c r="B20" i="72"/>
  <c r="D6" i="53"/>
  <c r="B22" i="72" s="1"/>
  <c r="D5" i="74"/>
  <c r="C5" i="74"/>
  <c r="C95" i="9" l="1"/>
  <c r="C96" i="9" s="1"/>
  <c r="E96" i="9" s="1"/>
  <c r="E97" i="9" s="1"/>
  <c r="C79" i="9"/>
  <c r="C80" i="9" s="1"/>
  <c r="E80" i="9" s="1"/>
  <c r="E81" i="9" s="1"/>
  <c r="D14" i="53"/>
  <c r="B32" i="72" s="1"/>
  <c r="B30" i="72"/>
  <c r="G14" i="74"/>
  <c r="B6" i="74" s="1"/>
  <c r="D8" i="52"/>
  <c r="D123" i="9"/>
  <c r="D9" i="52" s="1"/>
  <c r="C81" i="9" l="1"/>
  <c r="C97" i="9"/>
  <c r="D58" i="9" s="1"/>
  <c r="D56" i="9" s="1"/>
  <c r="M54" i="9" s="1"/>
  <c r="N57" i="9" s="1"/>
  <c r="N58"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<sst xmlns="http://schemas.openxmlformats.org/spreadsheetml/2006/main" count="9415" uniqueCount="3707">
  <si>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</si>
  <si>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</si>
  <si>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</si>
  <si>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</si>
  <si>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</si>
  <si>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</si>
  <si>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</si>
  <si>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</si>
  <si>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</si>
  <si>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</si>
  <si>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</si>
  <si>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</si>
  <si>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</si>
  <si>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</si>
  <si>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</si>
  <si>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</si>
  <si>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</si>
  <si>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</si>
  <si>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</si>
  <si>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</si>
  <si>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</si>
  <si>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</si>
  <si>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</si>
  <si>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</si>
  <si>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</si>
  <si>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</si>
  <si>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</si>
  <si>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</si>
  <si>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</si>
  <si>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</si>
  <si>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</si>
  <si>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</si>
  <si>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</si>
  <si>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</si>
  <si>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</si>
  <si>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</si>
  <si>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</si>
  <si>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</si>
  <si>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</si>
  <si>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</si>
  <si>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</si>
  <si>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</si>
  <si>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</si>
  <si>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</si>
  <si>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</si>
  <si>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</si>
  <si>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</si>
  <si>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</si>
  <si>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</si>
  <si>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</si>
  <si>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</si>
  <si>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</si>
  <si>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</si>
  <si>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</si>
  <si>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</si>
  <si>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</si>
  <si>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</si>
  <si>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</si>
  <si>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</si>
  <si>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</si>
  <si>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</si>
  <si>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</si>
  <si>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</si>
  <si>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</si>
  <si>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</si>
  <si>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</si>
  <si>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</si>
  <si>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</si>
  <si>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</si>
  <si>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</si>
  <si>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</si>
  <si>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</si>
  <si>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</si>
  <si>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</si>
  <si>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</si>
  <si>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</si>
  <si>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</si>
  <si>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</si>
  <si>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</si>
  <si>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</si>
  <si>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</si>
  <si>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</si>
  <si>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</si>
  <si>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</si>
  <si>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</si>
  <si>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</si>
  <si>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</si>
  <si>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</si>
  <si>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</si>
  <si>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</si>
  <si>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</si>
  <si>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</si>
  <si>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</si>
  <si>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</si>
  <si>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</si>
  <si>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</si>
  <si>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</si>
  <si>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</si>
  <si>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</si>
  <si>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</si>
  <si>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</si>
  <si>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</si>
  <si>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</si>
  <si>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</si>
  <si>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</si>
  <si>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</si>
  <si>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</si>
  <si>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</si>
  <si>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</si>
  <si>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</si>
  <si>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</si>
  <si>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</si>
  <si>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</si>
  <si>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</si>
  <si>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</si>
  <si>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</si>
  <si>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</si>
  <si>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</si>
  <si>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</si>
  <si>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</si>
  <si>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</si>
  <si>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</si>
  <si>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</si>
  <si>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</si>
  <si>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</si>
  <si>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</si>
  <si>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</si>
  <si>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</si>
  <si>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</si>
  <si>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</si>
  <si>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</si>
  <si>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</si>
  <si>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</si>
  <si>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</si>
  <si>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</si>
  <si>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</si>
  <si>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</si>
  <si>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</si>
  <si>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</si>
  <si>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</si>
  <si>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</si>
  <si>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</si>
  <si>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</si>
  <si>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</si>
  <si>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</si>
  <si>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</si>
  <si>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</si>
  <si>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</si>
  <si>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</si>
  <si>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</si>
  <si>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</si>
  <si>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</si>
  <si>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</si>
  <si>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</si>
  <si>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</si>
  <si>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</si>
  <si>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</si>
  <si>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</si>
  <si>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</si>
  <si>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</si>
  <si>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</si>
  <si>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</si>
  <si>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</si>
  <si>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</si>
  <si>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</si>
  <si>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</si>
  <si>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</si>
  <si>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</si>
  <si>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</si>
  <si>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</si>
  <si>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</si>
  <si>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</si>
  <si>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</si>
  <si>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</si>
  <si>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</si>
  <si>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</si>
  <si>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</si>
  <si>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</si>
  <si>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</si>
  <si>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</si>
  <si>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</si>
  <si>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</si>
  <si>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</si>
  <si>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</si>
  <si>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</si>
  <si>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</si>
  <si>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</si>
  <si>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</si>
  <si>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</si>
  <si>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</si>
  <si>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</si>
  <si>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</si>
  <si>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</si>
  <si>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</si>
  <si>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</si>
  <si>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</si>
  <si>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</si>
  <si>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</si>
  <si>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</si>
  <si>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</si>
  <si>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</si>
  <si>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</si>
  <si>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</si>
  <si>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</si>
  <si>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</si>
  <si>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</si>
  <si>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</si>
  <si>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</si>
  <si>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</si>
  <si>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</si>
  <si>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</si>
  <si>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</si>
  <si>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</si>
  <si>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</si>
  <si>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</si>
  <si>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</si>
  <si>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</si>
  <si>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</si>
  <si>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</si>
  <si>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</si>
  <si>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</si>
  <si>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</si>
  <si>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</si>
  <si>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</si>
  <si>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</si>
  <si>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</si>
  <si>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</si>
  <si>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</si>
  <si>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</si>
  <si>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</si>
  <si>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</si>
  <si>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</si>
  <si>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</si>
  <si>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</si>
  <si>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</si>
  <si>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</si>
  <si>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</si>
  <si>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</si>
  <si>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</si>
  <si>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</si>
  <si>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</si>
  <si>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</si>
  <si>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</si>
  <si>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</si>
  <si>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</si>
  <si>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</si>
  <si>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</si>
  <si>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</si>
  <si>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</si>
  <si>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</si>
  <si>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</si>
  <si>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</si>
  <si>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</si>
  <si>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</si>
  <si>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</si>
  <si>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</si>
  <si>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</si>
  <si>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</si>
  <si>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</si>
  <si>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</si>
  <si>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</si>
  <si>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</si>
  <si>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</si>
  <si>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</si>
  <si>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</si>
  <si>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</si>
  <si>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</si>
  <si>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</si>
  <si>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</si>
  <si>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</si>
  <si>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</si>
  <si>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</si>
  <si>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</si>
  <si>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</si>
  <si>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</si>
  <si>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</si>
  <si>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</si>
  <si>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</si>
  <si>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</si>
  <si>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</si>
  <si>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</si>
  <si>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</si>
  <si>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</si>
  <si>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</si>
  <si>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</si>
  <si>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</si>
  <si>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</si>
  <si>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</si>
  <si>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</si>
  <si>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</si>
  <si>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</si>
  <si>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</si>
  <si>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</si>
  <si>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</si>
  <si>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</si>
  <si>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</si>
  <si>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</si>
  <si>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</si>
  <si>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</si>
  <si>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</si>
  <si>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</si>
  <si>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</si>
  <si>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</si>
  <si>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</si>
  <si>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</si>
  <si>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</si>
  <si>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</si>
  <si>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</si>
  <si>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</si>
  <si>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</si>
  <si>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</si>
  <si>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</si>
  <si>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</si>
  <si>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</si>
  <si>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</si>
  <si>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</si>
  <si>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</si>
  <si>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</si>
  <si>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</si>
  <si>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</si>
  <si>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</si>
  <si>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</si>
  <si>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</si>
  <si>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</si>
  <si>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</si>
  <si>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</si>
  <si>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</si>
  <si>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</si>
  <si>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</si>
  <si>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</si>
  <si>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</si>
  <si>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</si>
  <si>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</si>
  <si>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</si>
  <si>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</si>
  <si>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</si>
  <si>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</si>
  <si>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</si>
  <si>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</si>
  <si>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</si>
  <si>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</si>
  <si>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</si>
  <si>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</si>
  <si>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</si>
  <si>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</si>
  <si>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</si>
  <si>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</si>
  <si>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</si>
  <si>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</si>
  <si>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</si>
  <si>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</si>
  <si>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</si>
  <si>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</si>
  <si>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</si>
  <si>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</si>
  <si>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</si>
  <si>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</si>
  <si>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</si>
  <si>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</si>
  <si>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</si>
  <si>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</si>
  <si>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</si>
  <si>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</si>
  <si>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</si>
  <si>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</si>
  <si>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</si>
  <si>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</si>
  <si>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</si>
  <si>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</si>
  <si>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</si>
  <si>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</si>
  <si>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</si>
  <si>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</si>
  <si>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</si>
  <si>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</si>
  <si>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</si>
  <si>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</si>
  <si>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</si>
  <si>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</si>
  <si>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</si>
  <si>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</si>
  <si>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</si>
  <si>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</si>
  <si>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</si>
  <si>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</si>
  <si>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</si>
  <si>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</si>
  <si>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</si>
  <si>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</si>
  <si>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</si>
  <si>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</si>
  <si>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</si>
  <si>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</si>
  <si>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</si>
  <si>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</si>
  <si>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</si>
  <si>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</si>
  <si>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</si>
  <si>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</si>
  <si>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</si>
  <si>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</si>
  <si>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</si>
  <si>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</si>
  <si>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</si>
  <si>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</si>
  <si>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</si>
  <si>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</si>
  <si>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</si>
  <si>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</si>
  <si>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</si>
  <si>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</si>
  <si>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</si>
  <si>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</si>
  <si>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</si>
  <si>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</si>
  <si>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</si>
  <si>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</si>
  <si>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</si>
  <si>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</si>
  <si>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</si>
  <si>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</si>
  <si>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</si>
  <si>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</si>
  <si>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</si>
  <si>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</si>
  <si>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</si>
  <si>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</si>
  <si>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</si>
  <si>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</si>
  <si>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</si>
  <si>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</si>
  <si>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</si>
  <si>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</si>
  <si>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</si>
  <si>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</si>
  <si>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</si>
  <si>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</si>
  <si>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</si>
  <si>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</si>
  <si>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</si>
  <si>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</si>
  <si>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</si>
  <si>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</si>
  <si>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</si>
  <si>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</si>
  <si>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</si>
  <si>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</si>
  <si>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</si>
  <si>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</si>
  <si>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</si>
  <si>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</si>
  <si>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</si>
  <si>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</si>
  <si>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</si>
  <si>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</si>
  <si>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</si>
  <si>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</si>
  <si>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</si>
  <si>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</si>
  <si>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</si>
  <si>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</si>
  <si>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</si>
  <si>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</si>
  <si>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</si>
  <si>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</si>
  <si>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</si>
  <si>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</si>
  <si>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</si>
  <si>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</si>
  <si>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</si>
  <si>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</si>
  <si>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</si>
  <si>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</si>
  <si>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</si>
  <si>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</si>
  <si>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</si>
  <si>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</si>
  <si>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</si>
  <si>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</si>
  <si>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</si>
  <si>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</si>
  <si>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</si>
  <si>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</si>
  <si>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</si>
  <si>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</si>
  <si>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</si>
  <si>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</si>
  <si>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</si>
  <si>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</si>
  <si>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</si>
  <si>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</si>
  <si>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</si>
  <si>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</si>
  <si>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</si>
  <si>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</si>
  <si>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</si>
  <si>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</si>
  <si>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</si>
  <si>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</si>
  <si>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</si>
  <si>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</si>
  <si>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</si>
  <si>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</si>
  <si>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</si>
  <si>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</si>
  <si>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</si>
  <si>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</si>
  <si>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</si>
  <si>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</si>
  <si>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</si>
  <si>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</si>
  <si>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</si>
  <si>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</si>
  <si>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</si>
  <si>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</si>
  <si>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</si>
  <si>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</si>
  <si>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</si>
  <si>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</si>
  <si>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</si>
  <si>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</si>
  <si>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</si>
  <si>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</si>
  <si>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</si>
  <si>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</si>
  <si>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</si>
  <si>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</si>
  <si>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</si>
  <si>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</si>
  <si>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</si>
  <si>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</si>
  <si>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</si>
  <si>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</si>
  <si>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</si>
  <si>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</si>
  <si>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</si>
  <si>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</si>
  <si>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</si>
  <si>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</si>
  <si>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</si>
  <si>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</si>
  <si>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</si>
  <si>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</si>
  <si>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</si>
  <si>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</si>
  <si>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</si>
  <si>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</si>
  <si>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</si>
  <si>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</si>
  <si>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</si>
  <si>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</si>
  <si>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</si>
  <si>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</si>
  <si>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</si>
  <si>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</si>
  <si>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</si>
  <si>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</si>
  <si>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</si>
  <si>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</si>
  <si>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</si>
  <si>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</si>
  <si>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</si>
  <si>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</si>
  <si>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</si>
  <si>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</si>
  <si>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</si>
  <si>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</si>
  <si>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</si>
  <si>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</si>
  <si>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</si>
  <si>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</si>
  <si>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</si>
  <si>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</si>
  <si>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</si>
  <si>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</si>
  <si>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</si>
  <si>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</si>
  <si>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</si>
  <si>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</si>
  <si>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</si>
  <si>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</si>
  <si>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</si>
  <si>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</si>
  <si>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</si>
  <si>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</si>
  <si>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</si>
  <si>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</si>
  <si>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</si>
  <si>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</si>
  <si>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</si>
  <si>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</si>
  <si>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</si>
  <si>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</si>
  <si>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</si>
  <si>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</si>
  <si>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</si>
  <si>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</si>
  <si>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</si>
  <si>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</si>
  <si>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</si>
  <si>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</si>
  <si>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</si>
  <si>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</si>
  <si>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</si>
  <si>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</si>
  <si>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</si>
  <si>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</si>
  <si>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</si>
  <si>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</si>
  <si>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</si>
  <si>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</si>
  <si>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</si>
  <si>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</si>
  <si>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</si>
  <si>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</si>
  <si>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</si>
  <si>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</si>
  <si>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</si>
  <si>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</si>
  <si>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</si>
  <si>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</si>
  <si>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</si>
  <si>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</si>
  <si>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</si>
  <si>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</si>
  <si>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</si>
  <si>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</si>
  <si>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</si>
  <si>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</si>
  <si>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</si>
  <si>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</si>
  <si>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</si>
  <si>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</si>
  <si>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</si>
  <si>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</si>
  <si>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</si>
  <si>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</si>
  <si>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</si>
  <si>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</si>
  <si>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</si>
  <si>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</si>
  <si>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</si>
  <si>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</si>
  <si>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</si>
  <si>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</si>
  <si>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</si>
  <si>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</si>
  <si>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</si>
  <si>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</si>
  <si>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</si>
  <si>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</si>
  <si>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</si>
  <si>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</si>
  <si>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</si>
  <si>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</si>
  <si>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</si>
  <si>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</si>
  <si>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</si>
  <si>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</si>
  <si>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</si>
  <si>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</si>
  <si>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</si>
  <si>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</si>
  <si>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</si>
  <si>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</si>
  <si>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</si>
  <si>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</si>
  <si>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</si>
  <si>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</si>
  <si>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</si>
  <si>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</si>
  <si>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</si>
  <si>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</si>
  <si>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</si>
  <si>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</si>
  <si>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</si>
  <si>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</si>
  <si>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</si>
  <si>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</si>
  <si>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</si>
  <si>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</si>
  <si>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</si>
  <si>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</si>
  <si>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</si>
  <si>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</si>
  <si>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</si>
  <si>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</si>
  <si>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</si>
  <si>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</si>
  <si>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</si>
  <si>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</si>
  <si>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</si>
  <si>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</si>
  <si>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</si>
  <si>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</si>
  <si>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</si>
  <si>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</si>
  <si>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</si>
  <si>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</si>
  <si>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</si>
  <si>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</si>
  <si>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</si>
  <si>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</si>
  <si>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</si>
  <si>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</si>
  <si>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</si>
  <si>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</si>
  <si>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</si>
  <si>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</si>
  <si>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</si>
  <si>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</si>
  <si>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</si>
  <si>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</si>
  <si>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</si>
  <si>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</si>
  <si>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</si>
  <si>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</si>
  <si>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</si>
  <si>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</si>
  <si>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</si>
  <si>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</si>
  <si>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</si>
  <si>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</si>
  <si>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</si>
  <si>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</si>
  <si>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</si>
  <si>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</si>
  <si>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</si>
  <si>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</si>
  <si>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</si>
  <si>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</si>
  <si>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</si>
  <si>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</si>
  <si>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</si>
  <si>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</si>
  <si>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</si>
  <si>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</si>
  <si>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</si>
  <si>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</si>
  <si>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</si>
  <si>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</si>
  <si>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</si>
  <si>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</si>
  <si>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</si>
  <si>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</si>
  <si>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</si>
  <si>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</si>
  <si>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</si>
  <si>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</si>
  <si>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</si>
  <si>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</si>
  <si>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</si>
  <si>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</si>
  <si>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</si>
  <si>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</si>
  <si>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</si>
  <si>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</si>
  <si>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</si>
  <si>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</si>
  <si>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</si>
  <si>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</si>
  <si>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</si>
  <si>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</si>
  <si>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</si>
  <si>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</si>
  <si>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</si>
  <si>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</si>
  <si>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</si>
  <si>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</si>
  <si>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</si>
  <si>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</si>
  <si>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</si>
  <si>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</si>
  <si>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</si>
  <si>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</si>
  <si>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</si>
  <si>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</si>
  <si>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</si>
  <si>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</si>
  <si>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</si>
  <si>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</si>
  <si>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</si>
  <si>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</si>
  <si>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</si>
  <si>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</si>
  <si>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</si>
  <si>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</si>
  <si>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</si>
  <si>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</si>
  <si>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</si>
  <si>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</si>
  <si>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</si>
  <si>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</si>
  <si>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</si>
  <si>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</si>
  <si>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</si>
  <si>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</si>
  <si>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</si>
  <si>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</si>
  <si>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</si>
  <si>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</si>
  <si>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</si>
  <si>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</si>
  <si>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</si>
  <si>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</si>
  <si>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</si>
  <si>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</si>
  <si>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</si>
  <si>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</si>
  <si>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</si>
  <si>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</si>
  <si>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</si>
  <si>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</si>
  <si>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</si>
  <si>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</si>
  <si>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</si>
  <si>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</si>
  <si>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</si>
  <si>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</si>
  <si>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</si>
  <si>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</si>
  <si>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</si>
  <si>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</si>
  <si>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</si>
  <si>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</si>
  <si>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</si>
  <si>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</si>
  <si>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</si>
  <si>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</si>
  <si>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</si>
  <si>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</si>
  <si>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</si>
  <si>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</si>
  <si>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</si>
  <si>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</si>
  <si>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</si>
  <si>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</si>
  <si>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</si>
  <si>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</si>
  <si>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</si>
  <si>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</si>
  <si>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</si>
  <si>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</si>
  <si>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</si>
  <si>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</si>
  <si>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</si>
  <si>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</si>
  <si>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</si>
  <si>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</si>
  <si>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</si>
  <si>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</si>
  <si>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</si>
  <si>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</si>
  <si>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</si>
  <si>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</si>
  <si>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</si>
  <si>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</si>
  <si>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</si>
  <si>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</si>
  <si>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</si>
  <si>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</si>
  <si>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</si>
  <si>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</si>
  <si>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</si>
  <si>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</si>
  <si>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</si>
  <si>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</si>
  <si>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</si>
  <si>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</si>
  <si>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</si>
  <si>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</si>
  <si>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</si>
  <si>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</si>
  <si>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</si>
  <si>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</si>
  <si>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</si>
  <si>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</si>
  <si>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</si>
  <si>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</si>
  <si>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</si>
  <si>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</si>
  <si>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</si>
  <si>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</si>
  <si>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</si>
  <si>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</si>
  <si>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</si>
  <si>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</si>
  <si>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</si>
  <si>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</si>
  <si>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</si>
  <si>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</si>
  <si>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</si>
  <si>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</si>
  <si>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</si>
  <si>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</si>
  <si>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</si>
  <si>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</si>
  <si>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</si>
  <si>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</si>
  <si>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</si>
  <si>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</si>
  <si>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</si>
  <si>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</si>
  <si>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</si>
  <si>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</si>
  <si>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</si>
  <si>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</si>
  <si>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</si>
  <si>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</si>
  <si>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</si>
  <si>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</si>
  <si>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</si>
  <si>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</si>
  <si>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</si>
  <si>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</si>
  <si>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</si>
  <si>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</si>
  <si>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</si>
  <si>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</si>
  <si>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</si>
  <si>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</si>
  <si>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</si>
  <si>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</si>
  <si>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</si>
  <si>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</si>
  <si>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</si>
  <si>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</si>
  <si>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</si>
  <si>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</si>
  <si>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</si>
  <si>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</si>
  <si>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</si>
  <si>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</si>
  <si>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</si>
  <si>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</si>
  <si>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</si>
  <si>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</si>
  <si>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</si>
  <si>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</si>
  <si>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</si>
  <si>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</si>
  <si>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</si>
  <si>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</si>
  <si>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</si>
  <si>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</si>
  <si>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</si>
  <si>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</si>
  <si>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</si>
  <si>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</si>
  <si>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</si>
  <si>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</si>
  <si>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</si>
  <si>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</si>
  <si>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</si>
  <si>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</si>
  <si>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</si>
  <si>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</si>
  <si>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</si>
  <si>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</si>
  <si>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</si>
  <si>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</si>
  <si>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</si>
  <si>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</si>
  <si>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</si>
  <si>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</si>
  <si>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</si>
  <si>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</si>
  <si>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</si>
  <si>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</si>
  <si>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</si>
  <si>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</si>
  <si>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</si>
  <si>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</si>
  <si>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</si>
  <si>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</si>
  <si>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</si>
  <si>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</si>
  <si>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</si>
  <si>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</si>
  <si>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</si>
  <si>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</si>
  <si>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</si>
  <si>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</si>
  <si>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</si>
  <si>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</si>
  <si>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</si>
  <si>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</si>
  <si>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</si>
  <si>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</si>
  <si>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</si>
  <si>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</si>
  <si>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</si>
  <si>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</si>
  <si>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</si>
  <si>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</si>
  <si>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</si>
  <si>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</si>
  <si>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</si>
  <si>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</si>
  <si>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</si>
  <si>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</si>
  <si>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</si>
  <si>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</si>
  <si>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</si>
  <si>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</si>
  <si>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</si>
  <si>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</si>
  <si>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</si>
  <si>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</si>
  <si>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</si>
  <si>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</si>
  <si>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</si>
  <si>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</si>
  <si>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</si>
  <si>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</si>
  <si>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</si>
  <si>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</si>
  <si>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</si>
  <si>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</si>
  <si>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</si>
  <si>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</si>
  <si>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</si>
  <si>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</si>
  <si>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</si>
  <si>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</si>
  <si>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</si>
  <si>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</si>
  <si>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</si>
  <si>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</si>
  <si>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</si>
  <si>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</si>
  <si>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</si>
  <si>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</si>
  <si>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</si>
  <si>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</si>
  <si>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</si>
  <si>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</si>
  <si>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</si>
  <si>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</si>
  <si>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</si>
  <si>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</si>
  <si>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</si>
  <si>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</si>
  <si>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</si>
  <si>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</si>
  <si>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</si>
  <si>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</si>
  <si>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</si>
  <si>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</si>
  <si>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</si>
  <si>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</si>
  <si>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</si>
  <si>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</si>
  <si>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</si>
  <si>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</si>
  <si>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</si>
  <si>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</si>
  <si>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</si>
  <si>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</si>
  <si>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</si>
  <si>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</si>
  <si>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</si>
  <si>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</si>
  <si>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</si>
  <si>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</si>
  <si>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</si>
  <si>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</si>
  <si>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</si>
  <si>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</si>
  <si>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</si>
  <si>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</si>
  <si>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</si>
  <si>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</si>
  <si>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</si>
  <si>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</si>
  <si>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</si>
  <si>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</si>
  <si>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</si>
  <si>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</si>
  <si>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</si>
  <si>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</si>
  <si>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</si>
  <si>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</si>
  <si>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</si>
  <si>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</si>
  <si>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</si>
  <si>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</si>
  <si>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</si>
  <si>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</si>
  <si>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</si>
  <si>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</si>
  <si>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</si>
  <si>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</si>
  <si>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</si>
  <si>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</si>
  <si>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</si>
  <si>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</si>
  <si>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</si>
  <si>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</si>
  <si>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</si>
  <si>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</si>
  <si>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</si>
  <si>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</si>
  <si>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</si>
  <si>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</si>
  <si>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</si>
  <si>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</si>
  <si>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</si>
  <si>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</si>
  <si>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</si>
  <si>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</si>
  <si>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</si>
  <si>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</si>
  <si>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</si>
  <si>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</si>
  <si>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</si>
  <si>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</si>
  <si>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</si>
  <si>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</si>
  <si>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</si>
  <si>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</si>
  <si>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</si>
  <si>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</si>
  <si>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</si>
  <si>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</si>
  <si>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</si>
  <si>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</si>
  <si>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</si>
  <si>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</si>
  <si>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</si>
  <si>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</si>
  <si>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</si>
  <si>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</si>
  <si>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</si>
  <si>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</si>
  <si>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</si>
  <si>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</si>
  <si>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</si>
  <si>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</si>
  <si>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</si>
  <si>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</si>
  <si>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</si>
  <si>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</si>
  <si>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</si>
  <si>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</si>
  <si>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</si>
  <si>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</si>
  <si>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</si>
  <si>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</si>
  <si>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</si>
  <si>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</si>
  <si>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</si>
  <si>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</si>
  <si>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</si>
  <si>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</si>
  <si>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</si>
  <si>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</si>
  <si>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</si>
  <si>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</si>
  <si>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</si>
  <si>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</si>
  <si>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</si>
  <si>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</si>
  <si>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</si>
  <si>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</si>
  <si>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</si>
  <si>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</si>
  <si>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</si>
  <si>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</si>
  <si>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</si>
  <si>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</si>
  <si>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</si>
  <si>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</si>
  <si>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</si>
  <si>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</si>
  <si>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</si>
  <si>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</si>
  <si>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</si>
  <si>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</si>
  <si>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</si>
  <si>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</si>
  <si>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</si>
  <si>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</si>
  <si>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</si>
  <si>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</si>
  <si>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</si>
  <si>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</si>
  <si>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</si>
  <si>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</si>
  <si>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</si>
  <si>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</si>
  <si>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</si>
  <si>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</si>
  <si>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</si>
  <si>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</si>
  <si>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</si>
  <si>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</si>
  <si>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</si>
  <si>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</si>
  <si>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</si>
  <si>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</si>
  <si>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</si>
  <si>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</si>
  <si>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</si>
  <si>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</si>
  <si>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</si>
  <si>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</si>
  <si>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</si>
  <si>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</si>
  <si>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</si>
  <si>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</si>
  <si>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</si>
  <si>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</si>
  <si>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</si>
  <si>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</si>
  <si>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</si>
  <si>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</si>
  <si>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</si>
  <si>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</si>
  <si>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</si>
  <si>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</si>
  <si>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</si>
  <si>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</si>
  <si>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</si>
  <si>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</si>
  <si>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</si>
  <si>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</si>
  <si>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</si>
  <si>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</si>
  <si>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</si>
  <si>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</si>
  <si>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</si>
  <si>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</si>
  <si>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</si>
  <si>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</si>
  <si>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</si>
  <si>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</si>
  <si>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</si>
  <si>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</si>
  <si>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</si>
  <si>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</si>
  <si>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</si>
  <si>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</si>
  <si>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</si>
  <si>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</si>
  <si>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</si>
  <si>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</si>
  <si>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</si>
  <si>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</si>
  <si>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</si>
  <si>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</si>
  <si>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</si>
  <si>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</si>
  <si>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</si>
  <si>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</si>
  <si>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</si>
  <si>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</si>
  <si>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</si>
  <si>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</si>
  <si>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</si>
  <si>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</si>
  <si>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</si>
  <si>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</si>
  <si>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</si>
  <si>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</si>
  <si>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</si>
  <si>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</si>
  <si>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</si>
  <si>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</si>
  <si>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</si>
  <si>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</si>
  <si>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</si>
  <si>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</si>
  <si>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</si>
  <si>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</si>
  <si>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</si>
  <si>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</si>
  <si>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</si>
  <si>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</si>
  <si>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</si>
  <si>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</si>
  <si>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</si>
  <si>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</si>
  <si>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</si>
  <si>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</si>
  <si>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</si>
  <si>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</si>
  <si>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</si>
  <si>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</si>
  <si>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</si>
  <si>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</si>
  <si>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</si>
  <si>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</si>
  <si>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</si>
  <si>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</si>
  <si>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</si>
  <si>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</si>
  <si>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</si>
  <si>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</si>
  <si>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</si>
  <si>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</si>
  <si>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</si>
  <si>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</si>
  <si>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</si>
  <si>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</si>
  <si>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</si>
  <si>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</si>
  <si>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</si>
  <si>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</si>
  <si>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</si>
  <si>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</si>
  <si>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</si>
  <si>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</si>
  <si>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</si>
  <si>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</si>
  <si>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</si>
  <si>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</si>
  <si>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</si>
  <si>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</si>
  <si>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</si>
  <si>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</si>
  <si>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</si>
  <si>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</si>
  <si>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</si>
  <si>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</si>
  <si>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</si>
  <si>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</si>
  <si>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</si>
  <si>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</si>
  <si>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</si>
  <si>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</si>
  <si>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</si>
  <si>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</si>
  <si>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</si>
  <si>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</si>
  <si>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</si>
  <si>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</si>
  <si>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</si>
  <si>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</si>
  <si>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</si>
  <si>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</si>
  <si>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</si>
  <si>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</si>
  <si>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</si>
  <si>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</si>
  <si>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</si>
  <si>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</si>
  <si>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</si>
  <si>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</si>
  <si>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</si>
  <si>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</si>
  <si>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</si>
  <si>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</si>
  <si>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</si>
  <si>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</si>
  <si>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</si>
  <si>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</si>
  <si>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</si>
  <si>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</si>
  <si>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</si>
  <si>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</si>
  <si>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</si>
  <si>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</si>
  <si>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</si>
  <si>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</si>
  <si>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</si>
  <si>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</si>
  <si>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</si>
  <si>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</si>
  <si>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</si>
  <si>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</si>
  <si>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</si>
  <si>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</si>
  <si>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</si>
  <si>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</si>
  <si>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</si>
  <si>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</si>
  <si>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</si>
  <si>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</si>
  <si>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</si>
  <si>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</si>
  <si>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</si>
  <si>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</si>
  <si>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</si>
  <si>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</si>
  <si>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</si>
  <si>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</si>
  <si>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</si>
  <si>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</si>
  <si>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</si>
  <si>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</si>
  <si>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</si>
  <si>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</si>
  <si>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</si>
  <si>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</si>
  <si>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</si>
  <si>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</si>
  <si>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</si>
  <si>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</si>
  <si>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</si>
  <si>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</si>
  <si>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</si>
  <si>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</si>
  <si>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</si>
  <si>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</si>
  <si>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</si>
  <si>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</si>
  <si>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</si>
  <si>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</si>
  <si>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</si>
  <si>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</si>
  <si>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</si>
  <si>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</si>
  <si>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</si>
  <si>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</si>
  <si>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</si>
  <si>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</si>
  <si>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</si>
  <si>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</si>
  <si>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</si>
  <si>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</si>
  <si>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</si>
  <si>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</si>
  <si>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</si>
  <si>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</si>
  <si>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</si>
  <si>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</si>
  <si>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</si>
  <si>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</si>
  <si>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</si>
  <si>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</si>
  <si>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</si>
  <si>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</si>
  <si>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</si>
  <si>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</si>
  <si>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</si>
  <si>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</si>
  <si>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</si>
  <si>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</si>
  <si>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</si>
  <si>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</si>
  <si>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</si>
  <si>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</si>
  <si>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</si>
  <si>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</si>
  <si>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</si>
  <si>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</si>
  <si>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</si>
  <si>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</si>
  <si>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</si>
  <si>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</si>
  <si>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</si>
  <si>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</si>
  <si>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</si>
  <si>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</si>
  <si>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</si>
  <si>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</si>
  <si>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</si>
  <si>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</si>
  <si>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</si>
  <si>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</si>
  <si>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</si>
  <si>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</si>
  <si>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</si>
  <si>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</si>
  <si>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</si>
  <si>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</si>
  <si>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</si>
  <si>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</si>
  <si>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</si>
  <si>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</si>
  <si>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</si>
  <si>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</si>
  <si>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</si>
  <si>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</si>
  <si>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</si>
  <si>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</si>
  <si>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</si>
  <si>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</si>
  <si>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</si>
  <si>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</si>
  <si>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</si>
  <si>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</si>
  <si>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</si>
  <si>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</si>
  <si>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</si>
  <si>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</si>
  <si>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</si>
  <si>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</si>
  <si>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</si>
  <si>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</si>
  <si>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</si>
  <si>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</si>
  <si>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</si>
  <si>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</si>
  <si>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</si>
  <si>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</si>
  <si>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</si>
  <si>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</si>
  <si>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</si>
  <si>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</si>
  <si>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</si>
  <si>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</si>
  <si>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</si>
  <si>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</si>
  <si>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</si>
  <si>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</si>
  <si>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</si>
  <si>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</si>
  <si>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</si>
  <si>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</si>
  <si>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</si>
  <si>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</si>
  <si>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</si>
  <si>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</si>
  <si>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</si>
  <si>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</si>
  <si>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</si>
  <si>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</si>
  <si>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</si>
  <si>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</si>
  <si>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</si>
  <si>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</si>
  <si>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</si>
  <si>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</si>
  <si>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</si>
  <si>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</si>
  <si>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</si>
  <si>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</si>
  <si>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</si>
  <si>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</si>
  <si>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</si>
  <si>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</si>
  <si>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</si>
  <si>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</si>
  <si>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</si>
  <si>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</si>
  <si>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</si>
  <si>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</si>
  <si>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</si>
  <si>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</si>
  <si>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</si>
  <si>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</si>
  <si>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</si>
  <si>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</si>
  <si>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</si>
  <si>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</si>
  <si>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</si>
  <si>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</si>
  <si>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</si>
  <si>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</si>
  <si>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</si>
  <si>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</si>
  <si>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</si>
  <si>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</si>
  <si>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</si>
  <si>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</si>
  <si>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</si>
  <si>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</si>
  <si>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</si>
  <si>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</si>
  <si>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</si>
  <si>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</si>
  <si>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</si>
  <si>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</si>
  <si>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</si>
  <si>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</si>
  <si>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</si>
  <si>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</si>
  <si>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</si>
  <si>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</si>
  <si>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</si>
  <si>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</si>
  <si>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</si>
  <si>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</si>
  <si>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</si>
  <si>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</si>
  <si>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</si>
  <si>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</si>
  <si>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</si>
  <si>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</si>
  <si>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</si>
  <si>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</si>
  <si>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</si>
  <si>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</si>
  <si>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</si>
  <si>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</si>
  <si>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</si>
  <si>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</si>
  <si>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</si>
  <si>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</si>
  <si>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</si>
  <si>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</si>
  <si>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</si>
  <si>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</si>
  <si>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</si>
  <si>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</si>
  <si>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</si>
  <si>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</si>
  <si>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</si>
  <si>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</si>
  <si>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</si>
  <si>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</si>
  <si>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</si>
  <si>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</si>
  <si>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</si>
  <si>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</si>
  <si>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</si>
  <si>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</si>
  <si>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</si>
  <si>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</si>
  <si>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</si>
  <si>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</si>
  <si>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</si>
  <si>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</si>
  <si>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</si>
  <si>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</si>
  <si>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</si>
  <si>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</si>
  <si>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</si>
  <si>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</si>
  <si>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</si>
  <si>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</si>
  <si>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</si>
  <si>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</si>
  <si>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</si>
  <si>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</si>
  <si>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</si>
  <si>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</si>
  <si>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</si>
  <si>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</si>
  <si>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</si>
  <si>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</si>
  <si>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</si>
  <si>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</si>
  <si>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</si>
  <si>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</si>
  <si>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</si>
  <si>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</si>
  <si>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</si>
  <si>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</si>
  <si>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</si>
  <si>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</si>
  <si>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</si>
  <si>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</si>
  <si>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</si>
  <si>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</si>
  <si>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</si>
  <si>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</si>
  <si>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</si>
  <si>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</si>
  <si>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</si>
  <si>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</si>
  <si>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</si>
  <si>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</si>
  <si>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</si>
  <si>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</si>
  <si>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</si>
  <si>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</si>
  <si>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</si>
  <si>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</si>
  <si>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</si>
  <si>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</si>
  <si>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</si>
  <si>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</si>
  <si>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</si>
  <si>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</si>
  <si>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</si>
  <si>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</si>
  <si>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</si>
  <si>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</si>
  <si>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</si>
  <si>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</si>
  <si>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</si>
  <si>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</si>
  <si>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</si>
  <si>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</si>
  <si>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</si>
  <si>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</si>
  <si>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</si>
  <si>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</si>
  <si>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</si>
  <si>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</si>
  <si>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</si>
  <si>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</si>
  <si>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</si>
  <si>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</si>
  <si>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</si>
  <si>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</si>
  <si>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</si>
  <si>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</si>
  <si>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</si>
  <si>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</si>
  <si>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</si>
  <si>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</si>
  <si>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</si>
  <si>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</si>
  <si>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</si>
  <si>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</si>
  <si>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</si>
  <si>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</si>
  <si>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</si>
  <si>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</si>
  <si>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</si>
  <si>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</si>
  <si>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</si>
  <si>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</si>
  <si>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</si>
  <si>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</si>
  <si>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</si>
  <si>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</si>
  <si>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</si>
  <si>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</si>
  <si>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</si>
  <si>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</si>
  <si>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</si>
  <si>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</si>
  <si>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</si>
  <si>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</si>
  <si>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</si>
  <si>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</si>
  <si>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</si>
  <si>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</si>
  <si>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</si>
  <si>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</si>
  <si>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</si>
  <si>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</si>
  <si>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</si>
  <si>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</si>
  <si>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</si>
  <si>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</si>
  <si>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</si>
  <si>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</si>
  <si>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</si>
  <si>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</si>
  <si>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</si>
  <si>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</si>
  <si>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</si>
  <si>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</si>
  <si>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</si>
  <si>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</si>
  <si>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</si>
  <si>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</si>
  <si>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</si>
  <si>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</si>
  <si>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</si>
  <si>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</si>
  <si>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</si>
  <si>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</si>
  <si>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</si>
  <si>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</si>
  <si>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</si>
  <si>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</si>
  <si>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</si>
  <si>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</si>
  <si>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</si>
  <si>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</si>
  <si>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</si>
  <si>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</si>
  <si>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</si>
  <si>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</si>
  <si>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</si>
  <si>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</si>
  <si>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</si>
  <si>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</si>
  <si>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</si>
  <si>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</si>
  <si>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</si>
  <si>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</si>
  <si>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</si>
  <si>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</si>
  <si>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</si>
  <si>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</si>
  <si>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</si>
  <si>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</si>
  <si>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</si>
  <si>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</si>
  <si>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</si>
  <si>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</si>
  <si>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</si>
  <si>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</si>
  <si>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</si>
  <si>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</si>
  <si>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</si>
  <si>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</si>
  <si>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</si>
  <si>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</si>
  <si>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</si>
  <si>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</si>
  <si>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</si>
  <si>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</si>
  <si>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</si>
  <si>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</si>
  <si>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</si>
  <si>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</si>
  <si>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</si>
  <si>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</si>
  <si>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</si>
  <si>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</si>
  <si>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</si>
  <si>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</si>
  <si>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</si>
  <si>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</si>
  <si>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</si>
  <si>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</si>
  <si>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</si>
  <si>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</si>
  <si>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</si>
  <si>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</si>
  <si>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</si>
  <si>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</si>
  <si>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</si>
  <si>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</si>
  <si>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</si>
  <si>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</si>
  <si>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</si>
  <si>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</si>
  <si>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</si>
  <si>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</si>
  <si>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</si>
  <si>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</si>
  <si>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</si>
  <si>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</si>
  <si>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</si>
  <si>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</si>
  <si>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</si>
  <si>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</si>
  <si>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</si>
  <si>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</si>
  <si>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</si>
  <si>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</si>
  <si>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</si>
  <si>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</si>
  <si>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</si>
  <si>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</si>
  <si>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</si>
  <si>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</si>
  <si>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</si>
  <si>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</si>
  <si>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</si>
  <si>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</si>
  <si>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</si>
  <si>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</si>
  <si>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</si>
  <si>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</si>
  <si>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</si>
  <si>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</si>
  <si>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</si>
  <si>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</si>
  <si>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</si>
  <si>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</si>
  <si>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</si>
  <si>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</si>
  <si>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</si>
  <si>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</si>
  <si>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</si>
  <si>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</si>
  <si>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</si>
  <si>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</si>
  <si>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</si>
  <si>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</si>
  <si>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</si>
  <si>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</si>
  <si>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</si>
  <si>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</si>
  <si>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</si>
  <si>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</si>
  <si>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</si>
  <si>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</si>
  <si>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</si>
  <si>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</si>
  <si>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</si>
  <si>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</si>
  <si>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</si>
  <si>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</si>
  <si>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</si>
  <si>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</si>
  <si>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</si>
  <si>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</si>
  <si>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</si>
  <si>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</si>
  <si>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</si>
  <si>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</si>
  <si>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</si>
  <si>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</si>
  <si>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</si>
  <si>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</si>
  <si>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</si>
  <si>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</si>
  <si>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</si>
  <si>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</si>
  <si>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</si>
  <si>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</si>
  <si>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</si>
  <si>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</si>
  <si>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</si>
  <si>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</si>
  <si>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</si>
  <si>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</si>
  <si>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</si>
  <si>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</si>
  <si>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</si>
  <si>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</si>
  <si>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</si>
  <si>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</si>
  <si>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</si>
  <si>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</si>
  <si>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</si>
  <si>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</si>
  <si>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</si>
  <si>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</si>
  <si>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</si>
  <si>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</si>
  <si>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</si>
  <si>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</si>
  <si>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</si>
  <si>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</si>
  <si>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</si>
  <si>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</si>
  <si>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</si>
  <si>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</si>
  <si>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</si>
  <si>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</si>
  <si>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</si>
  <si>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</si>
  <si>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</si>
  <si>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</si>
  <si>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</si>
  <si>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</si>
  <si>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</si>
  <si>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</si>
  <si>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</si>
  <si>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</si>
  <si>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</si>
  <si>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</si>
  <si>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</si>
  <si>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</si>
  <si>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</si>
  <si>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</si>
  <si>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</si>
  <si>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</si>
  <si>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</si>
  <si>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</si>
  <si>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</si>
  <si>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</si>
  <si>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</si>
  <si>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</si>
  <si>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</si>
  <si>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</si>
  <si>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</si>
  <si>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</si>
  <si>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</si>
  <si>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</si>
  <si>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</si>
  <si>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</si>
  <si>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</si>
  <si>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</si>
  <si>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</si>
  <si>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</si>
  <si>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</si>
  <si>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</si>
  <si>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</si>
  <si>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</si>
  <si>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</si>
  <si>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</si>
  <si>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</si>
  <si>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</si>
  <si>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</si>
  <si>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</si>
  <si>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</si>
  <si>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</si>
  <si>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</si>
  <si>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</si>
  <si>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</si>
  <si>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</si>
  <si>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</si>
  <si>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</si>
  <si>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</si>
  <si>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</si>
  <si>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</si>
  <si>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</si>
  <si>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</si>
  <si>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</si>
  <si>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</si>
  <si>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</si>
  <si>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</si>
  <si>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</si>
  <si>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</si>
  <si>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</si>
  <si>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</si>
  <si>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</si>
  <si>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</si>
  <si>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</si>
  <si>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</si>
  <si>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</si>
  <si>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</si>
  <si>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</si>
  <si>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</si>
  <si>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</si>
  <si>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</si>
  <si>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</si>
  <si>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</si>
  <si>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</si>
  <si>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</si>
  <si>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</si>
  <si>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</si>
  <si>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</si>
  <si>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</si>
  <si>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</si>
  <si>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</si>
  <si>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</si>
  <si>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</si>
  <si>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</si>
  <si>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</si>
  <si>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</si>
  <si>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</si>
  <si>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</si>
  <si>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</si>
  <si>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</si>
  <si>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</si>
  <si>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</si>
  <si>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</si>
  <si>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</si>
  <si>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</si>
  <si>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</si>
  <si>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</si>
  <si>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</si>
  <si>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</si>
  <si>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</si>
  <si>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</si>
  <si>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</si>
  <si>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</si>
  <si>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</si>
  <si>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</si>
  <si>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</si>
  <si>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</si>
  <si>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</si>
  <si>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</si>
  <si>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</si>
  <si>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</si>
  <si>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</si>
  <si>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</si>
  <si>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</si>
  <si>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</si>
  <si>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</si>
  <si>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</si>
  <si>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</si>
  <si>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</si>
  <si>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</si>
  <si>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</si>
  <si>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</si>
  <si>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</si>
  <si>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</si>
  <si>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</si>
  <si>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</si>
  <si>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</si>
  <si>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</si>
  <si>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</si>
  <si>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</si>
  <si>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</si>
  <si>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</si>
  <si>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</si>
  <si>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</si>
  <si>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</si>
  <si>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</si>
  <si>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</si>
  <si>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</si>
  <si>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</si>
  <si>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</si>
  <si>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</si>
  <si>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</si>
  <si>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</si>
  <si>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</si>
  <si>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</si>
  <si>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</si>
  <si>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</si>
  <si>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</si>
  <si>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</si>
  <si>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</si>
  <si>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</si>
  <si>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</si>
  <si>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</si>
  <si>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</si>
  <si>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</si>
  <si>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</si>
  <si>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</si>
  <si>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</si>
  <si>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</si>
  <si>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</si>
  <si>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</si>
  <si>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</si>
  <si>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</si>
  <si>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</si>
  <si>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</si>
  <si>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</si>
  <si>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</si>
  <si>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</si>
  <si>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</si>
  <si>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</si>
  <si>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</si>
  <si>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</si>
  <si>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</si>
  <si>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</si>
  <si>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</si>
  <si>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</si>
  <si>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</si>
  <si>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</si>
  <si>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</si>
  <si>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</si>
  <si>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</si>
  <si>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</si>
  <si>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</si>
  <si>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</si>
  <si>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</si>
  <si>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</si>
  <si>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</si>
  <si>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</si>
  <si>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</si>
  <si>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</si>
  <si>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</si>
  <si>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</si>
  <si>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</si>
  <si>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</si>
  <si>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</si>
  <si>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</si>
  <si>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</si>
  <si>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</si>
  <si>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</si>
  <si>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</si>
  <si>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</si>
  <si>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</si>
  <si>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</si>
  <si>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</si>
  <si>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</si>
  <si>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</si>
  <si>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</si>
  <si>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</si>
  <si>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</si>
  <si>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</si>
  <si>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</si>
  <si>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</si>
  <si>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</si>
  <si>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</si>
  <si>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</si>
  <si>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</si>
  <si>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</si>
  <si>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</si>
  <si>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</si>
  <si>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</si>
  <si>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</si>
  <si>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</si>
  <si>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</si>
  <si>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</si>
  <si>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</si>
  <si>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</si>
  <si>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</si>
  <si>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</si>
  <si>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</si>
  <si>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</si>
  <si>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</si>
  <si>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</si>
  <si>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</si>
  <si>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</si>
  <si>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</si>
  <si>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</si>
  <si>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</si>
  <si>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</si>
  <si>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</si>
  <si>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</si>
  <si>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</si>
  <si>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</si>
  <si>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</si>
  <si>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</si>
  <si>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</si>
  <si>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</si>
  <si>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</si>
  <si>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</si>
  <si>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</si>
  <si>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</si>
  <si>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</si>
  <si>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</si>
  <si>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</si>
  <si>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</si>
  <si>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</si>
  <si>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</si>
  <si>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</si>
  <si>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</si>
  <si>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</si>
  <si>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</si>
  <si>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</si>
  <si>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</si>
  <si>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</si>
  <si>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</si>
  <si>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</si>
  <si>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</si>
  <si>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</si>
  <si>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</si>
  <si>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</si>
  <si>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</si>
  <si>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</si>
  <si>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</si>
  <si>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</si>
  <si>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</si>
  <si>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</si>
  <si>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</si>
  <si>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</si>
  <si>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</si>
  <si>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</si>
  <si>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</si>
  <si>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</si>
  <si>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</si>
  <si>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</si>
  <si>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</si>
  <si>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</si>
  <si>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</si>
  <si>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</si>
  <si>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</si>
  <si>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</si>
  <si>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</si>
  <si>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</si>
  <si>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</si>
  <si>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</si>
  <si>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</si>
  <si>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</si>
  <si>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</si>
  <si>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</si>
  <si>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</si>
  <si>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</si>
  <si>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</si>
  <si>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</si>
  <si>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</si>
  <si>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</si>
  <si>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</si>
  <si>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</si>
  <si>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</si>
  <si>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</si>
  <si>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</si>
  <si>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</si>
  <si>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</si>
  <si>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</si>
  <si>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</si>
  <si>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</si>
  <si>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</si>
  <si>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</si>
  <si>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</si>
  <si>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</si>
  <si>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</si>
  <si>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</si>
  <si>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</si>
  <si>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</si>
  <si>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</si>
  <si>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</si>
  <si>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</si>
  <si>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</si>
  <si>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</si>
  <si>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</si>
  <si>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</si>
  <si>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</si>
  <si>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</si>
  <si>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</si>
  <si>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</si>
  <si>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</si>
  <si>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</si>
  <si>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</si>
  <si>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</si>
  <si>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</si>
  <si>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</si>
  <si>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</si>
  <si>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</si>
  <si>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</si>
  <si>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</si>
  <si>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</si>
  <si>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</si>
  <si>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</si>
  <si>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</si>
  <si>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</si>
  <si>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</si>
  <si>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</si>
  <si>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</si>
  <si>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</si>
  <si>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</si>
  <si>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</si>
  <si>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</si>
  <si>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</si>
  <si>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</si>
  <si>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</si>
  <si>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</si>
  <si>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</si>
  <si>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</si>
  <si>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</si>
  <si>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</si>
  <si>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</si>
  <si>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</si>
  <si>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</si>
  <si>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</si>
  <si>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</si>
  <si>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</si>
  <si>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</si>
  <si>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</si>
  <si>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</si>
  <si>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</si>
  <si>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</si>
  <si>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</si>
  <si>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</si>
  <si>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</si>
  <si>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</si>
  <si>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</si>
  <si>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</si>
  <si>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</si>
  <si>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</si>
  <si>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</si>
  <si>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</si>
  <si>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</si>
  <si>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</si>
  <si>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</si>
  <si>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</si>
  <si>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</si>
  <si>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</si>
  <si>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</si>
  <si>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</si>
  <si>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</si>
  <si>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</si>
  <si>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</si>
  <si>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</si>
  <si>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</si>
  <si>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</si>
  <si>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</si>
  <si>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</si>
  <si>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</si>
  <si>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</si>
  <si>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</si>
  <si>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</si>
  <si>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</si>
  <si>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</si>
  <si>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</si>
  <si>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</si>
  <si>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</si>
  <si>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</si>
  <si>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</si>
  <si>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</si>
  <si>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</si>
  <si>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</si>
  <si>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</si>
  <si>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</si>
  <si>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</si>
  <si>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</si>
  <si>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</si>
  <si>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</si>
  <si>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</si>
  <si>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</si>
  <si>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</si>
  <si>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</si>
  <si>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</si>
  <si>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</si>
  <si>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</si>
  <si>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</si>
  <si>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</si>
  <si>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</si>
  <si>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</si>
  <si>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</si>
  <si>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</si>
  <si>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</si>
  <si>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</si>
  <si>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</si>
  <si>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</si>
  <si>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</si>
  <si>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</si>
  <si>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</si>
  <si>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</si>
  <si>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</si>
  <si>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</si>
  <si>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</si>
  <si>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</si>
  <si>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</si>
  <si>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</si>
  <si>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</si>
  <si>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</si>
  <si>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</si>
  <si>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</si>
  <si>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</si>
  <si>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</si>
  <si>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</si>
  <si>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</si>
  <si>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</si>
  <si>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</si>
  <si>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</si>
  <si>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</si>
  <si>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</si>
  <si>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</si>
  <si>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</si>
  <si>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</si>
  <si>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</si>
  <si>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</si>
  <si>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</si>
  <si>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</si>
  <si>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</si>
  <si>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</si>
  <si>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</si>
  <si>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</si>
  <si>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</si>
  <si>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</si>
  <si>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</si>
  <si>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</si>
  <si>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</si>
  <si>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</si>
  <si>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</si>
  <si>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</si>
  <si>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</si>
  <si>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</si>
  <si>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</si>
  <si>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</si>
  <si>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</si>
  <si>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</si>
  <si>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</si>
  <si>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</si>
  <si>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</si>
  <si>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</si>
  <si>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</si>
  <si>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</si>
  <si>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</si>
  <si>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</si>
  <si>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</si>
  <si>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</si>
  <si>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</si>
  <si>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</si>
  <si>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</si>
  <si>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</si>
  <si>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</si>
  <si>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</si>
  <si>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</si>
  <si>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</si>
  <si>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</si>
  <si>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</si>
  <si>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</si>
  <si>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</si>
  <si>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</si>
  <si>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</si>
  <si>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</si>
  <si>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</si>
  <si>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</si>
  <si>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</si>
  <si>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</si>
  <si>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</si>
  <si>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</si>
  <si>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</si>
  <si>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</si>
  <si>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</si>
  <si>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</si>
  <si>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</si>
  <si>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</si>
  <si>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</si>
  <si>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</si>
  <si>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</si>
  <si>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</si>
  <si>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</si>
  <si>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</si>
  <si>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</si>
  <si>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</si>
  <si>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</si>
  <si>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</si>
  <si>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</si>
  <si>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</si>
  <si>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</si>
  <si>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</si>
  <si>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</si>
  <si>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</si>
  <si>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</si>
  <si>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</si>
  <si>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</si>
  <si>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</si>
  <si>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</si>
  <si>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</si>
  <si>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</si>
  <si>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</si>
  <si>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</si>
  <si>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</si>
  <si>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</si>
  <si>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</si>
  <si>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</si>
  <si>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</si>
  <si>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</si>
  <si>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</si>
  <si>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</si>
  <si>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</si>
  <si>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</si>
  <si>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</si>
  <si>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</si>
  <si>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</si>
  <si>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</si>
  <si>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</si>
  <si>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</si>
  <si>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</si>
  <si>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</si>
  <si>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</si>
  <si>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</si>
  <si>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</si>
  <si>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</si>
  <si>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</si>
  <si>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</si>
  <si>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</si>
  <si>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</si>
  <si>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</si>
  <si>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</si>
  <si>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</si>
  <si>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</si>
  <si>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</si>
  <si>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</si>
  <si>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</si>
  <si>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</si>
  <si>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</si>
  <si>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</si>
  <si>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</si>
  <si>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</si>
  <si>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</si>
  <si>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</si>
  <si>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</si>
  <si>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</si>
  <si>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</si>
  <si>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</si>
  <si>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</si>
  <si>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</si>
  <si>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</si>
  <si>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</si>
  <si>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</si>
  <si>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</si>
  <si>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</si>
  <si>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</si>
  <si>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</si>
  <si>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</si>
  <si>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</si>
  <si>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</si>
  <si>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</si>
  <si>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</si>
  <si>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</si>
  <si>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</si>
  <si>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</si>
  <si>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</si>
  <si>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</si>
  <si>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</si>
  <si>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</si>
  <si>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</si>
  <si>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</si>
  <si>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</si>
  <si>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</si>
  <si>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</si>
  <si>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</si>
  <si>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</si>
  <si>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</si>
  <si>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</si>
  <si>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</si>
  <si>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</si>
  <si>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</si>
  <si>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</si>
  <si>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</si>
  <si>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</si>
  <si>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</si>
  <si>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</si>
  <si>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</si>
  <si>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</si>
  <si>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</si>
  <si>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</si>
  <si>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</si>
  <si>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</si>
  <si>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</si>
  <si>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</si>
  <si>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</si>
  <si>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</si>
  <si>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</si>
  <si>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</si>
  <si>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</si>
  <si>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</si>
  <si>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</si>
  <si>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</si>
  <si>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</si>
  <si>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</si>
  <si>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</si>
  <si>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</si>
  <si>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</si>
  <si>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</si>
  <si>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</si>
  <si>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</si>
  <si>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</si>
  <si>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</si>
  <si>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</si>
  <si>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</si>
  <si>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</si>
  <si>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</si>
  <si>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</si>
  <si>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</si>
  <si>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</si>
  <si>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</si>
  <si>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</si>
  <si>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</si>
  <si>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</si>
  <si>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</si>
  <si>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</si>
  <si>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</si>
  <si>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</si>
  <si>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</si>
  <si>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</si>
  <si>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</si>
  <si>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</si>
  <si>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</si>
  <si>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</si>
  <si>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</si>
  <si>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</si>
  <si>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</si>
  <si>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</si>
  <si>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</si>
  <si>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</si>
  <si>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</si>
  <si>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</si>
  <si>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</si>
  <si>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</si>
  <si>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</si>
  <si>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</si>
  <si>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</si>
  <si>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</si>
  <si>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</si>
  <si>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</si>
  <si>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</si>
  <si>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</si>
  <si>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</si>
  <si>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</si>
  <si>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</si>
  <si>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</si>
  <si>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</si>
  <si>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</si>
  <si>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</si>
  <si>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</si>
  <si>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</si>
  <si>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</si>
  <si>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</si>
  <si>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</si>
  <si>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</si>
  <si>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</si>
  <si>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</si>
  <si>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</si>
  <si>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</si>
  <si>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</si>
  <si>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</si>
  <si>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</si>
  <si>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</si>
  <si>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</si>
  <si>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</si>
  <si>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</si>
  <si>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</si>
  <si>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</si>
  <si>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</si>
  <si>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</si>
  <si>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</si>
  <si>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</si>
  <si>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</si>
  <si>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</si>
  <si>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</si>
  <si>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</si>
  <si>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</si>
  <si>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</si>
  <si>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</si>
  <si>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</si>
  <si>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</si>
  <si>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</si>
  <si>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</si>
  <si>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</si>
  <si>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</si>
  <si>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</si>
  <si>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</si>
  <si>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</si>
  <si>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</si>
  <si>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</si>
  <si>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</si>
  <si>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</si>
  <si>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</si>
  <si>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</si>
  <si>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</si>
  <si>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</si>
  <si>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</si>
  <si>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</si>
  <si>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</si>
  <si>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</si>
  <si>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</si>
  <si>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</si>
  <si>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</si>
  <si>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</si>
  <si>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</si>
  <si>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</si>
  <si>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</si>
  <si>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</si>
  <si>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</si>
  <si>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</si>
  <si>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</si>
  <si>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</si>
  <si>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</si>
  <si>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</si>
  <si>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</si>
  <si>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</si>
  <si>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</si>
  <si>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</si>
  <si>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</si>
  <si>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</si>
  <si>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</si>
  <si>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</si>
  <si>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</si>
  <si>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</si>
  <si>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</si>
  <si>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</si>
  <si>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</si>
  <si>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</si>
  <si>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</si>
  <si>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</si>
  <si>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</si>
  <si>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</si>
  <si>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</si>
  <si>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</si>
  <si>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</si>
  <si>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</si>
  <si>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</si>
  <si>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</si>
  <si>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</si>
  <si>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</si>
  <si>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</si>
  <si>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</si>
  <si>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</si>
  <si>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</si>
  <si>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</si>
  <si>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</si>
  <si>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</si>
  <si>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</si>
  <si>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</si>
  <si>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</si>
  <si>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</si>
  <si>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</si>
  <si>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</si>
  <si>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</si>
  <si>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</si>
  <si>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</si>
  <si>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</si>
  <si>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</si>
  <si>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</si>
  <si>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</si>
  <si>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</si>
  <si>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</si>
  <si>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</si>
  <si>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</si>
  <si>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</si>
  <si>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</si>
  <si>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</si>
  <si>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</si>
  <si>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</si>
  <si>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</si>
  <si>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</si>
  <si>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</si>
  <si>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</si>
  <si>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</si>
  <si>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</si>
  <si>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</si>
  <si>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</si>
  <si>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</si>
  <si>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</si>
  <si>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</si>
  <si>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</si>
  <si>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</si>
  <si>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</si>
  <si>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</si>
  <si>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</si>
  <si>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</si>
  <si>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</si>
  <si>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</si>
  <si>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</si>
  <si>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</si>
  <si>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</si>
  <si>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</si>
  <si>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</si>
  <si>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</si>
  <si>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</si>
  <si>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</si>
  <si>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</si>
  <si>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</si>
  <si>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</si>
  <si>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</si>
  <si>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</si>
  <si>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</si>
  <si>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</si>
  <si>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</si>
  <si>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</si>
  <si>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</si>
  <si>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</si>
  <si>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</si>
  <si>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</si>
  <si>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</si>
  <si>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</si>
  <si>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</si>
  <si>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</si>
  <si>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</si>
  <si>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</si>
  <si>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</si>
  <si>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</si>
  <si>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</si>
  <si>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</si>
  <si>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</si>
  <si>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</si>
  <si>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</si>
  <si>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</si>
  <si>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</si>
  <si>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</si>
  <si>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</si>
  <si>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</si>
  <si>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</si>
  <si>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</si>
  <si>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</si>
  <si>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</si>
  <si>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</si>
  <si>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</si>
  <si>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</si>
  <si>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</si>
  <si>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</si>
  <si>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</si>
  <si>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</si>
  <si>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</si>
  <si>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</si>
  <si>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</si>
  <si>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</si>
  <si>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</si>
  <si>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</si>
  <si>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</si>
  <si>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</si>
  <si>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</si>
  <si>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</si>
  <si>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</si>
  <si>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</si>
  <si>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</si>
  <si>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</si>
  <si>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</si>
  <si>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</si>
  <si>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</si>
  <si>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</si>
  <si>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</si>
  <si>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</si>
  <si>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</si>
  <si>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</si>
  <si>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</si>
  <si>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</si>
  <si>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</si>
  <si>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</si>
  <si>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</si>
  <si>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</si>
  <si>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</si>
  <si>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</si>
  <si>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</si>
  <si>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</si>
  <si>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</si>
  <si>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</si>
  <si>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</si>
  <si>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</si>
  <si>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</si>
  <si>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</si>
  <si>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</si>
  <si>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</si>
  <si>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</si>
  <si>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</si>
  <si>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</si>
  <si>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</si>
  <si>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</si>
  <si>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</si>
  <si>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</si>
  <si>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</si>
  <si>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</si>
  <si>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</si>
  <si>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</si>
  <si>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</si>
  <si>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</si>
  <si>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</si>
  <si>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</si>
  <si>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</si>
  <si>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</si>
  <si>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</si>
  <si>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</si>
  <si>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</si>
  <si>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</si>
  <si>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</si>
  <si>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</si>
  <si>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</si>
  <si>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</si>
  <si>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</si>
  <si>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</si>
  <si>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</si>
  <si>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</si>
  <si>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</si>
  <si>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</si>
  <si>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</si>
  <si>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</si>
  <si>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</si>
  <si>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</si>
  <si>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</si>
  <si>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</si>
  <si>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</si>
  <si>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</si>
  <si>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</si>
  <si>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</si>
  <si>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</si>
  <si>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</si>
  <si>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</si>
  <si>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</si>
  <si>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</si>
  <si>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</si>
  <si>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</si>
  <si>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</si>
  <si>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</si>
  <si>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</si>
  <si>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</si>
  <si>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</si>
  <si>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</si>
  <si>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</si>
  <si>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</si>
  <si>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</si>
  <si>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</si>
  <si>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</si>
  <si>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</si>
  <si>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</si>
  <si>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</si>
  <si>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</si>
  <si>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</si>
  <si>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</si>
  <si>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</si>
  <si>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</si>
  <si>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</si>
  <si>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</si>
  <si>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</si>
  <si>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</si>
  <si>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</si>
  <si>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</si>
  <si>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</si>
  <si>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</si>
  <si>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</si>
  <si>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</si>
  <si>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</si>
  <si>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</si>
  <si>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</si>
  <si>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</si>
  <si>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</si>
  <si>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</si>
  <si>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</si>
  <si>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</si>
  <si>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</si>
  <si>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</si>
  <si>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</si>
  <si>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</si>
  <si>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</si>
  <si>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</si>
  <si>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</si>
  <si>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</si>
  <si>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</si>
  <si>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</si>
  <si>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</si>
  <si>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</si>
  <si>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</si>
  <si>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</si>
  <si>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</si>
  <si>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</si>
  <si>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</si>
  <si>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</si>
  <si>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</si>
  <si>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</si>
  <si>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</si>
  <si>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</si>
  <si>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</si>
  <si>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</si>
  <si>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</si>
  <si>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</si>
  <si>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</si>
  <si>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</si>
  <si>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</si>
  <si>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</si>
  <si>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</si>
  <si>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</si>
  <si>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</si>
  <si>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</si>
  <si>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</si>
  <si>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</si>
  <si>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</si>
  <si>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</si>
  <si>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</si>
  <si>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</si>
  <si>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</si>
  <si>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</si>
  <si>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</si>
  <si>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</si>
  <si>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</si>
  <si>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</si>
  <si>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</si>
  <si>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</si>
  <si>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</si>
  <si>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</si>
  <si>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</si>
  <si>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</si>
  <si>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</si>
  <si>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</si>
  <si>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</si>
  <si>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</si>
  <si>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</si>
  <si>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</si>
  <si>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</si>
  <si>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</si>
  <si>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</si>
  <si>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</si>
  <si>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</si>
  <si>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</si>
  <si>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</si>
  <si>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</si>
  <si>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</si>
  <si>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</si>
  <si>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</si>
  <si>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</si>
  <si>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</si>
  <si>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</si>
  <si>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</si>
  <si>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</si>
  <si>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</si>
  <si>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</si>
  <si>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</si>
  <si>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</si>
  <si>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</si>
  <si>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</si>
  <si>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</si>
  <si>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</si>
  <si>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</si>
  <si>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</si>
  <si>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</si>
  <si>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</si>
  <si>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</si>
  <si>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</si>
  <si>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</si>
  <si>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</si>
  <si>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</si>
  <si>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</si>
  <si>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</si>
  <si>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</si>
  <si>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</si>
  <si>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</si>
  <si>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</si>
  <si>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</si>
  <si>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</si>
  <si>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</si>
  <si>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</si>
  <si>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</si>
  <si>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</si>
  <si>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</si>
  <si>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</si>
  <si>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</si>
  <si>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</si>
  <si>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抵押</t>
  </si>
  <si>
    <t>房地产抵押价值</t>
  </si>
  <si>
    <t>北京市</t>
  </si>
  <si>
    <t>企业</t>
  </si>
  <si>
    <t>出让</t>
  </si>
  <si>
    <t>Ⅵ-亦1</t>
  </si>
  <si>
    <t>在建</t>
  </si>
  <si>
    <t>通路</t>
  </si>
  <si>
    <t>通电</t>
  </si>
  <si>
    <t>通讯</t>
  </si>
  <si>
    <t>通上水</t>
  </si>
  <si>
    <t>通下水</t>
  </si>
  <si>
    <t>通热</t>
  </si>
  <si>
    <t>燃气</t>
  </si>
  <si>
    <t>办公</t>
    <phoneticPr fontId="3" type="noConversion"/>
  </si>
  <si>
    <t>商业</t>
    <phoneticPr fontId="3" type="noConversion"/>
  </si>
  <si>
    <t>仓储</t>
    <phoneticPr fontId="3" type="noConversion"/>
  </si>
  <si>
    <t>是</t>
  </si>
  <si>
    <t>地上</t>
  </si>
  <si>
    <t>地下</t>
  </si>
  <si>
    <t>仓储</t>
  </si>
  <si>
    <t>收益法办公</t>
  </si>
  <si>
    <t>收益法办公</t>
    <phoneticPr fontId="16" type="noConversion"/>
  </si>
  <si>
    <t>收益法商业</t>
    <phoneticPr fontId="16" type="noConversion"/>
  </si>
  <si>
    <t>收益法仓储</t>
  </si>
  <si>
    <t>收益法仓储</t>
    <phoneticPr fontId="16" type="noConversion"/>
  </si>
  <si>
    <t>商务金融用地（办公类）</t>
  </si>
  <si>
    <t>自定义容积率</t>
  </si>
  <si>
    <t>七通一平</t>
  </si>
  <si>
    <t>一致</t>
  </si>
  <si>
    <t>按公示增长率计算</t>
  </si>
  <si>
    <t>容积率修正</t>
  </si>
  <si>
    <t>好</t>
  </si>
  <si>
    <t>较好</t>
  </si>
  <si>
    <t>一般</t>
  </si>
  <si>
    <t>商务金融用地（商业类）</t>
  </si>
  <si>
    <t>不临58条商业街</t>
  </si>
  <si>
    <t>楼层修正</t>
  </si>
  <si>
    <t>未包含在土地购买价格中</t>
  </si>
  <si>
    <t>已包含在土地取得成本中</t>
  </si>
  <si>
    <r>
      <rPr>
        <b/>
        <sz val="16"/>
        <color rgb="FFFF0000"/>
        <rFont val="宋体"/>
        <family val="3"/>
        <charset val="134"/>
      </rPr>
      <t>比较法</t>
    </r>
    <phoneticPr fontId="3" type="noConversion"/>
  </si>
  <si>
    <r>
      <rPr>
        <b/>
        <sz val="16"/>
        <rFont val="宋体"/>
        <family val="3"/>
        <charset val="134"/>
      </rPr>
      <t>办公</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</si>
  <si>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</si>
  <si>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</si>
  <si>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</si>
  <si>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</si>
  <si>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</si>
  <si>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</si>
  <si>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</si>
  <si>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</si>
  <si>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</si>
  <si>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</si>
  <si>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</si>
  <si>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</si>
  <si>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</si>
  <si>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</si>
  <si>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</si>
  <si>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</si>
  <si>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</si>
  <si>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</si>
  <si>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林肯公园</t>
    <phoneticPr fontId="3" type="noConversion"/>
  </si>
  <si>
    <t>富兴国际中心</t>
    <phoneticPr fontId="3" type="noConversion"/>
  </si>
  <si>
    <t>君安国际</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</si>
  <si>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</si>
  <si>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</si>
  <si>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</si>
  <si>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</si>
  <si>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</si>
  <si>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</si>
  <si>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</si>
  <si>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</si>
  <si>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</si>
  <si>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</si>
  <si>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</si>
  <si>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</si>
  <si>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</si>
  <si>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办公</t>
    <phoneticPr fontId="14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</si>
  <si>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</si>
  <si>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</si>
  <si>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</si>
  <si>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40-50（含）</t>
  </si>
  <si>
    <r>
      <rPr>
        <sz val="11"/>
        <color indexed="8"/>
        <rFont val="宋体"/>
        <family val="3"/>
        <charset val="134"/>
      </rPr>
      <t>容积率</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</si>
  <si>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</si>
  <si>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</si>
  <si>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</si>
  <si>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rFont val="宋体"/>
        <family val="3"/>
        <charset val="134"/>
      </rPr>
      <t>区位状况</t>
    </r>
    <phoneticPr fontId="3" type="noConversion"/>
  </si>
  <si>
    <r>
      <rPr>
        <sz val="11"/>
        <rFont val="宋体"/>
        <family val="3"/>
        <charset val="134"/>
      </rPr>
      <t>区位状况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</si>
  <si>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</si>
  <si>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</si>
  <si>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</si>
  <si>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</si>
  <si>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七通</t>
  </si>
  <si>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</si>
  <si>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</si>
  <si>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t>城市次干道——荣京西街</t>
  </si>
  <si>
    <r>
      <rPr>
        <sz val="11"/>
        <rFont val="宋体"/>
        <family val="3"/>
        <charset val="134"/>
      </rPr>
      <t>城市次干道</t>
    </r>
    <r>
      <rPr>
        <sz val="11"/>
        <rFont val="Arial"/>
        <family val="2"/>
      </rPr>
      <t>——</t>
    </r>
    <r>
      <rPr>
        <sz val="11"/>
        <rFont val="宋体"/>
        <family val="3"/>
        <charset val="134"/>
      </rPr>
      <t>北环西路</t>
    </r>
    <phoneticPr fontId="3" type="noConversion"/>
  </si>
  <si>
    <r>
      <rPr>
        <sz val="11"/>
        <rFont val="宋体"/>
        <family val="3"/>
        <charset val="134"/>
      </rPr>
      <t>城市次干道</t>
    </r>
    <r>
      <rPr>
        <sz val="11"/>
        <rFont val="Arial"/>
        <family val="2"/>
      </rPr>
      <t>——</t>
    </r>
    <r>
      <rPr>
        <sz val="11"/>
        <rFont val="宋体"/>
        <family val="3"/>
        <charset val="134"/>
      </rPr>
      <t>荣华中路</t>
    </r>
    <phoneticPr fontId="3" type="noConversion"/>
  </si>
  <si>
    <r>
      <rPr>
        <sz val="11"/>
        <rFont val="宋体"/>
        <family val="3"/>
        <charset val="134"/>
      </rPr>
      <t>城市次干道</t>
    </r>
    <r>
      <rPr>
        <sz val="11"/>
        <rFont val="Arial"/>
        <family val="2"/>
      </rPr>
      <t>——</t>
    </r>
    <r>
      <rPr>
        <sz val="11"/>
        <rFont val="宋体"/>
        <family val="3"/>
        <charset val="134"/>
      </rPr>
      <t>荣华南路</t>
    </r>
    <phoneticPr fontId="3" type="noConversion"/>
  </si>
  <si>
    <t>次干道</t>
  </si>
  <si>
    <r>
      <rPr>
        <sz val="11"/>
        <color indexed="8"/>
        <rFont val="宋体"/>
        <family val="3"/>
        <charset val="134"/>
      </rPr>
      <t>楼层</t>
    </r>
    <phoneticPr fontId="3" type="noConversion"/>
  </si>
  <si>
    <t>中区</t>
  </si>
  <si>
    <t>高区</t>
  </si>
  <si>
    <t>低区</t>
  </si>
  <si>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</si>
  <si>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</si>
  <si>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</si>
  <si>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标准写字楼</t>
  </si>
  <si>
    <r>
      <rPr>
        <sz val="11"/>
        <rFont val="宋体"/>
        <family val="3"/>
        <charset val="134"/>
      </rPr>
      <t>实物状况</t>
    </r>
    <phoneticPr fontId="3" type="noConversion"/>
  </si>
  <si>
    <r>
      <rPr>
        <sz val="11"/>
        <rFont val="宋体"/>
        <family val="3"/>
        <charset val="134"/>
      </rPr>
      <t>实物状况</t>
    </r>
    <phoneticPr fontId="3" type="noConversion"/>
  </si>
  <si>
    <r>
      <rPr>
        <sz val="11"/>
        <rFont val="宋体"/>
        <family val="3"/>
        <charset val="134"/>
      </rPr>
      <t>实物状况</t>
    </r>
    <phoneticPr fontId="3" type="noConversion"/>
  </si>
  <si>
    <t>钢混</t>
  </si>
  <si>
    <r>
      <rPr>
        <sz val="11"/>
        <color indexed="8"/>
        <rFont val="宋体"/>
        <family val="3"/>
        <charset val="134"/>
      </rPr>
      <t>公共部分装修</t>
    </r>
    <phoneticPr fontId="3" type="noConversion"/>
  </si>
  <si>
    <t>精装修</t>
  </si>
  <si>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</si>
  <si>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</si>
  <si>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</si>
  <si>
    <r>
      <rPr>
        <sz val="11"/>
        <color indexed="8"/>
        <rFont val="宋体"/>
        <family val="3"/>
        <charset val="134"/>
      </rPr>
      <t>物业管理</t>
    </r>
    <phoneticPr fontId="3" type="noConversion"/>
  </si>
  <si>
    <t>专业</t>
  </si>
  <si>
    <t>六通</t>
  </si>
  <si>
    <r>
      <rPr>
        <sz val="11"/>
        <color indexed="8"/>
        <rFont val="宋体"/>
        <family val="3"/>
        <charset val="134"/>
      </rPr>
      <t>层高</t>
    </r>
    <phoneticPr fontId="3" type="noConversion"/>
  </si>
  <si>
    <t>标准层高</t>
  </si>
  <si>
    <r>
      <rPr>
        <sz val="11"/>
        <rFont val="宋体"/>
        <family val="3"/>
        <charset val="134"/>
      </rPr>
      <t>单套建筑面积</t>
    </r>
    <phoneticPr fontId="3" type="noConversion"/>
  </si>
  <si>
    <r>
      <rPr>
        <sz val="11"/>
        <color indexed="8"/>
        <rFont val="宋体"/>
        <family val="3"/>
        <charset val="134"/>
      </rPr>
      <t>内部装修</t>
    </r>
    <phoneticPr fontId="3" type="noConversion"/>
  </si>
  <si>
    <t>简装</t>
  </si>
  <si>
    <t>普通装修</t>
  </si>
  <si>
    <t>智能环保系统</t>
    <phoneticPr fontId="143" type="noConversion"/>
  </si>
  <si>
    <t>有</t>
  </si>
  <si>
    <t>无</t>
    <phoneticPr fontId="3" type="noConversion"/>
  </si>
  <si>
    <t>无</t>
  </si>
  <si>
    <t>建筑品质</t>
    <phoneticPr fontId="143" type="noConversion"/>
  </si>
  <si>
    <t>高档</t>
    <phoneticPr fontId="143" type="noConversion"/>
  </si>
  <si>
    <t>普通</t>
    <phoneticPr fontId="14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</si>
  <si>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</si>
  <si>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</si>
  <si>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</si>
  <si>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</si>
  <si>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</si>
  <si>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</si>
  <si>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</si>
  <si>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</si>
  <si>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</si>
  <si>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</si>
  <si>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</si>
  <si>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</si>
  <si>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</si>
  <si>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</si>
  <si>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</si>
  <si>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</si>
  <si>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</si>
  <si>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</si>
  <si>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</si>
  <si>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</si>
  <si>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</si>
  <si>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</si>
  <si>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b/>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</si>
  <si>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</si>
  <si>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好</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</si>
  <si>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</si>
  <si>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</si>
  <si>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</si>
  <si>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</si>
  <si>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</si>
  <si>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</si>
  <si>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</si>
  <si>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</si>
  <si>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</si>
  <si>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</si>
  <si>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</si>
  <si>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</si>
  <si>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</si>
  <si>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</si>
  <si>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环境质量</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</si>
  <si>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</si>
  <si>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</si>
  <si>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</si>
  <si>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</si>
  <si>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</si>
  <si>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</si>
  <si>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</si>
  <si>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</si>
  <si>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</si>
  <si>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</si>
  <si>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</si>
  <si>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</si>
  <si>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</si>
  <si>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</si>
  <si>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</si>
  <si>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异形建筑</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</si>
  <si>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</si>
  <si>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</si>
  <si>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</si>
  <si>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</si>
  <si>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</si>
  <si>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</si>
  <si>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</si>
  <si>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</si>
  <si>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</si>
  <si>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</si>
  <si>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写字楼等级</t>
    </r>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</si>
  <si>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</si>
  <si>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</si>
  <si>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</si>
  <si>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</si>
  <si>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</si>
  <si>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</si>
  <si>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</si>
  <si>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</si>
  <si>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</si>
  <si>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</si>
  <si>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</si>
  <si>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宋体"/>
        <family val="3"/>
        <charset val="134"/>
      </rPr>
      <t>层高</t>
    </r>
    <phoneticPr fontId="3" type="noConversion"/>
  </si>
  <si>
    <t>超高层高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</si>
  <si>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</si>
  <si>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</si>
  <si>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内部装修维护情况</t>
    </r>
    <phoneticPr fontId="3" type="noConversion"/>
  </si>
  <si>
    <t>有</t>
    <phoneticPr fontId="143" type="noConversion"/>
  </si>
  <si>
    <t>无</t>
    <phoneticPr fontId="143"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</si>
  <si>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</si>
  <si>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</si>
  <si>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</si>
  <si>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</si>
  <si>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</si>
  <si>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</si>
  <si>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</si>
  <si>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</si>
  <si>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</si>
  <si>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</si>
  <si>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</si>
  <si>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</si>
  <si>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</si>
  <si>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</si>
  <si>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</si>
  <si>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</si>
  <si>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亦庄创意生活广场</t>
  </si>
  <si>
    <t>林肯公园</t>
    <phoneticPr fontId="3" type="noConversion"/>
  </si>
  <si>
    <t>富兴国际中心</t>
  </si>
  <si>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</si>
  <si>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</si>
  <si>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</si>
  <si>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</si>
  <si>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</si>
  <si>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</si>
  <si>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</si>
  <si>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</si>
  <si>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</si>
  <si>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</si>
  <si>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</si>
  <si>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</si>
  <si>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30-40（含）</t>
  </si>
  <si>
    <r>
      <rPr>
        <sz val="11"/>
        <color indexed="8"/>
        <rFont val="宋体"/>
        <family val="3"/>
        <charset val="134"/>
      </rPr>
      <t>容积率</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</si>
  <si>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</si>
  <si>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</si>
  <si>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好</t>
    <phoneticPr fontId="3" type="noConversion"/>
  </si>
  <si>
    <t>100/</t>
    <phoneticPr fontId="3" type="noConversion"/>
  </si>
  <si>
    <r>
      <rPr>
        <sz val="11"/>
        <color indexed="8"/>
        <rFont val="宋体"/>
        <family val="3"/>
        <charset val="134"/>
      </rPr>
      <t>临街状况</t>
    </r>
    <phoneticPr fontId="3" type="noConversion"/>
  </si>
  <si>
    <t>单面临街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</si>
  <si>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</si>
  <si>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3" type="noConversion"/>
  </si>
  <si>
    <r>
      <rPr>
        <sz val="11"/>
        <color indexed="8"/>
        <rFont val="宋体"/>
        <family val="3"/>
        <charset val="134"/>
      </rPr>
      <t>人流量</t>
    </r>
    <phoneticPr fontId="3" type="noConversion"/>
  </si>
  <si>
    <t>较大</t>
  </si>
  <si>
    <t>1层</t>
  </si>
  <si>
    <r>
      <rPr>
        <sz val="11"/>
        <color indexed="8"/>
        <rFont val="宋体"/>
        <family val="3"/>
        <charset val="134"/>
      </rPr>
      <t>商业类型</t>
    </r>
    <phoneticPr fontId="3" type="noConversion"/>
  </si>
  <si>
    <t>写字楼底商</t>
  </si>
  <si>
    <t>商业街商铺</t>
  </si>
  <si>
    <t>精装</t>
  </si>
  <si>
    <r>
      <rPr>
        <sz val="11"/>
        <color indexed="8"/>
        <rFont val="宋体"/>
        <family val="3"/>
        <charset val="134"/>
      </rPr>
      <t>业态</t>
    </r>
    <phoneticPr fontId="3" type="noConversion"/>
  </si>
  <si>
    <t>可餐饮</t>
  </si>
  <si>
    <t>超高</t>
  </si>
  <si>
    <t>标准</t>
  </si>
  <si>
    <r>
      <rPr>
        <sz val="11"/>
        <rFont val="宋体"/>
        <family val="3"/>
        <charset val="134"/>
      </rPr>
      <t>进深比</t>
    </r>
    <phoneticPr fontId="3" type="noConversion"/>
  </si>
  <si>
    <t>毛坯</t>
  </si>
  <si>
    <t>普装</t>
  </si>
  <si>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</si>
  <si>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</si>
  <si>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</si>
  <si>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</si>
  <si>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</si>
  <si>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</si>
  <si>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</si>
  <si>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</si>
  <si>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</si>
  <si>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</si>
  <si>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</si>
  <si>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</si>
  <si>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</si>
  <si>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</si>
  <si>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</si>
  <si>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</si>
  <si>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</si>
  <si>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</si>
  <si>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</si>
  <si>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</si>
  <si>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</si>
  <si>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</si>
  <si>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</si>
  <si>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</si>
  <si>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</si>
  <si>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</si>
  <si>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</si>
  <si>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</si>
  <si>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多面临街</t>
    <phoneticPr fontId="3" type="noConversion"/>
  </si>
  <si>
    <t>双面临街</t>
    <phoneticPr fontId="3" type="noConversion"/>
  </si>
  <si>
    <t>单面临街</t>
    <phoneticPr fontId="3" type="noConversion"/>
  </si>
  <si>
    <t>临内部道路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</si>
  <si>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</si>
  <si>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</si>
  <si>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</si>
  <si>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</si>
  <si>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</si>
  <si>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</si>
  <si>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</si>
  <si>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一般</t>
    <phoneticPr fontId="3" type="noConversion"/>
  </si>
  <si>
    <t>较差</t>
    <phoneticPr fontId="3" type="noConversion"/>
  </si>
  <si>
    <t>差</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</si>
  <si>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</si>
  <si>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</si>
  <si>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</si>
  <si>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phoneticPr fontId="3" type="noConversion"/>
  </si>
  <si>
    <t>大型商业综合体</t>
    <phoneticPr fontId="3" type="noConversion"/>
  </si>
  <si>
    <t>独栋商业</t>
    <phoneticPr fontId="3" type="noConversion"/>
  </si>
  <si>
    <t>商业街商铺</t>
    <phoneticPr fontId="3" type="noConversion"/>
  </si>
  <si>
    <t>写字楼底商</t>
    <phoneticPr fontId="3" type="noConversion"/>
  </si>
  <si>
    <t>住宅底商</t>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</si>
  <si>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</si>
  <si>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</si>
  <si>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</si>
  <si>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</si>
  <si>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</si>
  <si>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</si>
  <si>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</si>
  <si>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</si>
  <si>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</si>
  <si>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七通</t>
    <phoneticPr fontId="3" type="noConversion"/>
  </si>
  <si>
    <r>
      <rPr>
        <sz val="11"/>
        <color indexed="8"/>
        <rFont val="宋体"/>
        <family val="3"/>
        <charset val="134"/>
      </rPr>
      <t>业态</t>
    </r>
    <phoneticPr fontId="3" type="noConversion"/>
  </si>
  <si>
    <t>可餐饮</t>
    <phoneticPr fontId="3" type="noConversion"/>
  </si>
  <si>
    <t>不可餐饮</t>
    <phoneticPr fontId="3" type="noConversion"/>
  </si>
  <si>
    <r>
      <rPr>
        <sz val="11"/>
        <color indexed="8"/>
        <rFont val="宋体"/>
        <family val="3"/>
        <charset val="134"/>
      </rPr>
      <t>层高</t>
    </r>
    <phoneticPr fontId="3" type="noConversion"/>
  </si>
  <si>
    <t>超高</t>
    <phoneticPr fontId="3" type="noConversion"/>
  </si>
  <si>
    <t>标准</t>
    <phoneticPr fontId="3" type="noConversion"/>
  </si>
  <si>
    <t>超低</t>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</si>
  <si>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</si>
  <si>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</si>
  <si>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</si>
  <si>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</si>
  <si>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</si>
  <si>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</si>
  <si>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</si>
  <si>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</si>
  <si>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</si>
  <si>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t>押一</t>
  </si>
  <si>
    <t>非生产用房</t>
  </si>
  <si>
    <t>否</t>
  </si>
  <si>
    <t>综合项目（商业、办公）</t>
  </si>
  <si>
    <t>地下1层</t>
    <phoneticPr fontId="143" type="noConversion"/>
  </si>
  <si>
    <t>地下1层</t>
    <phoneticPr fontId="143" type="noConversion"/>
  </si>
  <si>
    <t>34层</t>
    <phoneticPr fontId="143" type="noConversion"/>
  </si>
  <si>
    <r>
      <t>3</t>
    </r>
    <r>
      <rPr>
        <sz val="11"/>
        <color theme="1"/>
        <rFont val="宋体"/>
        <family val="3"/>
        <charset val="134"/>
        <scheme val="minor"/>
      </rPr>
      <t>5-36层</t>
    </r>
    <phoneticPr fontId="143" type="noConversion"/>
  </si>
  <si>
    <t>合计</t>
    <phoneticPr fontId="143" type="noConversion"/>
  </si>
  <si>
    <t>建筑面积</t>
  </si>
  <si>
    <t>房屋面积明细表（依据测绘报告）</t>
    <phoneticPr fontId="143" type="noConversion"/>
  </si>
  <si>
    <t>商业用房修正表</t>
    <phoneticPr fontId="143" type="noConversion"/>
  </si>
  <si>
    <t>楼层</t>
    <phoneticPr fontId="143" type="noConversion"/>
  </si>
  <si>
    <t>部位及房号</t>
    <phoneticPr fontId="143" type="noConversion"/>
  </si>
  <si>
    <t>建筑面积</t>
    <phoneticPr fontId="143" type="noConversion"/>
  </si>
  <si>
    <t>用途</t>
    <phoneticPr fontId="143" type="noConversion"/>
  </si>
  <si>
    <t>面积</t>
    <phoneticPr fontId="143" type="noConversion"/>
  </si>
  <si>
    <t>修正系数</t>
    <phoneticPr fontId="143" type="noConversion"/>
  </si>
  <si>
    <t>单价</t>
    <phoneticPr fontId="143" type="noConversion"/>
  </si>
  <si>
    <t>总价</t>
    <phoneticPr fontId="143" type="noConversion"/>
  </si>
  <si>
    <t>-3层</t>
    <phoneticPr fontId="143" type="noConversion"/>
  </si>
  <si>
    <t>-301</t>
    <phoneticPr fontId="143" type="noConversion"/>
  </si>
  <si>
    <t>库房</t>
    <phoneticPr fontId="143" type="noConversion"/>
  </si>
  <si>
    <t>库房</t>
    <phoneticPr fontId="143" type="noConversion"/>
  </si>
  <si>
    <r>
      <t>地下3</t>
    </r>
    <r>
      <rPr>
        <sz val="11"/>
        <color theme="1"/>
        <rFont val="宋体"/>
        <family val="3"/>
        <charset val="134"/>
        <scheme val="minor"/>
      </rPr>
      <t>层</t>
    </r>
    <phoneticPr fontId="143" type="noConversion"/>
  </si>
  <si>
    <t>1层</t>
    <phoneticPr fontId="143" type="noConversion"/>
  </si>
  <si>
    <t>-302</t>
    <phoneticPr fontId="143" type="noConversion"/>
  </si>
  <si>
    <t>地下3层夹层</t>
    <phoneticPr fontId="143" type="noConversion"/>
  </si>
  <si>
    <t>-303</t>
  </si>
  <si>
    <t>库房</t>
    <phoneticPr fontId="143" type="noConversion"/>
  </si>
  <si>
    <t>地下2层</t>
    <phoneticPr fontId="143" type="noConversion"/>
  </si>
  <si>
    <t>-304</t>
  </si>
  <si>
    <t>餐厅</t>
    <phoneticPr fontId="143" type="noConversion"/>
  </si>
  <si>
    <t>-305</t>
  </si>
  <si>
    <t>地下1层夹层1</t>
    <phoneticPr fontId="143" type="noConversion"/>
  </si>
  <si>
    <t>-306</t>
  </si>
  <si>
    <t>地下1层夹层2</t>
  </si>
  <si>
    <t>-307</t>
  </si>
  <si>
    <t>1层</t>
    <phoneticPr fontId="143" type="noConversion"/>
  </si>
  <si>
    <t>商业</t>
    <phoneticPr fontId="143" type="noConversion"/>
  </si>
  <si>
    <t>-308</t>
  </si>
  <si>
    <t>办公</t>
    <phoneticPr fontId="143" type="noConversion"/>
  </si>
  <si>
    <t>各用途面积合计</t>
    <phoneticPr fontId="143" type="noConversion"/>
  </si>
  <si>
    <t>-309</t>
  </si>
  <si>
    <t>2层</t>
    <phoneticPr fontId="143" type="noConversion"/>
  </si>
  <si>
    <t>用途</t>
    <phoneticPr fontId="143" type="noConversion"/>
  </si>
  <si>
    <t>地上</t>
    <phoneticPr fontId="143" type="noConversion"/>
  </si>
  <si>
    <t>地下</t>
    <phoneticPr fontId="143" type="noConversion"/>
  </si>
  <si>
    <t>总计</t>
    <phoneticPr fontId="143" type="noConversion"/>
  </si>
  <si>
    <t>-310</t>
  </si>
  <si>
    <t>3层</t>
    <phoneticPr fontId="143" type="noConversion"/>
  </si>
  <si>
    <t>-311</t>
  </si>
  <si>
    <t>4层</t>
    <phoneticPr fontId="143" type="noConversion"/>
  </si>
  <si>
    <t>-312</t>
  </si>
  <si>
    <t>5层</t>
    <phoneticPr fontId="143" type="noConversion"/>
  </si>
  <si>
    <t>-313</t>
  </si>
  <si>
    <t>6层</t>
    <phoneticPr fontId="143" type="noConversion"/>
  </si>
  <si>
    <t>-314</t>
  </si>
  <si>
    <t>7层</t>
    <phoneticPr fontId="143" type="noConversion"/>
  </si>
  <si>
    <t>小计</t>
    <phoneticPr fontId="143" type="noConversion"/>
  </si>
  <si>
    <t>8层</t>
    <phoneticPr fontId="143" type="noConversion"/>
  </si>
  <si>
    <t>-2层</t>
    <phoneticPr fontId="143" type="noConversion"/>
  </si>
  <si>
    <t>-201</t>
    <phoneticPr fontId="143" type="noConversion"/>
  </si>
  <si>
    <t>9层</t>
    <phoneticPr fontId="143" type="noConversion"/>
  </si>
  <si>
    <t>-202</t>
    <phoneticPr fontId="143" type="noConversion"/>
  </si>
  <si>
    <t>10层</t>
    <phoneticPr fontId="143" type="noConversion"/>
  </si>
  <si>
    <t>-203</t>
  </si>
  <si>
    <t>11层</t>
    <phoneticPr fontId="143" type="noConversion"/>
  </si>
  <si>
    <t>-204</t>
  </si>
  <si>
    <t>12层</t>
    <phoneticPr fontId="143" type="noConversion"/>
  </si>
  <si>
    <t>-205</t>
  </si>
  <si>
    <t>12层夹层</t>
    <phoneticPr fontId="143" type="noConversion"/>
  </si>
  <si>
    <t>-206</t>
  </si>
  <si>
    <t>13层</t>
    <phoneticPr fontId="143" type="noConversion"/>
  </si>
  <si>
    <t>-207</t>
  </si>
  <si>
    <t>14层</t>
    <phoneticPr fontId="143" type="noConversion"/>
  </si>
  <si>
    <t>-208</t>
  </si>
  <si>
    <t>15层</t>
    <phoneticPr fontId="143" type="noConversion"/>
  </si>
  <si>
    <t>-209</t>
  </si>
  <si>
    <t>16层</t>
    <phoneticPr fontId="143" type="noConversion"/>
  </si>
  <si>
    <t>-210</t>
  </si>
  <si>
    <t>17层</t>
    <phoneticPr fontId="143" type="noConversion"/>
  </si>
  <si>
    <t>18层</t>
    <phoneticPr fontId="143" type="noConversion"/>
  </si>
  <si>
    <t>办公</t>
    <phoneticPr fontId="143" type="noConversion"/>
  </si>
  <si>
    <t>-1层</t>
    <phoneticPr fontId="143" type="noConversion"/>
  </si>
  <si>
    <t>-101</t>
    <phoneticPr fontId="143" type="noConversion"/>
  </si>
  <si>
    <t>餐厅</t>
    <phoneticPr fontId="143" type="noConversion"/>
  </si>
  <si>
    <t>19层</t>
    <phoneticPr fontId="143" type="noConversion"/>
  </si>
  <si>
    <t>小计</t>
    <phoneticPr fontId="143" type="noConversion"/>
  </si>
  <si>
    <t>20层</t>
    <phoneticPr fontId="143" type="noConversion"/>
  </si>
  <si>
    <t>101</t>
    <phoneticPr fontId="143" type="noConversion"/>
  </si>
  <si>
    <t>21层</t>
    <phoneticPr fontId="143" type="noConversion"/>
  </si>
  <si>
    <t>102</t>
  </si>
  <si>
    <t>22层</t>
    <phoneticPr fontId="143" type="noConversion"/>
  </si>
  <si>
    <t>103</t>
  </si>
  <si>
    <t>23层</t>
    <phoneticPr fontId="143" type="noConversion"/>
  </si>
  <si>
    <t>104</t>
  </si>
  <si>
    <t>24层</t>
    <phoneticPr fontId="143" type="noConversion"/>
  </si>
  <si>
    <t>105</t>
  </si>
  <si>
    <t>25层</t>
    <phoneticPr fontId="143" type="noConversion"/>
  </si>
  <si>
    <t>106</t>
  </si>
  <si>
    <t>26层</t>
    <phoneticPr fontId="143" type="noConversion"/>
  </si>
  <si>
    <t>27层</t>
    <phoneticPr fontId="143" type="noConversion"/>
  </si>
  <si>
    <t>01夹层</t>
    <phoneticPr fontId="143" type="noConversion"/>
  </si>
  <si>
    <t>107</t>
    <phoneticPr fontId="143" type="noConversion"/>
  </si>
  <si>
    <t>28层</t>
    <phoneticPr fontId="143" type="noConversion"/>
  </si>
  <si>
    <t>108</t>
    <phoneticPr fontId="143" type="noConversion"/>
  </si>
  <si>
    <t>29层</t>
    <phoneticPr fontId="143" type="noConversion"/>
  </si>
  <si>
    <t>30层</t>
    <phoneticPr fontId="143" type="noConversion"/>
  </si>
  <si>
    <t>02层</t>
    <phoneticPr fontId="143" type="noConversion"/>
  </si>
  <si>
    <t>201</t>
    <phoneticPr fontId="143" type="noConversion"/>
  </si>
  <si>
    <t>31层</t>
    <phoneticPr fontId="143" type="noConversion"/>
  </si>
  <si>
    <t>202</t>
    <phoneticPr fontId="143" type="noConversion"/>
  </si>
  <si>
    <t>32层</t>
    <phoneticPr fontId="143" type="noConversion"/>
  </si>
  <si>
    <t>203</t>
  </si>
  <si>
    <t>33层</t>
    <phoneticPr fontId="143" type="noConversion"/>
  </si>
  <si>
    <t>204</t>
  </si>
  <si>
    <t>205</t>
  </si>
  <si>
    <t>35层</t>
    <phoneticPr fontId="143" type="noConversion"/>
  </si>
  <si>
    <t>206</t>
  </si>
  <si>
    <t>36层</t>
    <phoneticPr fontId="143" type="noConversion"/>
  </si>
  <si>
    <t>207</t>
  </si>
  <si>
    <t>36层夹层</t>
    <phoneticPr fontId="143" type="noConversion"/>
  </si>
  <si>
    <t>208</t>
  </si>
  <si>
    <t>屋面附属用房</t>
    <phoneticPr fontId="143" type="noConversion"/>
  </si>
  <si>
    <t>209</t>
  </si>
  <si>
    <t>210</t>
  </si>
  <si>
    <t>03层</t>
    <phoneticPr fontId="143" type="noConversion"/>
  </si>
  <si>
    <t>301</t>
    <phoneticPr fontId="143" type="noConversion"/>
  </si>
  <si>
    <t>302</t>
    <phoneticPr fontId="143" type="noConversion"/>
  </si>
  <si>
    <t>303</t>
  </si>
  <si>
    <t>304</t>
  </si>
  <si>
    <t>305</t>
  </si>
  <si>
    <t>306</t>
  </si>
  <si>
    <t>307</t>
  </si>
  <si>
    <t>308</t>
  </si>
  <si>
    <t>309</t>
  </si>
  <si>
    <t>310</t>
  </si>
  <si>
    <t>04层</t>
    <phoneticPr fontId="143" type="noConversion"/>
  </si>
  <si>
    <t>401</t>
    <phoneticPr fontId="143" type="noConversion"/>
  </si>
  <si>
    <t>402</t>
  </si>
  <si>
    <t>403</t>
  </si>
  <si>
    <t>404</t>
  </si>
  <si>
    <t>405</t>
  </si>
  <si>
    <t>406</t>
  </si>
  <si>
    <t>407</t>
  </si>
  <si>
    <t>408</t>
  </si>
  <si>
    <t>409</t>
  </si>
  <si>
    <t>410</t>
  </si>
  <si>
    <t>05层</t>
    <phoneticPr fontId="143" type="noConversion"/>
  </si>
  <si>
    <t>501</t>
    <phoneticPr fontId="143" type="noConversion"/>
  </si>
  <si>
    <t>502</t>
  </si>
  <si>
    <t>503</t>
  </si>
  <si>
    <t>504</t>
  </si>
  <si>
    <t>505</t>
  </si>
  <si>
    <t>506</t>
  </si>
  <si>
    <t>507</t>
  </si>
  <si>
    <t>508</t>
  </si>
  <si>
    <t>509</t>
  </si>
  <si>
    <t>510</t>
  </si>
  <si>
    <t>06层</t>
    <phoneticPr fontId="143" type="noConversion"/>
  </si>
  <si>
    <t>601</t>
    <phoneticPr fontId="143" type="noConversion"/>
  </si>
  <si>
    <t>602</t>
  </si>
  <si>
    <t>603</t>
  </si>
  <si>
    <t>604</t>
  </si>
  <si>
    <t>605</t>
  </si>
  <si>
    <t>606</t>
  </si>
  <si>
    <t>607</t>
  </si>
  <si>
    <t>608</t>
  </si>
  <si>
    <t>609</t>
  </si>
  <si>
    <t>610</t>
  </si>
  <si>
    <t>07层</t>
    <phoneticPr fontId="143" type="noConversion"/>
  </si>
  <si>
    <t>701</t>
    <phoneticPr fontId="143" type="noConversion"/>
  </si>
  <si>
    <t>702</t>
  </si>
  <si>
    <t>703</t>
  </si>
  <si>
    <t>704</t>
  </si>
  <si>
    <t>705</t>
  </si>
  <si>
    <t>706</t>
  </si>
  <si>
    <t>707</t>
  </si>
  <si>
    <t>708</t>
  </si>
  <si>
    <t>709</t>
  </si>
  <si>
    <t>710</t>
  </si>
  <si>
    <t>08层</t>
    <phoneticPr fontId="143" type="noConversion"/>
  </si>
  <si>
    <t>801</t>
    <phoneticPr fontId="143" type="noConversion"/>
  </si>
  <si>
    <t>802</t>
  </si>
  <si>
    <t>803</t>
  </si>
  <si>
    <t>804</t>
  </si>
  <si>
    <t>805</t>
  </si>
  <si>
    <t>806</t>
  </si>
  <si>
    <t>807</t>
  </si>
  <si>
    <t>808</t>
  </si>
  <si>
    <t>809</t>
  </si>
  <si>
    <t>810</t>
  </si>
  <si>
    <t>09层</t>
    <phoneticPr fontId="143" type="noConversion"/>
  </si>
  <si>
    <t>901</t>
    <phoneticPr fontId="143" type="noConversion"/>
  </si>
  <si>
    <t>902</t>
  </si>
  <si>
    <t>903</t>
  </si>
  <si>
    <t>904</t>
  </si>
  <si>
    <t>905</t>
  </si>
  <si>
    <t>906</t>
  </si>
  <si>
    <t>907</t>
  </si>
  <si>
    <t>908</t>
  </si>
  <si>
    <t>909</t>
  </si>
  <si>
    <t>910</t>
  </si>
  <si>
    <t>1001</t>
    <phoneticPr fontId="143" type="noConversion"/>
  </si>
  <si>
    <t>1002</t>
  </si>
  <si>
    <t>1003</t>
  </si>
  <si>
    <t>1004</t>
  </si>
  <si>
    <t>1005</t>
  </si>
  <si>
    <t>1006</t>
  </si>
  <si>
    <t>1007</t>
  </si>
  <si>
    <t>1008</t>
  </si>
  <si>
    <t>1009</t>
  </si>
  <si>
    <t>1010</t>
  </si>
  <si>
    <t>1101</t>
    <phoneticPr fontId="143" type="noConversion"/>
  </si>
  <si>
    <t>1102</t>
  </si>
  <si>
    <t>1103</t>
  </si>
  <si>
    <t>1104</t>
  </si>
  <si>
    <t>1105</t>
  </si>
  <si>
    <t>1106</t>
  </si>
  <si>
    <t>1107</t>
  </si>
  <si>
    <t>1108</t>
  </si>
  <si>
    <t>1109</t>
  </si>
  <si>
    <t>1110</t>
  </si>
  <si>
    <t>12夹层</t>
    <phoneticPr fontId="143" type="noConversion"/>
  </si>
  <si>
    <t>1201</t>
    <phoneticPr fontId="143" type="noConversion"/>
  </si>
  <si>
    <t>1202</t>
    <phoneticPr fontId="143" type="noConversion"/>
  </si>
  <si>
    <t>1203</t>
    <phoneticPr fontId="143" type="noConversion"/>
  </si>
  <si>
    <t>1301</t>
    <phoneticPr fontId="143" type="noConversion"/>
  </si>
  <si>
    <t>1302</t>
    <phoneticPr fontId="143" type="noConversion"/>
  </si>
  <si>
    <t>1303</t>
    <phoneticPr fontId="143" type="noConversion"/>
  </si>
  <si>
    <t>1304</t>
    <phoneticPr fontId="143" type="noConversion"/>
  </si>
  <si>
    <t>1401</t>
    <phoneticPr fontId="143" type="noConversion"/>
  </si>
  <si>
    <t>1402</t>
  </si>
  <si>
    <t>1403</t>
  </si>
  <si>
    <t>1404</t>
  </si>
  <si>
    <t>1501</t>
    <phoneticPr fontId="143" type="noConversion"/>
  </si>
  <si>
    <t>1502</t>
  </si>
  <si>
    <t>1503</t>
  </si>
  <si>
    <t>1504</t>
  </si>
  <si>
    <t>1601</t>
    <phoneticPr fontId="143" type="noConversion"/>
  </si>
  <si>
    <t>1602</t>
  </si>
  <si>
    <t>1603</t>
  </si>
  <si>
    <t>1604</t>
  </si>
  <si>
    <t>1701</t>
    <phoneticPr fontId="143" type="noConversion"/>
  </si>
  <si>
    <t>1702</t>
  </si>
  <si>
    <t>1703</t>
  </si>
  <si>
    <t>1704</t>
  </si>
  <si>
    <t>18层</t>
    <phoneticPr fontId="143" type="noConversion"/>
  </si>
  <si>
    <t>1801</t>
    <phoneticPr fontId="143" type="noConversion"/>
  </si>
  <si>
    <t>1802</t>
  </si>
  <si>
    <t>1803</t>
  </si>
  <si>
    <t>1804</t>
  </si>
  <si>
    <t>19层</t>
    <phoneticPr fontId="143" type="noConversion"/>
  </si>
  <si>
    <t>1901</t>
    <phoneticPr fontId="143" type="noConversion"/>
  </si>
  <si>
    <t>1902</t>
  </si>
  <si>
    <t>1903</t>
  </si>
  <si>
    <t>1904</t>
  </si>
  <si>
    <t>2001</t>
    <phoneticPr fontId="143" type="noConversion"/>
  </si>
  <si>
    <t>基准户型</t>
    <phoneticPr fontId="143" type="noConversion"/>
  </si>
  <si>
    <t>2002</t>
  </si>
  <si>
    <t>2003</t>
  </si>
  <si>
    <t>2004</t>
  </si>
  <si>
    <t>2101</t>
    <phoneticPr fontId="143" type="noConversion"/>
  </si>
  <si>
    <t>2102</t>
  </si>
  <si>
    <t>2103</t>
  </si>
  <si>
    <t>2104</t>
  </si>
  <si>
    <t>2201</t>
    <phoneticPr fontId="143" type="noConversion"/>
  </si>
  <si>
    <t>2202</t>
  </si>
  <si>
    <t>2203</t>
  </si>
  <si>
    <t>2204</t>
  </si>
  <si>
    <t>2401</t>
    <phoneticPr fontId="143" type="noConversion"/>
  </si>
  <si>
    <t>2402</t>
    <phoneticPr fontId="143" type="noConversion"/>
  </si>
  <si>
    <t>2501</t>
    <phoneticPr fontId="143" type="noConversion"/>
  </si>
  <si>
    <t>2502</t>
    <phoneticPr fontId="143" type="noConversion"/>
  </si>
  <si>
    <t>2601</t>
    <phoneticPr fontId="143" type="noConversion"/>
  </si>
  <si>
    <t>2602</t>
    <phoneticPr fontId="143" type="noConversion"/>
  </si>
  <si>
    <t>2701</t>
    <phoneticPr fontId="143" type="noConversion"/>
  </si>
  <si>
    <t>2702</t>
    <phoneticPr fontId="143" type="noConversion"/>
  </si>
  <si>
    <t>2801</t>
    <phoneticPr fontId="143" type="noConversion"/>
  </si>
  <si>
    <t>2802</t>
    <phoneticPr fontId="143" type="noConversion"/>
  </si>
  <si>
    <t>2901</t>
    <phoneticPr fontId="143" type="noConversion"/>
  </si>
  <si>
    <t>2902</t>
    <phoneticPr fontId="143" type="noConversion"/>
  </si>
  <si>
    <t>3001</t>
    <phoneticPr fontId="143" type="noConversion"/>
  </si>
  <si>
    <t>3002</t>
    <phoneticPr fontId="143" type="noConversion"/>
  </si>
  <si>
    <t>3101</t>
    <phoneticPr fontId="143" type="noConversion"/>
  </si>
  <si>
    <t>3102</t>
    <phoneticPr fontId="143" type="noConversion"/>
  </si>
  <si>
    <t>3201</t>
    <phoneticPr fontId="143" type="noConversion"/>
  </si>
  <si>
    <t>3202</t>
    <phoneticPr fontId="143" type="noConversion"/>
  </si>
  <si>
    <t>3301</t>
    <phoneticPr fontId="143" type="noConversion"/>
  </si>
  <si>
    <t>3302</t>
    <phoneticPr fontId="143" type="noConversion"/>
  </si>
  <si>
    <t>3401</t>
    <phoneticPr fontId="143" type="noConversion"/>
  </si>
  <si>
    <t>3501</t>
    <phoneticPr fontId="143" type="noConversion"/>
  </si>
  <si>
    <t>项目局部</t>
  </si>
  <si>
    <t>成本法</t>
  </si>
  <si>
    <t>假设开发法</t>
  </si>
  <si>
    <r>
      <t>34</t>
    </r>
    <r>
      <rPr>
        <sz val="10"/>
        <rFont val="宋体"/>
        <family val="3"/>
        <charset val="134"/>
      </rPr>
      <t>层</t>
    </r>
    <phoneticPr fontId="143" type="noConversion"/>
  </si>
  <si>
    <r>
      <t>35</t>
    </r>
    <r>
      <rPr>
        <sz val="10"/>
        <rFont val="宋体"/>
        <family val="3"/>
        <charset val="134"/>
      </rPr>
      <t>层</t>
    </r>
    <phoneticPr fontId="143" type="noConversion"/>
  </si>
  <si>
    <r>
      <rPr>
        <sz val="10"/>
        <rFont val="宋体"/>
        <family val="3"/>
        <charset val="134"/>
      </rPr>
      <t>地下</t>
    </r>
    <r>
      <rPr>
        <sz val="10"/>
        <rFont val="Arial"/>
        <family val="2"/>
      </rPr>
      <t>1</t>
    </r>
    <r>
      <rPr>
        <sz val="10"/>
        <rFont val="宋体"/>
        <family val="3"/>
        <charset val="134"/>
      </rPr>
      <t>层</t>
    </r>
    <phoneticPr fontId="143" type="noConversion"/>
  </si>
  <si>
    <t>设备用房</t>
    <phoneticPr fontId="3" type="noConversion"/>
  </si>
  <si>
    <t>经营性用房</t>
    <phoneticPr fontId="143" type="noConversion"/>
  </si>
  <si>
    <t>类别</t>
  </si>
  <si>
    <t>项目类型</t>
  </si>
  <si>
    <t>土地面积</t>
  </si>
  <si>
    <t>非经营性</t>
  </si>
  <si>
    <t>设备及其他</t>
  </si>
  <si>
    <t>经营性用房</t>
    <phoneticPr fontId="143" type="noConversion"/>
  </si>
  <si>
    <t>总计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</si>
</sst>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8" xfId="10" applyFont="1" applyFill="1" applyBorder="1" applyAlignment="1" applyProtection="1">
      <alignment horizontal="right" vertical="center"/>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8"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6" xfId="10" applyFont="1" applyFill="1" applyBorder="1" applyAlignment="1" applyProtection="1">
      <alignment horizontal="center" vertical="center" wrapText="1"/>
    </xf>
    <xf numFmtId="0" fontId="54" fillId="6" borderId="39" xfId="10" applyFont="1" applyFill="1" applyBorder="1" applyAlignment="1" applyProtection="1">
      <alignment horizontal="center" vertical="center" wrapText="1"/>
    </xf>
    <xf numFmtId="0" fontId="54" fillId="6" borderId="29" xfId="10" applyFont="1" applyFill="1" applyBorder="1" applyAlignment="1" applyProtection="1">
      <alignment horizontal="center" vertical="center"/>
    </xf>
    <xf numFmtId="0" fontId="54" fillId="6" borderId="39" xfId="10" applyFont="1" applyFill="1" applyBorder="1" applyAlignment="1" applyProtection="1">
      <alignment horizontal="center" vertical="center"/>
    </xf>
    <xf numFmtId="0" fontId="54" fillId="6" borderId="9"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17" xfId="10" applyFont="1" applyFill="1" applyBorder="1" applyAlignment="1" applyProtection="1">
      <alignment horizontal="center" vertical="center"/>
    </xf>
    <xf numFmtId="0" fontId="54" fillId="6" borderId="62"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69"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8" xfId="10" applyFont="1" applyFill="1" applyBorder="1" applyAlignment="1" applyProtection="1">
      <alignment horizontal="center" vertical="center"/>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0" fontId="47" fillId="6" borderId="37"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6" borderId="24"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47" fillId="0" borderId="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49" fontId="54"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24"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22"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8" xfId="10"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47" fillId="6" borderId="53" xfId="10" applyFont="1" applyFill="1" applyBorder="1" applyAlignment="1" applyProtection="1">
      <alignment horizontal="center" vertical="center" wrapText="1"/>
    </xf>
    <xf numFmtId="0" fontId="54" fillId="2" borderId="35" xfId="10" applyNumberFormat="1" applyFont="1" applyFill="1" applyBorder="1" applyAlignment="1" applyProtection="1">
      <alignment horizontal="center" vertical="center" wrapText="1"/>
      <protection locked="0"/>
    </xf>
    <xf numFmtId="0" fontId="61" fillId="6" borderId="14" xfId="10" applyNumberFormat="1" applyFont="1" applyFill="1" applyBorder="1" applyAlignment="1" applyProtection="1">
      <alignment horizontal="center" vertical="center" wrapText="1"/>
    </xf>
    <xf numFmtId="0" fontId="54" fillId="0" borderId="54"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2" borderId="41"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47" fillId="0" borderId="49" xfId="10"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72" fillId="6" borderId="14" xfId="10" applyFont="1" applyFill="1" applyBorder="1" applyAlignment="1" applyProtection="1">
      <alignment vertical="center" textRotation="255" wrapText="1"/>
    </xf>
    <xf numFmtId="0" fontId="47" fillId="17" borderId="5" xfId="10" applyFont="1" applyFill="1" applyBorder="1" applyAlignment="1" applyProtection="1">
      <alignment horizontal="center" vertical="center"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52" fillId="6" borderId="0" xfId="10" applyFont="1" applyFill="1" applyBorder="1" applyAlignment="1" applyProtection="1">
      <alignment horizontal="center" vertical="center"/>
      <protection locked="0"/>
    </xf>
    <xf numFmtId="0" fontId="54" fillId="6" borderId="14" xfId="10" applyFont="1" applyFill="1" applyBorder="1" applyAlignment="1" applyProtection="1">
      <alignment horizontal="center" vertical="center" textRotation="255" wrapText="1"/>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54" fillId="6" borderId="5" xfId="10" applyFont="1" applyFill="1" applyBorder="1" applyAlignment="1" applyProtection="1">
      <alignment horizontal="center" vertical="center" wrapText="1"/>
    </xf>
    <xf numFmtId="0" fontId="137" fillId="0" borderId="5" xfId="10" applyFont="1" applyFill="1" applyBorder="1" applyAlignment="1" applyProtection="1">
      <alignment horizontal="center" vertical="center" wrapText="1"/>
      <protection locked="0"/>
    </xf>
    <xf numFmtId="0" fontId="137" fillId="0" borderId="37" xfId="10" applyNumberFormat="1"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0" fontId="54" fillId="6" borderId="41"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0" fontId="54" fillId="6" borderId="38" xfId="10" applyFont="1" applyFill="1" applyBorder="1" applyAlignment="1" applyProtection="1">
      <alignment horizontal="center" vertical="center" wrapText="1"/>
    </xf>
    <xf numFmtId="0" fontId="54" fillId="6" borderId="66" xfId="10" applyFont="1" applyFill="1" applyBorder="1" applyAlignment="1" applyProtection="1">
      <alignment horizontal="center" vertical="center" wrapText="1"/>
    </xf>
    <xf numFmtId="0" fontId="53" fillId="6" borderId="32" xfId="10" applyNumberFormat="1" applyFont="1" applyFill="1" applyBorder="1" applyAlignment="1" applyProtection="1">
      <alignment horizontal="center"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54" fillId="6" borderId="0" xfId="10" applyFont="1" applyFill="1" applyAlignment="1" applyProtection="1">
      <alignment horizontal="center" vertical="center"/>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Alignment="1" applyProtection="1">
      <alignment horizontal="center" vertical="center"/>
    </xf>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5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5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5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254"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4"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left" vertical="center" wrapText="1"/>
      <protection locked="0"/>
    </xf>
    <xf numFmtId="0" fontId="54" fillId="0" borderId="45" xfId="10" applyNumberFormat="1" applyFont="1" applyFill="1" applyBorder="1" applyAlignment="1" applyProtection="1">
      <alignment horizontal="center" vertical="center" wrapText="1"/>
      <protection locked="0"/>
    </xf>
    <xf numFmtId="0" fontId="54" fillId="0" borderId="58" xfId="10" applyFont="1" applyFill="1" applyBorder="1" applyAlignment="1" applyProtection="1">
      <alignment horizontal="center" vertical="center" wrapText="1"/>
      <protection locked="0"/>
    </xf>
    <xf numFmtId="9" fontId="54" fillId="0" borderId="0"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65" fillId="6" borderId="85" xfId="10" applyFont="1" applyFill="1" applyBorder="1" applyAlignment="1" applyProtection="1">
      <alignment horizontal="right" vertical="center"/>
    </xf>
    <xf numFmtId="0" fontId="65" fillId="5" borderId="119" xfId="10"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178" fillId="0" borderId="37" xfId="10" applyFont="1" applyFill="1" applyBorder="1" applyAlignment="1" applyProtection="1">
      <alignment horizontal="center" vertical="center" wrapText="1"/>
      <protection locked="0"/>
    </xf>
    <xf numFmtId="0" fontId="178" fillId="0" borderId="48" xfId="10" applyFont="1" applyFill="1" applyBorder="1" applyAlignment="1" applyProtection="1">
      <alignment horizontal="center" vertical="center" wrapText="1"/>
      <protection locked="0"/>
    </xf>
    <xf numFmtId="0" fontId="225" fillId="0" borderId="37" xfId="10" applyFont="1" applyFill="1" applyBorder="1" applyAlignment="1" applyProtection="1">
      <alignment horizontal="center" vertical="center" wrapText="1"/>
      <protection locked="0"/>
    </xf>
    <xf numFmtId="0" fontId="54" fillId="6" borderId="58"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98" fillId="2" borderId="14"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6" borderId="11"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8" xfId="10" applyFont="1" applyFill="1" applyBorder="1" applyAlignment="1" applyProtection="1">
      <alignment horizontal="center" vertical="center"/>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9" fontId="47" fillId="0" borderId="18"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18" xfId="10"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0" fontId="52" fillId="0" borderId="18" xfId="10" applyFont="1" applyFill="1" applyBorder="1" applyAlignment="1" applyProtection="1">
      <alignment vertical="center" wrapText="1"/>
      <protection locked="0"/>
    </xf>
    <xf numFmtId="0" fontId="47" fillId="0" borderId="18" xfId="10" applyFont="1" applyFill="1" applyBorder="1" applyAlignment="1" applyProtection="1">
      <alignment vertical="center" wrapText="1"/>
      <protection locked="0"/>
    </xf>
    <xf numFmtId="0" fontId="137" fillId="0" borderId="83" xfId="10" applyNumberFormat="1" applyFont="1" applyFill="1" applyBorder="1" applyAlignment="1" applyProtection="1">
      <alignment horizontal="center" vertical="center"/>
      <protection locked="0"/>
    </xf>
    <xf numFmtId="0" fontId="98" fillId="0" borderId="9"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0" fontId="54" fillId="0" borderId="18" xfId="10" applyFont="1" applyFill="1" applyBorder="1" applyAlignment="1" applyProtection="1">
      <alignment horizontal="center" vertical="center"/>
      <protection locked="0"/>
    </xf>
    <xf numFmtId="0" fontId="99" fillId="0" borderId="5" xfId="10" applyFont="1" applyBorder="1" applyAlignment="1">
      <alignment horizontal="center" vertical="center"/>
    </xf>
    <xf numFmtId="0" fontId="99" fillId="0" borderId="54" xfId="10" applyBorder="1" applyAlignment="1">
      <alignment horizontal="center" vertical="center"/>
    </xf>
    <xf numFmtId="0" fontId="99" fillId="0" borderId="3" xfId="10" applyBorder="1" applyAlignment="1">
      <alignment horizontal="center" vertical="center"/>
    </xf>
    <xf numFmtId="0" fontId="99" fillId="0" borderId="0" xfId="10">
      <alignment vertical="center"/>
    </xf>
    <xf numFmtId="0" fontId="99" fillId="15" borderId="5" xfId="10" applyFont="1" applyFill="1" applyBorder="1" applyAlignment="1">
      <alignment horizontal="center" vertical="center"/>
    </xf>
    <xf numFmtId="0" fontId="99" fillId="15" borderId="54" xfId="10" applyFont="1" applyFill="1" applyBorder="1" applyAlignment="1">
      <alignment horizontal="center" vertical="center"/>
    </xf>
    <xf numFmtId="0" fontId="99" fillId="15" borderId="3" xfId="10" applyFont="1" applyFill="1" applyBorder="1" applyAlignment="1">
      <alignment horizontal="center" vertical="center"/>
    </xf>
    <xf numFmtId="0" fontId="99" fillId="0" borderId="1" xfId="10" applyBorder="1" applyAlignment="1">
      <alignment horizontal="center" vertical="center"/>
    </xf>
    <xf numFmtId="49" fontId="99" fillId="0" borderId="1" xfId="10" applyNumberFormat="1" applyBorder="1" applyAlignment="1">
      <alignment horizontal="center" vertical="center"/>
    </xf>
    <xf numFmtId="0" fontId="99" fillId="0" borderId="1" xfId="10" applyFont="1" applyBorder="1" applyAlignment="1">
      <alignment horizontal="center" vertical="center"/>
    </xf>
    <xf numFmtId="0" fontId="99" fillId="0" borderId="1" xfId="10" applyFont="1" applyFill="1" applyBorder="1" applyAlignment="1">
      <alignment horizontal="center" vertical="center"/>
    </xf>
    <xf numFmtId="49" fontId="99" fillId="0" borderId="13" xfId="10" applyNumberFormat="1" applyBorder="1" applyAlignment="1">
      <alignment horizontal="center" vertical="center"/>
    </xf>
    <xf numFmtId="0" fontId="99" fillId="10" borderId="1" xfId="10" applyFont="1" applyFill="1" applyBorder="1" applyAlignment="1">
      <alignment horizontal="center" vertical="center"/>
    </xf>
    <xf numFmtId="49" fontId="99" fillId="0" borderId="15" xfId="10" applyNumberFormat="1" applyBorder="1" applyAlignment="1">
      <alignment horizontal="center" vertical="center"/>
    </xf>
    <xf numFmtId="0" fontId="99" fillId="15" borderId="1" xfId="10" applyFont="1" applyFill="1" applyBorder="1" applyAlignment="1">
      <alignment horizontal="center" vertical="center"/>
    </xf>
    <xf numFmtId="0" fontId="100" fillId="0" borderId="5" xfId="10" applyFont="1" applyBorder="1" applyAlignment="1">
      <alignment horizontal="center" vertical="center"/>
    </xf>
    <xf numFmtId="0" fontId="100" fillId="0" borderId="54" xfId="10" applyFont="1" applyBorder="1" applyAlignment="1">
      <alignment horizontal="center" vertical="center"/>
    </xf>
    <xf numFmtId="0" fontId="100" fillId="0" borderId="3" xfId="10" applyFont="1" applyBorder="1" applyAlignment="1">
      <alignment horizontal="center" vertical="center"/>
    </xf>
    <xf numFmtId="0" fontId="100" fillId="0" borderId="1" xfId="10" applyFont="1" applyBorder="1" applyAlignment="1">
      <alignment horizontal="center" vertical="center"/>
    </xf>
    <xf numFmtId="0" fontId="99" fillId="18" borderId="1" xfId="10" applyFont="1" applyFill="1" applyBorder="1" applyAlignment="1">
      <alignment horizontal="center" vertical="center"/>
    </xf>
    <xf numFmtId="0" fontId="99" fillId="0" borderId="1" xfId="10" applyFont="1" applyBorder="1" applyAlignment="1">
      <alignment horizontal="center" vertical="center"/>
    </xf>
    <xf numFmtId="0" fontId="99" fillId="0" borderId="1" xfId="10" applyFill="1" applyBorder="1" applyAlignment="1">
      <alignment horizontal="center" vertical="center"/>
    </xf>
    <xf numFmtId="0" fontId="99" fillId="0" borderId="1" xfId="10" applyBorder="1">
      <alignment vertical="center"/>
    </xf>
    <xf numFmtId="49" fontId="99" fillId="0" borderId="2" xfId="10" applyNumberFormat="1" applyBorder="1" applyAlignment="1">
      <alignment horizontal="center" vertical="center"/>
    </xf>
    <xf numFmtId="0" fontId="99" fillId="17" borderId="1" xfId="10" applyFill="1" applyBorder="1" applyAlignment="1">
      <alignment horizontal="center" vertical="center"/>
    </xf>
    <xf numFmtId="49" fontId="100" fillId="0" borderId="5" xfId="10" applyNumberFormat="1" applyFont="1" applyBorder="1" applyAlignment="1">
      <alignment horizontal="center" vertical="center"/>
    </xf>
    <xf numFmtId="49" fontId="100" fillId="0" borderId="3" xfId="10" applyNumberFormat="1" applyFont="1" applyBorder="1" applyAlignment="1">
      <alignment horizontal="center" vertical="center"/>
    </xf>
    <xf numFmtId="49" fontId="99" fillId="0" borderId="0" xfId="10" applyNumberFormat="1">
      <alignment vertical="center"/>
    </xf>
    <xf numFmtId="0" fontId="99" fillId="0" borderId="5" xfId="10" applyBorder="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4352;&#23159;&#23159;\2018&#24180;\&#29616;&#25151;\2018-1-0381&#22269;&#38160;&#37329;&#23935;A&#24231;&#21150;&#20844;&#27004;&#29616;&#25151;\P01\&#26368;&#32456;\&#22269;&#38160;&#37329;&#23935;A&#24231;&#29616;&#25151;&#19977;&#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018&#24180;\&#22312;&#24314;\2018-1-0021&#22269;&#38160;&#37329;&#40718;A&#24231;&#21150;&#20844;&#27004;&#21450;B&#24231;&#35774;&#22791;&#29992;&#25151;\F01DYGJ2\&#26368;&#32456;\&#12304;&#27979;&#31639;&#34920;1&#12305;2018-1-0021-F01DYGJ2&#21271;&#20140;&#24066;&#32463;&#27982;&#25216;&#26415;&#24320;&#21457;&#21306;35&#21495;&#34903;&#21306;35C1&#12289;35F1&#21495;&#22320;&#22359;&#65288;&#22269;&#38160;&#24191;&#22330;&#65289;A&#12289;B&#24231;&#65288;&#37096;&#20998;&#65289;&#21150;&#20844;&#27004;&#20998;&#25674;&#30340;&#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及商业修正表"/>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收益法 (元)"/>
      <sheetName val="比较法-办公"/>
      <sheetName val="收益法办公"/>
      <sheetName val="酒店收入计算"/>
      <sheetName val="比较法-住宅"/>
      <sheetName val="比较法-办公 (租金)"/>
      <sheetName val="结果表商业"/>
      <sheetName val="比较法-商业"/>
      <sheetName val="收益法商业"/>
      <sheetName val="比较法-工业"/>
      <sheetName val="比较法-车位"/>
      <sheetName val="比较法-商业 (租金)"/>
      <sheetName val="典型户型修正"/>
      <sheetName val="结果表仓储"/>
      <sheetName val="收益法（汇总）"/>
      <sheetName val="成本法"/>
      <sheetName val="收益法仓储"/>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收益法仓储</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2">
          <cell r="I12">
            <v>1175.17</v>
          </cell>
        </row>
        <row r="13">
          <cell r="I13">
            <v>4022.3199999999997</v>
          </cell>
          <cell r="J13">
            <v>3921.88</v>
          </cell>
        </row>
        <row r="14">
          <cell r="K14">
            <v>61545.99</v>
          </cell>
        </row>
        <row r="15">
          <cell r="J15">
            <v>2396.8900000000003</v>
          </cell>
        </row>
        <row r="30">
          <cell r="Q30">
            <v>308.73</v>
          </cell>
        </row>
      </sheetData>
      <sheetData sheetId="12" refreshError="1"/>
      <sheetData sheetId="13" refreshError="1"/>
      <sheetData sheetId="14">
        <row r="3">
          <cell r="E3">
            <v>73062.25</v>
          </cell>
        </row>
        <row r="17">
          <cell r="C17" t="str">
            <v>项目类型</v>
          </cell>
        </row>
        <row r="19">
          <cell r="C19" t="str">
            <v>办公</v>
          </cell>
          <cell r="E19">
            <v>61545.99</v>
          </cell>
        </row>
        <row r="20">
          <cell r="C20" t="str">
            <v>商业</v>
          </cell>
          <cell r="E20">
            <v>9119.369999999999</v>
          </cell>
        </row>
        <row r="21">
          <cell r="C21" t="str">
            <v>仓储</v>
          </cell>
          <cell r="E21">
            <v>2396.8900000000003</v>
          </cell>
        </row>
        <row r="22">
          <cell r="E22">
            <v>0</v>
          </cell>
        </row>
        <row r="23">
          <cell r="E23">
            <v>0</v>
          </cell>
        </row>
        <row r="24">
          <cell r="E24">
            <v>0</v>
          </cell>
        </row>
        <row r="25">
          <cell r="E25">
            <v>0</v>
          </cell>
        </row>
        <row r="26">
          <cell r="E26">
            <v>0</v>
          </cell>
        </row>
        <row r="27">
          <cell r="C27" t="str">
            <v>小计</v>
          </cell>
          <cell r="E27">
            <v>73062.25</v>
          </cell>
        </row>
        <row r="28">
          <cell r="C28" t="str">
            <v>设备及其他</v>
          </cell>
          <cell r="E28">
            <v>0</v>
          </cell>
        </row>
        <row r="29">
          <cell r="C29" t="str">
            <v>公共配套及物业（住宅）</v>
          </cell>
          <cell r="E29">
            <v>0</v>
          </cell>
        </row>
        <row r="30">
          <cell r="C30" t="str">
            <v>小计</v>
          </cell>
          <cell r="E30">
            <v>0</v>
          </cell>
        </row>
        <row r="31">
          <cell r="C31" t="str">
            <v>合计</v>
          </cell>
          <cell r="E31">
            <v>73062.25</v>
          </cell>
        </row>
        <row r="32">
          <cell r="E32">
            <v>0</v>
          </cell>
        </row>
      </sheetData>
      <sheetData sheetId="15">
        <row r="2">
          <cell r="B2">
            <v>43252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efreshError="1"/>
      <sheetData sheetId="22">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临内部道路</v>
          </cell>
        </row>
        <row r="90">
          <cell r="B90" t="str">
            <v>人流量</v>
          </cell>
          <cell r="C90" t="str">
            <v>大</v>
          </cell>
          <cell r="D90" t="str">
            <v>较大</v>
          </cell>
          <cell r="E90" t="str">
            <v>一般</v>
          </cell>
          <cell r="F90" t="str">
            <v>较差</v>
          </cell>
          <cell r="G90" t="str">
            <v>差</v>
          </cell>
        </row>
        <row r="92">
          <cell r="B92" t="str">
            <v>楼层</v>
          </cell>
          <cell r="C92" t="str">
            <v>1层</v>
          </cell>
          <cell r="D92" t="str">
            <v>2层</v>
          </cell>
          <cell r="E92" t="str">
            <v>3层</v>
          </cell>
          <cell r="F92" t="str">
            <v>负1层</v>
          </cell>
        </row>
        <row r="100">
          <cell r="B100" t="str">
            <v>商业类型</v>
          </cell>
          <cell r="C100" t="str">
            <v>大型商业综合体</v>
          </cell>
          <cell r="D100" t="str">
            <v>独栋商业</v>
          </cell>
          <cell r="E100" t="str">
            <v>商业街商铺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cell r="E116" t="str">
            <v>超低</v>
          </cell>
        </row>
        <row r="120">
          <cell r="B120" t="str">
            <v>进深比</v>
          </cell>
        </row>
        <row r="122">
          <cell r="B122" t="str">
            <v>内部装修</v>
          </cell>
          <cell r="C122" t="str">
            <v>精装</v>
          </cell>
          <cell r="D122" t="str">
            <v>普装</v>
          </cell>
          <cell r="E122" t="str">
            <v>简装</v>
          </cell>
          <cell r="F122" t="str">
            <v>毛坯</v>
          </cell>
        </row>
      </sheetData>
      <sheetData sheetId="29" refreshError="1"/>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收益法商业"/>
      <sheetName val="成本法"/>
      <sheetName val="成本法 (元)"/>
      <sheetName val="基准地价修正办公"/>
      <sheetName val="基准地价修正商业"/>
      <sheetName val="修正"/>
      <sheetName val="假设开发法"/>
      <sheetName val="基准地价修正 (2)"/>
      <sheetName val="收益法 (元)"/>
      <sheetName val="收益法（汇总）"/>
      <sheetName val="酒店收入计算"/>
      <sheetName val="收益法办公"/>
      <sheetName val="比较法-办公 (租金)"/>
      <sheetName val="比较法-商业"/>
      <sheetName val="比较法-办公"/>
      <sheetName val="比较法-工业"/>
      <sheetName val="比较法-联排"/>
      <sheetName val="收益法-联排"/>
      <sheetName val="比较法-车位"/>
      <sheetName val="收益法-车库"/>
      <sheetName val="收益法仓储"/>
      <sheetName val="比较法-仓储"/>
      <sheetName val="土地比较法-住宅、综合"/>
      <sheetName val="土地比较法-工业"/>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收益法仓储</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row>
        <row r="20">
          <cell r="C20" t="str">
            <v>商业</v>
          </cell>
        </row>
        <row r="21">
          <cell r="C21" t="str">
            <v>地下仓储</v>
          </cell>
        </row>
        <row r="22">
          <cell r="C22" t="str">
            <v>地下商业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19" refreshError="1"/>
      <sheetData sheetId="20" refreshError="1"/>
      <sheetData sheetId="21" refreshError="1"/>
      <sheetData sheetId="22" refreshError="1"/>
      <sheetData sheetId="23" refreshError="1"/>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大型商业综合体</v>
          </cell>
          <cell r="D100" t="str">
            <v>独栋商业</v>
          </cell>
          <cell r="E100" t="str">
            <v>临街商铺</v>
          </cell>
          <cell r="F100" t="str">
            <v>写字楼底商</v>
          </cell>
          <cell r="G100" t="str">
            <v>住宅底商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row>
        <row r="122">
          <cell r="B122" t="str">
            <v>内部装修</v>
          </cell>
          <cell r="C122" t="str">
            <v>精装</v>
          </cell>
          <cell r="D122" t="str">
            <v>普装</v>
          </cell>
          <cell r="E122" t="str">
            <v>简装</v>
          </cell>
          <cell r="F122" t="str">
            <v>毛坯</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efreshError="1"/>
      <sheetData sheetId="36" refreshError="1"/>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efreshError="1"/>
      <sheetData sheetId="39" refreshError="1"/>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efreshError="1"/>
      <sheetData sheetId="44" refreshError="1"/>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北京市出让国有建设用地使用权及在建建筑物房地产抵押价值预评估</v>
      </c>
    </row>
    <row r="3" spans="1:2" s="1593" customFormat="1">
      <c r="A3" s="1591" t="s">
        <v>1221</v>
      </c>
      <c r="B3" s="1592">
        <f>'预评函-封皮'!B40</f>
        <v>0</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受贵公司委托，我公司对北京市出让国有建设用地使用权及在建建筑物房地产抵押价值进行了预评估。</v>
      </c>
    </row>
    <row r="7" spans="1:2" s="1593" customFormat="1">
      <c r="A7" s="1591" t="s">
        <v>1264</v>
      </c>
      <c r="B7" s="1592" t="str">
        <f>'预评函-1'!A7</f>
        <v>估价对象为北京市出让国有建设用地使用权及在建建筑物房地产，为所有。根据《国有土地使用证》[]，估价对象（分摊）出让国有建设用地使用权面积为14769.13平方米，建筑面积为79815.24平方米。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出让国有建设用地使用权及在建建筑物房地产,属开发建设的综合项目（商业、办公），该项目尚在开发建设中。根据《国有土地使用证》[]，估价对象（分摊）出让国有建设用地使用权面积为14769.13平方米，规划建筑面积为79815.24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2018年6月22日（评估专业人员实地查勘之日）</v>
      </c>
    </row>
    <row r="13" spans="1:2" s="1593" customFormat="1">
      <c r="A13" s="1591" t="s">
        <v>1227</v>
      </c>
      <c r="B13" s="1592" t="str">
        <f>'预评函-1'!A18</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218371</v>
      </c>
    </row>
    <row r="21" spans="1:2" s="1593" customFormat="1">
      <c r="A21" s="1591" t="s">
        <v>1235</v>
      </c>
      <c r="B21" s="1592">
        <f ca="1">'预评函-2'!D7</f>
        <v>27360</v>
      </c>
    </row>
    <row r="22" spans="1:2" s="1593" customFormat="1">
      <c r="A22" s="1591" t="s">
        <v>1236</v>
      </c>
      <c r="B22" s="1592" t="str">
        <f ca="1">'预评函-2'!D6</f>
        <v>贰拾壹亿捌仟叁佰柒拾壹万元整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218371</v>
      </c>
    </row>
    <row r="31" spans="1:2" s="1593" customFormat="1">
      <c r="A31" s="1591" t="s">
        <v>1274</v>
      </c>
      <c r="B31" s="1592">
        <f ca="1">'预评函-2'!D15</f>
        <v>27360</v>
      </c>
    </row>
    <row r="32" spans="1:2" s="1593" customFormat="1">
      <c r="A32" s="1591" t="s">
        <v>1241</v>
      </c>
      <c r="B32" s="1592" t="str">
        <f ca="1">'预评函-2'!D14</f>
        <v>贰拾壹亿捌仟叁佰柒拾壹万元整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北京市出让国有建设用地使用权及在建建筑物房地产</v>
      </c>
    </row>
    <row r="42" spans="1:2" s="1593" customFormat="1">
      <c r="A42" s="1591" t="s">
        <v>1288</v>
      </c>
      <c r="B42" s="1592" t="str">
        <f>'预评函-3'!B2</f>
        <v>建筑面积</v>
      </c>
    </row>
    <row r="43" spans="1:2" s="1593" customFormat="1">
      <c r="A43" s="1591" t="s">
        <v>1289</v>
      </c>
      <c r="B43" s="1592">
        <f>'预评函-3'!B4</f>
        <v>79815.240000000005</v>
      </c>
    </row>
    <row r="44" spans="1:2" s="1593" customFormat="1">
      <c r="A44" s="1591" t="s">
        <v>1273</v>
      </c>
      <c r="B44" s="1592" t="str">
        <f>'预评函-3'!C2</f>
        <v>(分摊)土地面积</v>
      </c>
    </row>
    <row r="45" spans="1:2" s="1593" customFormat="1">
      <c r="A45" s="1591" t="s">
        <v>1245</v>
      </c>
      <c r="B45" s="1592">
        <f>'预评函-3'!C4</f>
        <v>14769.13</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7" t="s">
        <v>3072</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3073</v>
      </c>
      <c r="C17" s="2015"/>
    </row>
    <row r="18" spans="1:3">
      <c r="A18" s="2014" t="s">
        <v>1766</v>
      </c>
      <c r="B18" s="2014" t="s">
        <v>3075</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0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2" t="s">
        <v>864</v>
      </c>
      <c r="C54" s="2019" t="s">
        <v>1281</v>
      </c>
    </row>
    <row r="55" spans="1:4">
      <c r="A55" s="3006"/>
      <c r="B55" s="2022" t="s">
        <v>865</v>
      </c>
      <c r="C55" s="2019" t="s">
        <v>1282</v>
      </c>
    </row>
    <row r="56" spans="1:4">
      <c r="A56" s="3006"/>
      <c r="B56" s="2022" t="s">
        <v>866</v>
      </c>
      <c r="C56" s="2019" t="s">
        <v>1286</v>
      </c>
    </row>
    <row r="57" spans="1:4">
      <c r="A57" s="300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1775</v>
      </c>
      <c r="B1" s="300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8"/>
      <c r="D1" s="3008"/>
      <c r="E1" s="3008"/>
      <c r="F1" s="3008"/>
      <c r="G1" s="3008"/>
      <c r="H1" s="3008"/>
      <c r="I1" s="300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1776</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1777</v>
      </c>
      <c r="B3" s="2036">
        <v>43273</v>
      </c>
      <c r="C3" s="2037" t="s">
        <v>1778</v>
      </c>
      <c r="D3" s="2036">
        <v>43273</v>
      </c>
      <c r="E3" s="2026"/>
      <c r="F3" s="2026"/>
      <c r="G3" s="2026"/>
      <c r="H3" s="2026"/>
      <c r="I3" s="2026"/>
      <c r="J3" s="2026"/>
      <c r="K3" s="2027"/>
      <c r="L3" s="2028"/>
      <c r="M3" s="2028"/>
      <c r="N3" s="2029"/>
      <c r="O3" s="2030"/>
      <c r="P3" s="2029"/>
      <c r="Q3" s="2029"/>
      <c r="R3" s="2029"/>
      <c r="S3" s="2031"/>
    </row>
    <row r="4" spans="1:19" ht="18" customHeight="1" thickBot="1">
      <c r="A4" s="2038" t="s">
        <v>1779</v>
      </c>
      <c r="B4" s="2039" t="s">
        <v>3048</v>
      </c>
      <c r="C4" s="1037">
        <f ca="1">SUMIF(注册房地产估价师,B4,估价师及机构信息!B3:B24)</f>
        <v>1120140022</v>
      </c>
      <c r="D4" s="2039" t="s">
        <v>3049</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1781</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1782</v>
      </c>
      <c r="B7" s="2053"/>
      <c r="C7" s="2050"/>
      <c r="D7" s="2051"/>
      <c r="E7" s="2034"/>
      <c r="F7" s="2042"/>
      <c r="G7" s="2042"/>
      <c r="H7" s="2042"/>
      <c r="I7" s="2042"/>
      <c r="J7" s="2042"/>
      <c r="K7" s="2054"/>
      <c r="L7" s="2028"/>
      <c r="M7" s="2028"/>
      <c r="N7" s="2029"/>
      <c r="O7" s="2030"/>
      <c r="P7" s="2029"/>
      <c r="Q7" s="2029"/>
      <c r="R7" s="2029"/>
    </row>
    <row r="8" spans="1:19" ht="18" customHeight="1">
      <c r="A8" s="2048" t="s">
        <v>1783</v>
      </c>
      <c r="B8" s="2055" t="s">
        <v>3050</v>
      </c>
      <c r="C8" s="2056"/>
      <c r="D8" s="3010" t="s">
        <v>1784</v>
      </c>
      <c r="E8" s="2057"/>
      <c r="F8" s="2058"/>
      <c r="G8" s="2026"/>
      <c r="H8" s="2026"/>
      <c r="I8" s="2026"/>
      <c r="J8" s="2042"/>
      <c r="K8" s="2043"/>
      <c r="L8" s="2028"/>
      <c r="M8" s="2028"/>
      <c r="N8" s="2029"/>
      <c r="O8" s="2030"/>
      <c r="P8" s="2029"/>
      <c r="Q8" s="2029"/>
      <c r="R8" s="2029"/>
    </row>
    <row r="9" spans="1:19" ht="18" customHeight="1" thickBot="1">
      <c r="A9" s="2040" t="s">
        <v>1785</v>
      </c>
      <c r="B9" s="2059" t="s">
        <v>3051</v>
      </c>
      <c r="C9" s="2060"/>
      <c r="D9" s="3011"/>
      <c r="E9" s="2059"/>
      <c r="F9" s="2061"/>
      <c r="G9" s="2062"/>
      <c r="H9" s="2062"/>
      <c r="I9" s="2062"/>
      <c r="J9" s="2042"/>
      <c r="K9" s="2054"/>
      <c r="L9" s="2028"/>
      <c r="M9" s="2028"/>
      <c r="N9" s="2029"/>
      <c r="O9" s="2030"/>
      <c r="P9" s="2029"/>
      <c r="Q9" s="2029"/>
      <c r="R9" s="2029"/>
    </row>
    <row r="10" spans="1:19" ht="18" customHeight="1" thickTop="1">
      <c r="A10" s="2063" t="s">
        <v>1786</v>
      </c>
      <c r="B10" s="2064" t="s">
        <v>3052</v>
      </c>
      <c r="C10" s="2065"/>
      <c r="D10" s="2047"/>
      <c r="E10" s="2066" t="s">
        <v>1787</v>
      </c>
      <c r="F10" s="2067"/>
      <c r="G10" s="2068"/>
      <c r="H10" s="2069"/>
      <c r="I10" s="2047"/>
      <c r="J10" s="2042"/>
      <c r="K10" s="2054"/>
      <c r="L10" s="2028"/>
      <c r="M10" s="2028"/>
      <c r="N10" s="2029"/>
      <c r="O10" s="2030"/>
      <c r="P10" s="2029"/>
      <c r="Q10" s="2029"/>
      <c r="R10" s="2029"/>
    </row>
    <row r="11" spans="1:19" ht="18" customHeight="1">
      <c r="A11" s="2070" t="s">
        <v>1788</v>
      </c>
      <c r="B11" s="2071" t="s">
        <v>3053</v>
      </c>
      <c r="C11" s="2072"/>
      <c r="D11" s="2073"/>
      <c r="E11" s="2042"/>
      <c r="F11" s="2042"/>
      <c r="G11" s="2042"/>
      <c r="H11" s="2042"/>
      <c r="I11" s="2042"/>
      <c r="J11" s="2042"/>
      <c r="K11" s="2054"/>
      <c r="L11" s="2028"/>
      <c r="M11" s="2028"/>
      <c r="N11" s="2029"/>
      <c r="O11" s="2030"/>
      <c r="P11" s="2029"/>
      <c r="Q11" s="2029"/>
      <c r="R11" s="2029"/>
    </row>
    <row r="12" spans="1:19" ht="18" customHeight="1">
      <c r="A12" s="2074" t="s">
        <v>1789</v>
      </c>
      <c r="B12" s="2071" t="s">
        <v>3054</v>
      </c>
      <c r="C12" s="2075" t="s">
        <v>1790</v>
      </c>
      <c r="D12" s="2076" t="s">
        <v>1791</v>
      </c>
      <c r="E12" s="2076" t="s">
        <v>1792</v>
      </c>
      <c r="F12" s="2076" t="s">
        <v>1793</v>
      </c>
      <c r="G12" s="2076" t="s">
        <v>1794</v>
      </c>
      <c r="H12" s="2076" t="s">
        <v>1795</v>
      </c>
      <c r="I12" s="2076" t="s">
        <v>1796</v>
      </c>
      <c r="J12" s="2042"/>
      <c r="K12" s="2054"/>
      <c r="L12" s="2028"/>
      <c r="M12" s="2028"/>
      <c r="N12" s="2029"/>
      <c r="O12" s="2030"/>
      <c r="P12" s="2029"/>
      <c r="Q12" s="2029"/>
      <c r="R12" s="2029"/>
    </row>
    <row r="13" spans="1:19" ht="18" customHeight="1">
      <c r="A13" s="2077"/>
      <c r="B13" s="2078"/>
      <c r="C13" s="2079" t="s">
        <v>1797</v>
      </c>
      <c r="D13" s="2080"/>
      <c r="E13" s="2080">
        <v>54595</v>
      </c>
      <c r="F13" s="2080">
        <v>58247</v>
      </c>
      <c r="G13" s="2080"/>
      <c r="H13" s="2080">
        <v>58247</v>
      </c>
      <c r="I13" s="1047"/>
      <c r="J13" s="2042"/>
      <c r="K13" s="2054"/>
      <c r="L13" s="2028"/>
      <c r="M13" s="2028"/>
      <c r="N13" s="2029"/>
      <c r="O13" s="2030"/>
      <c r="P13" s="2029"/>
      <c r="Q13" s="2029"/>
      <c r="R13" s="2029"/>
    </row>
    <row r="14" spans="1:19" ht="18" customHeight="1">
      <c r="A14" s="2077"/>
      <c r="B14" s="2078"/>
      <c r="C14" s="2079" t="s">
        <v>1798</v>
      </c>
      <c r="D14" s="1050"/>
      <c r="E14" s="1050">
        <v>40</v>
      </c>
      <c r="F14" s="1050">
        <v>50</v>
      </c>
      <c r="G14" s="1050"/>
      <c r="H14" s="1050">
        <v>50</v>
      </c>
      <c r="I14" s="1050"/>
      <c r="J14" s="2042"/>
      <c r="K14" s="2081"/>
      <c r="L14" s="2028"/>
      <c r="M14" s="2028"/>
      <c r="N14" s="2029"/>
      <c r="O14" s="2030"/>
      <c r="P14" s="2029"/>
      <c r="Q14" s="2029"/>
      <c r="R14" s="2029"/>
    </row>
    <row r="15" spans="1:19" ht="18" customHeight="1">
      <c r="A15" s="2063"/>
      <c r="B15" s="2082"/>
      <c r="C15" s="2079" t="s">
        <v>1799</v>
      </c>
      <c r="D15" s="1049" t="str">
        <f>IF(B12="出让",IF(D13="","",ROUNDDOWN(MIN((D13-$D$3)/365,D14),2)),D14)</f>
        <v/>
      </c>
      <c r="E15" s="1049">
        <f>IF(B12="出让",IF(E13="","",ROUNDDOWN(MIN((E13-$D$3)/365,E14),2)),E14)</f>
        <v>31.01</v>
      </c>
      <c r="F15" s="1049">
        <f>IF(B12="出让",IF(F13="","",ROUNDDOWN(MIN((F13-$D$3)/365,F14),2)),F14)</f>
        <v>41.02</v>
      </c>
      <c r="G15" s="1049" t="str">
        <f>IF(B12="出让",IF(G13="","",ROUNDDOWN(MIN((G13-$D$3)/365,G14),2)),G14)</f>
        <v/>
      </c>
      <c r="H15" s="1049">
        <f>IF(B12="出让",IF(H13="","",ROUNDDOWN(MIN((H13-$D$3)/365,H14),2)),H14)</f>
        <v>41.02</v>
      </c>
      <c r="I15" s="1049" t="str">
        <f>IF(B12="出让",IF(I13="","",ROUNDDOWN(MIN((I13-$D$3)/365,I14),2)),I14)</f>
        <v/>
      </c>
      <c r="J15" s="2042"/>
      <c r="K15" s="2083"/>
      <c r="L15" s="2084"/>
      <c r="M15" s="2084"/>
      <c r="N15" s="2085"/>
      <c r="O15" s="2084"/>
      <c r="P15" s="2085"/>
      <c r="Q15" s="2029"/>
      <c r="R15" s="2029"/>
    </row>
    <row r="16" spans="1:19" ht="30.75" customHeight="1">
      <c r="A16" s="2066" t="s">
        <v>1800</v>
      </c>
      <c r="B16" s="3017"/>
      <c r="C16" s="3018"/>
      <c r="D16" s="3019"/>
      <c r="E16" s="2086" t="s">
        <v>1801</v>
      </c>
      <c r="F16" s="3020"/>
      <c r="G16" s="3021"/>
      <c r="H16" s="3021"/>
      <c r="I16" s="3022"/>
      <c r="J16" s="2029"/>
      <c r="K16" s="2083"/>
      <c r="L16" s="2084"/>
      <c r="M16" s="2084"/>
      <c r="N16" s="2085"/>
      <c r="O16" s="2084"/>
      <c r="P16" s="2085"/>
      <c r="Q16" s="2029"/>
      <c r="R16" s="2029"/>
    </row>
    <row r="17" spans="1:22" ht="18" customHeight="1">
      <c r="A17" s="2087" t="s">
        <v>1802</v>
      </c>
      <c r="B17" s="2035" t="s">
        <v>1803</v>
      </c>
      <c r="C17" s="1054">
        <f>'数据-汇总表'!E3</f>
        <v>79815.240000000005</v>
      </c>
      <c r="D17" s="2088" t="s">
        <v>1804</v>
      </c>
      <c r="E17" s="3023" t="s">
        <v>1805</v>
      </c>
      <c r="F17" s="3024"/>
      <c r="G17" s="3024"/>
      <c r="H17" s="3024"/>
      <c r="I17" s="3025"/>
      <c r="J17" s="2029"/>
      <c r="K17" s="2089"/>
      <c r="L17" s="2084"/>
      <c r="M17" s="2084"/>
      <c r="N17" s="2085"/>
      <c r="O17" s="2084"/>
      <c r="P17" s="2085"/>
      <c r="Q17" s="2029"/>
      <c r="R17" s="2029"/>
      <c r="S17" s="2029"/>
      <c r="T17" s="2029"/>
      <c r="U17" s="2029"/>
      <c r="V17" s="2029"/>
    </row>
    <row r="18" spans="1:22" ht="36" customHeight="1" thickBot="1">
      <c r="A18" s="2090" t="s">
        <v>1806</v>
      </c>
      <c r="B18" s="2038" t="s">
        <v>1807</v>
      </c>
      <c r="C18" s="1444">
        <f>'数据-汇总表'!D3</f>
        <v>14769.13</v>
      </c>
      <c r="D18" s="2091" t="s">
        <v>1804</v>
      </c>
      <c r="E18" s="3026" t="s">
        <v>1808</v>
      </c>
      <c r="F18" s="3027"/>
      <c r="G18" s="3027"/>
      <c r="H18" s="3027"/>
      <c r="I18" s="3028"/>
      <c r="J18" s="2029"/>
      <c r="K18" s="2089"/>
      <c r="L18" s="2084"/>
      <c r="M18" s="2084"/>
      <c r="N18" s="2085"/>
      <c r="O18" s="2084"/>
      <c r="P18" s="2085"/>
      <c r="Q18" s="2029"/>
      <c r="R18" s="2029"/>
      <c r="S18" s="2029"/>
      <c r="T18" s="2029"/>
      <c r="U18" s="2029"/>
      <c r="V18" s="2029"/>
    </row>
    <row r="19" spans="1:22" ht="37.5" customHeight="1" thickTop="1" thickBot="1">
      <c r="A19" s="373" t="s">
        <v>1809</v>
      </c>
      <c r="B19" s="352" t="s">
        <v>1810</v>
      </c>
      <c r="C19" s="2092"/>
      <c r="D19" s="2093" t="s">
        <v>1811</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1812</v>
      </c>
      <c r="B20" s="3013" t="s">
        <v>1813</v>
      </c>
      <c r="C20" s="3014"/>
      <c r="D20" s="3015" t="s">
        <v>1814</v>
      </c>
      <c r="E20" s="3016"/>
      <c r="F20" s="2098" t="s">
        <v>1815</v>
      </c>
      <c r="G20" s="2042"/>
      <c r="H20" s="2042"/>
      <c r="I20" s="2042"/>
      <c r="J20" s="2042"/>
      <c r="K20" s="3012"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1817</v>
      </c>
      <c r="C21" s="2100" t="s">
        <v>1818</v>
      </c>
      <c r="D21" s="2101" t="s">
        <v>1819</v>
      </c>
      <c r="E21" s="2102" t="s">
        <v>1818</v>
      </c>
      <c r="F21" s="2103"/>
      <c r="G21" s="2042"/>
      <c r="H21" s="2042"/>
      <c r="I21" s="2042"/>
      <c r="J21" s="2042"/>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1820</v>
      </c>
      <c r="C22" s="2100" t="s">
        <v>1821</v>
      </c>
      <c r="D22" s="2026"/>
      <c r="E22" s="2026"/>
      <c r="F22" s="2105"/>
      <c r="G22" s="2042"/>
      <c r="H22" s="2042"/>
      <c r="I22" s="2042"/>
      <c r="J22" s="2042"/>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1822</v>
      </c>
      <c r="B23" s="183" t="s">
        <v>1823</v>
      </c>
      <c r="C23" s="2107"/>
      <c r="D23" s="2108" t="s">
        <v>1823</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1824</v>
      </c>
      <c r="C24" s="2112"/>
      <c r="D24" s="2106" t="s">
        <v>1824</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1825</v>
      </c>
      <c r="C25" s="2112"/>
      <c r="D25" s="2106" t="s">
        <v>1825</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1826</v>
      </c>
      <c r="C26" s="2116"/>
      <c r="D26" s="2117" t="s">
        <v>1827</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30" t="s">
        <v>1828</v>
      </c>
      <c r="B27" s="2063" t="s">
        <v>1829</v>
      </c>
      <c r="C27" s="2120" t="s">
        <v>3402</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30"/>
      <c r="B28" s="2035" t="s">
        <v>1830</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30"/>
      <c r="B29" s="2035" t="s">
        <v>1831</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31"/>
      <c r="B30" s="2035" t="s">
        <v>1832</v>
      </c>
      <c r="C30" s="3032"/>
      <c r="D30" s="303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4" t="s">
        <v>1833</v>
      </c>
      <c r="B31" s="2127" t="s">
        <v>3056</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1834</v>
      </c>
      <c r="B34" s="2134" t="s">
        <v>3057</v>
      </c>
      <c r="C34" s="2134" t="s">
        <v>3058</v>
      </c>
      <c r="D34" s="2134" t="s">
        <v>3059</v>
      </c>
      <c r="E34" s="2134" t="s">
        <v>3060</v>
      </c>
      <c r="F34" s="2134" t="s">
        <v>3061</v>
      </c>
      <c r="G34" s="2134" t="s">
        <v>3062</v>
      </c>
      <c r="H34" s="2134" t="s">
        <v>3063</v>
      </c>
      <c r="I34" s="2042"/>
      <c r="J34" s="2042"/>
      <c r="K34" s="1795">
        <f>COUNTIF(B34:H34,"——")</f>
        <v>0</v>
      </c>
      <c r="L34" s="2075" t="s">
        <v>1835</v>
      </c>
      <c r="M34" s="2075" t="s">
        <v>1836</v>
      </c>
      <c r="N34" s="2075" t="s">
        <v>1837</v>
      </c>
      <c r="O34" s="2075" t="s">
        <v>1838</v>
      </c>
      <c r="P34" s="2075" t="s">
        <v>1839</v>
      </c>
      <c r="Q34" s="2075" t="s">
        <v>1840</v>
      </c>
      <c r="R34" s="2075" t="s">
        <v>1841</v>
      </c>
      <c r="S34" s="3029" t="s">
        <v>1842</v>
      </c>
      <c r="T34" s="2135" t="str">
        <f>NUMBERSTRING(7-K34,1)&amp;"通"</f>
        <v>七通</v>
      </c>
      <c r="U34" s="2029"/>
      <c r="V34" s="2029"/>
    </row>
    <row r="35" spans="1:22" ht="18" customHeight="1">
      <c r="A35" s="2136"/>
      <c r="B35" s="3036" t="s">
        <v>1843</v>
      </c>
      <c r="C35" s="3036"/>
      <c r="D35" s="3036"/>
      <c r="E35" s="3036"/>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2029"/>
      <c r="V35" s="2029"/>
    </row>
    <row r="36" spans="1:22" ht="18" customHeight="1">
      <c r="A36" s="2138"/>
      <c r="B36" s="2137" t="s">
        <v>1844</v>
      </c>
      <c r="C36" s="2137" t="s">
        <v>1845</v>
      </c>
      <c r="D36" s="2137" t="s">
        <v>1846</v>
      </c>
      <c r="E36" s="2137" t="s">
        <v>1847</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1848</v>
      </c>
      <c r="B37" s="2141" t="s">
        <v>56</v>
      </c>
      <c r="C37" s="2141" t="s">
        <v>56</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1849</v>
      </c>
      <c r="B38" s="2143" t="s">
        <v>3055</v>
      </c>
      <c r="C38" s="2143" t="s">
        <v>3055</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1851</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1852</v>
      </c>
      <c r="B42" s="1795" t="s">
        <v>1853</v>
      </c>
      <c r="C42" s="1795" t="s">
        <v>1854</v>
      </c>
      <c r="D42" s="1795" t="s">
        <v>1855</v>
      </c>
      <c r="E42" s="1795" t="s">
        <v>1856</v>
      </c>
      <c r="F42" s="1795" t="s">
        <v>1857</v>
      </c>
      <c r="G42" s="1795" t="s">
        <v>1858</v>
      </c>
      <c r="H42" s="1795" t="s">
        <v>1859</v>
      </c>
      <c r="I42" s="1795" t="s">
        <v>1860</v>
      </c>
      <c r="J42" s="2153" t="s">
        <v>1861</v>
      </c>
      <c r="K42" s="2076" t="s">
        <v>1862</v>
      </c>
      <c r="L42" s="2076" t="s">
        <v>1863</v>
      </c>
      <c r="M42" s="2076" t="s">
        <v>1864</v>
      </c>
      <c r="N42" s="1795" t="s">
        <v>1865</v>
      </c>
      <c r="O42" s="1795" t="s">
        <v>1866</v>
      </c>
      <c r="P42" s="1795" t="s">
        <v>1867</v>
      </c>
      <c r="Q42" s="2075" t="s">
        <v>1868</v>
      </c>
      <c r="R42" s="2075" t="s">
        <v>1869</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L17" sqref="AL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1875</v>
      </c>
      <c r="AZ2" s="1270"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14769.13</v>
      </c>
      <c r="B3" s="14">
        <f>IF(C3="否",G5-AT5,G5)</f>
        <v>79815.240000000005</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3"/>
      <c r="C5" s="1803"/>
      <c r="D5" s="1806"/>
      <c r="E5" s="16" t="s">
        <v>1</v>
      </c>
      <c r="F5" s="16">
        <f>SUM(F13:F587)</f>
        <v>0</v>
      </c>
      <c r="G5" s="16">
        <f>SUM(G13:G587)</f>
        <v>79815.240000000005</v>
      </c>
      <c r="H5" s="16">
        <f t="shared" ref="H5:AT5" si="0">SUM(H13:H656)</f>
        <v>73062.25</v>
      </c>
      <c r="I5" s="16">
        <f t="shared" si="0"/>
        <v>61545.99</v>
      </c>
      <c r="J5" s="16">
        <f t="shared" si="0"/>
        <v>0</v>
      </c>
      <c r="K5" s="16">
        <f t="shared" si="0"/>
        <v>5197.49</v>
      </c>
      <c r="L5" s="16">
        <f t="shared" si="0"/>
        <v>0</v>
      </c>
      <c r="M5" s="16">
        <f t="shared" si="0"/>
        <v>3921.88</v>
      </c>
      <c r="N5" s="16">
        <f t="shared" si="0"/>
        <v>0</v>
      </c>
      <c r="O5" s="16">
        <f t="shared" si="0"/>
        <v>2396.8900000000003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6752.99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4128.0599999999995</v>
      </c>
      <c r="AM5" s="16">
        <f t="shared" si="0"/>
        <v>0</v>
      </c>
      <c r="AN5" s="16">
        <f t="shared" si="0"/>
        <v>2624.9300000000003</v>
      </c>
      <c r="AO5" s="16">
        <f t="shared" si="0"/>
        <v>0</v>
      </c>
      <c r="AP5" s="16">
        <f t="shared" si="0"/>
        <v>0</v>
      </c>
      <c r="AQ5" s="16">
        <f t="shared" si="0"/>
        <v>0</v>
      </c>
      <c r="AR5" s="16">
        <f t="shared" si="0"/>
        <v>0</v>
      </c>
      <c r="AS5" s="16">
        <f t="shared" si="0"/>
        <v>0</v>
      </c>
      <c r="AT5" s="16">
        <f t="shared" si="0"/>
        <v>0</v>
      </c>
      <c r="AU5" s="1802"/>
      <c r="AV5" s="15" t="s">
        <v>1879</v>
      </c>
      <c r="AW5" s="1803"/>
      <c r="AX5" s="1803"/>
      <c r="AY5" s="17" t="s">
        <v>3</v>
      </c>
      <c r="AZ5" s="18">
        <f t="shared" ref="AZ5:BT5" si="1">SUM(AZ13:AZ656)</f>
        <v>79815.240000000005</v>
      </c>
      <c r="BA5" s="18">
        <f t="shared" si="1"/>
        <v>73062.25</v>
      </c>
      <c r="BB5" s="18">
        <f t="shared" si="1"/>
        <v>61545.99</v>
      </c>
      <c r="BC5" s="18">
        <f t="shared" si="1"/>
        <v>5197.49</v>
      </c>
      <c r="BD5" s="18">
        <f t="shared" si="1"/>
        <v>3921.88</v>
      </c>
      <c r="BE5" s="18">
        <f t="shared" si="1"/>
        <v>2396.8900000000003</v>
      </c>
      <c r="BF5" s="18">
        <f t="shared" si="1"/>
        <v>0</v>
      </c>
      <c r="BG5" s="18">
        <f t="shared" si="1"/>
        <v>0</v>
      </c>
      <c r="BH5" s="18">
        <f t="shared" si="1"/>
        <v>0</v>
      </c>
      <c r="BI5" s="18">
        <f t="shared" si="1"/>
        <v>0</v>
      </c>
      <c r="BJ5" s="18">
        <f t="shared" si="1"/>
        <v>0</v>
      </c>
      <c r="BK5" s="18">
        <f t="shared" si="1"/>
        <v>0</v>
      </c>
      <c r="BL5" s="18">
        <f t="shared" si="1"/>
        <v>6752.99</v>
      </c>
      <c r="BM5" s="18">
        <f t="shared" si="1"/>
        <v>0</v>
      </c>
      <c r="BN5" s="18">
        <f t="shared" si="1"/>
        <v>0</v>
      </c>
      <c r="BO5" s="18">
        <f t="shared" si="1"/>
        <v>0</v>
      </c>
      <c r="BP5" s="18">
        <f t="shared" si="1"/>
        <v>0</v>
      </c>
      <c r="BQ5" s="18">
        <f t="shared" si="1"/>
        <v>4128.0599999999995</v>
      </c>
      <c r="BR5" s="18">
        <f t="shared" si="1"/>
        <v>2624.9300000000003</v>
      </c>
      <c r="BS5" s="18">
        <f t="shared" si="1"/>
        <v>0</v>
      </c>
      <c r="BT5" s="19">
        <f t="shared" si="1"/>
        <v>0</v>
      </c>
    </row>
    <row r="6" spans="1:72" s="2178" customFormat="1" ht="12.75">
      <c r="A6" s="15" t="s">
        <v>1880</v>
      </c>
      <c r="B6" s="2175"/>
      <c r="C6" s="2175"/>
      <c r="D6" s="2176"/>
      <c r="E6" s="16">
        <f>H6+AC6+AT6</f>
        <v>14769.12</v>
      </c>
      <c r="F6" s="16" t="s">
        <v>1</v>
      </c>
      <c r="G6" s="16" t="s">
        <v>2</v>
      </c>
      <c r="H6" s="20">
        <f>SUMIF(I$12:AB$12,"总值",I6:AB6)</f>
        <v>13519.54</v>
      </c>
      <c r="I6" s="16">
        <f t="shared" ref="I6:AB6" si="2">ROUND($A$3*I5/$B$3,2)</f>
        <v>11388.56</v>
      </c>
      <c r="J6" s="16">
        <f t="shared" si="2"/>
        <v>0</v>
      </c>
      <c r="K6" s="16">
        <f t="shared" si="2"/>
        <v>961.75</v>
      </c>
      <c r="L6" s="16">
        <f t="shared" si="2"/>
        <v>0</v>
      </c>
      <c r="M6" s="16">
        <f t="shared" si="2"/>
        <v>725.71</v>
      </c>
      <c r="N6" s="16">
        <f t="shared" si="2"/>
        <v>0</v>
      </c>
      <c r="O6" s="16">
        <f t="shared" si="2"/>
        <v>443.52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1249.58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763.86</v>
      </c>
      <c r="AM6" s="16">
        <f t="shared" si="3"/>
        <v>0</v>
      </c>
      <c r="AN6" s="16">
        <f t="shared" si="3"/>
        <v>485.72</v>
      </c>
      <c r="AO6" s="16">
        <f t="shared" si="3"/>
        <v>0</v>
      </c>
      <c r="AP6" s="16">
        <f t="shared" si="3"/>
        <v>0</v>
      </c>
      <c r="AQ6" s="16">
        <f t="shared" si="3"/>
        <v>0</v>
      </c>
      <c r="AR6" s="16">
        <f t="shared" si="3"/>
        <v>0</v>
      </c>
      <c r="AS6" s="16">
        <f t="shared" si="3"/>
        <v>0</v>
      </c>
      <c r="AT6" s="20">
        <f>IF(C3="是",ROUND($A$3*AT5/$B$3,2),0)</f>
        <v>0</v>
      </c>
      <c r="AU6" s="2177"/>
      <c r="AV6" s="15" t="s">
        <v>1880</v>
      </c>
      <c r="AW6" s="2175"/>
      <c r="AX6" s="2175"/>
      <c r="AY6" s="21">
        <f>IF(AY3&gt;0,AY3,ROUND($A$3*AZ5/$B$3,2))</f>
        <v>14769.13</v>
      </c>
      <c r="AZ6" s="16" t="s">
        <v>3</v>
      </c>
      <c r="BA6" s="16">
        <f>ROUND($AY$6*BA5/$AZ$5,2)</f>
        <v>13519.55</v>
      </c>
      <c r="BB6" s="16">
        <f>ROUND($AY$6*BB5/$AZ$5,2)</f>
        <v>11388.56</v>
      </c>
      <c r="BC6" s="16">
        <f t="shared" ref="BC6:BH6" si="4">ROUND($AY$6*BC5/$AZ$5,2)</f>
        <v>961.75</v>
      </c>
      <c r="BD6" s="16">
        <f t="shared" si="4"/>
        <v>725.71</v>
      </c>
      <c r="BE6" s="16">
        <f t="shared" si="4"/>
        <v>443.52</v>
      </c>
      <c r="BF6" s="16">
        <f t="shared" si="4"/>
        <v>0</v>
      </c>
      <c r="BG6" s="16">
        <f t="shared" si="4"/>
        <v>0</v>
      </c>
      <c r="BH6" s="16">
        <f t="shared" si="4"/>
        <v>0</v>
      </c>
      <c r="BI6" s="16">
        <f t="shared" ref="BI6:BT6" si="5">ROUND($AY$6*BI5/$AZ$5,2)</f>
        <v>0</v>
      </c>
      <c r="BJ6" s="16">
        <f t="shared" si="5"/>
        <v>0</v>
      </c>
      <c r="BK6" s="16">
        <f t="shared" si="5"/>
        <v>0</v>
      </c>
      <c r="BL6" s="16">
        <f t="shared" si="5"/>
        <v>1249.58</v>
      </c>
      <c r="BM6" s="16">
        <f t="shared" si="5"/>
        <v>0</v>
      </c>
      <c r="BN6" s="16">
        <f t="shared" si="5"/>
        <v>0</v>
      </c>
      <c r="BO6" s="16">
        <f t="shared" si="5"/>
        <v>0</v>
      </c>
      <c r="BP6" s="16">
        <f t="shared" si="5"/>
        <v>0</v>
      </c>
      <c r="BQ6" s="16">
        <f t="shared" si="5"/>
        <v>763.86</v>
      </c>
      <c r="BR6" s="16">
        <f t="shared" si="5"/>
        <v>485.72</v>
      </c>
      <c r="BS6" s="16">
        <f t="shared" si="5"/>
        <v>0</v>
      </c>
      <c r="BT6" s="22">
        <f t="shared"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1888</v>
      </c>
      <c r="AV7" s="23" t="s">
        <v>1889</v>
      </c>
      <c r="AW7" s="2167" t="s">
        <v>1890</v>
      </c>
      <c r="AX7" s="23" t="s">
        <v>1883</v>
      </c>
      <c r="AY7" s="1803"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18"/>
      <c r="K8" s="1818"/>
      <c r="L8" s="1818"/>
      <c r="M8" s="1818"/>
      <c r="N8" s="1818"/>
      <c r="O8" s="1818"/>
      <c r="P8" s="1818"/>
      <c r="Q8" s="1818"/>
      <c r="R8" s="1818"/>
      <c r="S8" s="1818"/>
      <c r="T8" s="1818"/>
      <c r="U8" s="1818"/>
      <c r="V8" s="2187"/>
      <c r="W8" s="1818"/>
      <c r="X8" s="1818"/>
      <c r="Y8" s="1818"/>
      <c r="Z8" s="1818"/>
      <c r="AA8" s="2187"/>
      <c r="AB8" s="2188"/>
      <c r="AC8" s="981" t="s">
        <v>1894</v>
      </c>
      <c r="AD8" s="2189"/>
      <c r="AE8" s="2181"/>
      <c r="AF8" s="1818"/>
      <c r="AG8" s="1818"/>
      <c r="AH8" s="1818"/>
      <c r="AI8" s="1818"/>
      <c r="AJ8" s="1818"/>
      <c r="AK8" s="1818"/>
      <c r="AL8" s="1818"/>
      <c r="AM8" s="1818"/>
      <c r="AN8" s="1818"/>
      <c r="AO8" s="1818"/>
      <c r="AP8" s="1818"/>
      <c r="AQ8" s="1818"/>
      <c r="AR8" s="1818"/>
      <c r="AS8" s="1818"/>
      <c r="AT8" s="1292" t="s">
        <v>1895</v>
      </c>
      <c r="AU8" s="2183" t="s">
        <v>1896</v>
      </c>
      <c r="AV8" s="1292"/>
      <c r="AW8" s="2166"/>
      <c r="AX8" s="1292"/>
      <c r="AY8" s="2167"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1899</v>
      </c>
      <c r="I9" s="2192" t="s">
        <v>3068</v>
      </c>
      <c r="J9" s="981"/>
      <c r="K9" s="2192" t="s">
        <v>3068</v>
      </c>
      <c r="L9" s="981"/>
      <c r="M9" s="2192" t="s">
        <v>3069</v>
      </c>
      <c r="N9" s="981"/>
      <c r="O9" s="2192" t="s">
        <v>3069</v>
      </c>
      <c r="P9" s="981"/>
      <c r="Q9" s="2192"/>
      <c r="R9" s="981"/>
      <c r="S9" s="2192"/>
      <c r="T9" s="981"/>
      <c r="U9" s="2192"/>
      <c r="V9" s="981"/>
      <c r="W9" s="2192"/>
      <c r="X9" s="2193"/>
      <c r="Y9" s="2192"/>
      <c r="Z9" s="981"/>
      <c r="AA9" s="2192"/>
      <c r="AB9" s="981"/>
      <c r="AC9" s="2184"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4"/>
      <c r="AT9" s="2183"/>
      <c r="AU9" s="2183" t="s">
        <v>1902</v>
      </c>
      <c r="AV9" s="1292"/>
      <c r="AW9" s="2166"/>
      <c r="AX9" s="1292"/>
      <c r="AY9" s="28"/>
      <c r="AZ9" s="28" t="s">
        <v>1892</v>
      </c>
      <c r="BA9" s="2195" t="s">
        <v>1903</v>
      </c>
      <c r="BB9" s="2196"/>
      <c r="BC9" s="1338"/>
      <c r="BD9" s="1338"/>
      <c r="BE9" s="1338"/>
      <c r="BF9" s="1338"/>
      <c r="BG9" s="1338"/>
      <c r="BH9" s="1338"/>
      <c r="BI9" s="1338"/>
      <c r="BJ9" s="1338"/>
      <c r="BK9" s="2197"/>
      <c r="BL9" s="15" t="s">
        <v>1904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1377</v>
      </c>
      <c r="L10" s="981"/>
      <c r="M10" s="2198" t="s">
        <v>1377</v>
      </c>
      <c r="N10" s="981"/>
      <c r="O10" s="2198" t="s">
        <v>3070</v>
      </c>
      <c r="P10" s="981"/>
      <c r="Q10" s="2198"/>
      <c r="R10" s="981"/>
      <c r="S10" s="2198"/>
      <c r="T10" s="981"/>
      <c r="U10" s="2198"/>
      <c r="V10" s="981"/>
      <c r="W10" s="2198"/>
      <c r="X10" s="981"/>
      <c r="Y10" s="2198"/>
      <c r="Z10" s="981"/>
      <c r="AA10" s="2198"/>
      <c r="AB10" s="981"/>
      <c r="AC10" s="1292"/>
      <c r="AD10" s="15" t="s">
        <v>1905</v>
      </c>
      <c r="AE10" s="2199"/>
      <c r="AF10" s="15" t="s">
        <v>1905</v>
      </c>
      <c r="AG10" s="2199"/>
      <c r="AH10" s="15" t="s">
        <v>1906</v>
      </c>
      <c r="AI10" s="2199"/>
      <c r="AJ10" s="15" t="s">
        <v>1906</v>
      </c>
      <c r="AK10" s="2199"/>
      <c r="AL10" s="15" t="s">
        <v>1907</v>
      </c>
      <c r="AM10" s="1298"/>
      <c r="AN10" s="15" t="s">
        <v>1907</v>
      </c>
      <c r="AO10" s="1298"/>
      <c r="AP10" s="15" t="s">
        <v>1908</v>
      </c>
      <c r="AQ10" s="1298"/>
      <c r="AR10" s="15" t="s">
        <v>1908</v>
      </c>
      <c r="AS10" s="1298"/>
      <c r="AT10" s="2183"/>
      <c r="AU10" s="2183"/>
      <c r="AV10" s="1292"/>
      <c r="AW10" s="2166"/>
      <c r="AX10" s="1292"/>
      <c r="AY10" s="28"/>
      <c r="AZ10" s="28"/>
      <c r="BA10" s="2200" t="s">
        <v>1899</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1909</v>
      </c>
      <c r="AE11" s="1819"/>
      <c r="AF11" s="2205" t="s">
        <v>1909</v>
      </c>
      <c r="AG11" s="1819"/>
      <c r="AH11" s="2205" t="s">
        <v>1910</v>
      </c>
      <c r="AI11" s="2206"/>
      <c r="AJ11" s="2205" t="s">
        <v>1910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仓储</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10"/>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3288" t="s">
        <v>3064</v>
      </c>
      <c r="D13" s="2214" t="s">
        <v>3067</v>
      </c>
      <c r="E13" s="16">
        <f>IF($C$3="是",ROUND($A$3*G13/$B$3,2),ROUND($A$3*(G13-AT13)/$B$3,2))</f>
        <v>11388.56</v>
      </c>
      <c r="F13" s="32"/>
      <c r="G13" s="33">
        <f>H13+AC13+AT13</f>
        <v>61545.99</v>
      </c>
      <c r="H13" s="20">
        <f>SUMIF(I$12:AB$12,"总值",I13:AB13)</f>
        <v>61545.99</v>
      </c>
      <c r="I13" s="2215">
        <f>[1]面积表及商业修正表!K14</f>
        <v>61545.99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v>
      </c>
      <c r="AY13" s="1806">
        <f>ROUND($AY$6*AZ13/$AZ$5,2)</f>
        <v>11388.56</v>
      </c>
      <c r="AZ13" s="16">
        <f>BA13+BL13</f>
        <v>61545.99</v>
      </c>
      <c r="BA13" s="16">
        <f>SUM(BB13:BK13)</f>
        <v>61545.99</v>
      </c>
      <c r="BB13" s="16">
        <f>IF($D13="是",I13-J13,0)</f>
        <v>61545.99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3289" t="s">
        <v>3065</v>
      </c>
      <c r="D14" s="2214" t="s">
        <v>3067</v>
      </c>
      <c r="E14" s="16">
        <f>IF($C$3="是",ROUND($A$3*G14/$B$3,2),ROUND($A$3*(G14-AT14)/$B$3,2))</f>
        <v>1687.46</v>
      </c>
      <c r="F14" s="32"/>
      <c r="G14" s="33">
        <f>H14+AC14+AT14</f>
        <v>9119.369999999999</v>
      </c>
      <c r="H14" s="20">
        <f>SUMIF(I$12:AB$12,"总值",I14:AB14)</f>
        <v>9119.369999999999</v>
      </c>
      <c r="I14" s="2215"/>
      <c r="J14" s="2215"/>
      <c r="K14" s="2215">
        <f>[1]面积表及商业修正表!I12+[1]面积表及商业修正表!I13</f>
        <v>5197.49</v>
      </c>
      <c r="L14" s="2215"/>
      <c r="M14" s="2215">
        <f>[1]面积表及商业修正表!J13</f>
        <v>3921.88</v>
      </c>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商业</v>
      </c>
      <c r="AY14" s="1806">
        <f>ROUND($AY$6*AZ14/$AZ$5,2)</f>
        <v>1687.46</v>
      </c>
      <c r="AZ14" s="16">
        <f>BA14+BL14</f>
        <v>9119.369999999999</v>
      </c>
      <c r="BA14" s="16">
        <f>SUM(BB14:BK14)</f>
        <v>9119.369999999999</v>
      </c>
      <c r="BB14" s="16">
        <f>IF($D14="是",I14-J14,0)</f>
        <v>0</v>
      </c>
      <c r="BC14" s="16">
        <f>IF($D14="是",K14-L14,0)</f>
        <v>5197.49</v>
      </c>
      <c r="BD14" s="16">
        <f>IF($D14="是",M14-N14,0)</f>
        <v>3921.88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3289" t="s">
        <v>3066</v>
      </c>
      <c r="D15" s="2214" t="s">
        <v>3067</v>
      </c>
      <c r="E15" s="16">
        <f>IF($C$3="是",ROUND($A$3*G15/$B$3,2),ROUND($A$3*(G15-AT15)/$B$3,2))</f>
        <v>443.52</v>
      </c>
      <c r="F15" s="32"/>
      <c r="G15" s="33">
        <f>H15+AC15+AT15</f>
        <v>2396.8900000000003</v>
      </c>
      <c r="H15" s="20">
        <f>SUMIF(I$12:AB$12,"总值",I15:AB15)</f>
        <v>2396.8900000000003</v>
      </c>
      <c r="I15" s="2215"/>
      <c r="J15" s="2215"/>
      <c r="K15" s="2215"/>
      <c r="L15" s="2215"/>
      <c r="M15" s="2215"/>
      <c r="N15" s="2215"/>
      <c r="O15" s="2215">
        <f>[1]面积表及商业修正表!J15</f>
        <v>2396.8900000000003</v>
      </c>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仓储</v>
      </c>
      <c r="AY15" s="1806">
        <f>ROUND($AY$6*AZ15/$AZ$5,2)</f>
        <v>443.52</v>
      </c>
      <c r="AZ15" s="16">
        <f>BA15+BL15</f>
        <v>2396.8900000000003</v>
      </c>
      <c r="BA15" s="16">
        <f>SUM(BB15:BK15)</f>
        <v>2396.8900000000003</v>
      </c>
      <c r="BB15" s="16">
        <f>IF($D15="是",I15-J15,0)</f>
        <v>0</v>
      </c>
      <c r="BC15" s="16">
        <f>IF($D15="是",K15-L15,0)</f>
        <v>0</v>
      </c>
      <c r="BD15" s="16">
        <f>IF($D15="是",M15-N15,0)</f>
        <v>0</v>
      </c>
      <c r="BE15" s="16">
        <f>IF($D15="是",O15-P15,0)</f>
        <v>2396.8900000000003</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3289" t="s">
        <v>3698</v>
      </c>
      <c r="D16" s="2214" t="s">
        <v>3067</v>
      </c>
      <c r="E16" s="16">
        <f>IF($C$3="是",ROUND($A$3*G16/$B$3,2),ROUND($A$3*(G16-AT16)/$B$3,2))</f>
        <v>1249.58</v>
      </c>
      <c r="F16" s="32"/>
      <c r="G16" s="33">
        <f>H16+AC16+AT16</f>
        <v>6752.99</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6752.99</v>
      </c>
      <c r="AD16" s="2216"/>
      <c r="AE16" s="2216"/>
      <c r="AF16" s="2216"/>
      <c r="AG16" s="2216"/>
      <c r="AH16" s="2216"/>
      <c r="AI16" s="2216"/>
      <c r="AJ16" s="2216"/>
      <c r="AK16" s="2216"/>
      <c r="AL16" s="2216">
        <f>6752.99-AN16</f>
        <v>4128.0599999999995</v>
      </c>
      <c r="AM16" s="2216"/>
      <c r="AN16" s="2216">
        <f>1573.88+1051.05</f>
        <v>2624.9300000000003</v>
      </c>
      <c r="AO16" s="2216"/>
      <c r="AP16" s="2216"/>
      <c r="AQ16" s="2216"/>
      <c r="AR16" s="2216"/>
      <c r="AS16" s="2216"/>
      <c r="AT16" s="2217"/>
      <c r="AU16" s="2218"/>
      <c r="AV16" s="11">
        <f t="shared" si="6"/>
        <v>0</v>
      </c>
      <c r="AW16" s="11">
        <f t="shared" si="6"/>
        <v>0</v>
      </c>
      <c r="AX16" s="11" t="str">
        <f t="shared" si="6"/>
        <v>设备用房</v>
      </c>
      <c r="AY16" s="1806">
        <f>ROUND($AY$6*AZ16/$AZ$5,2)</f>
        <v>1249.58</v>
      </c>
      <c r="AZ16" s="16">
        <f>BA16+BL16</f>
        <v>6752.99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6752.99</v>
      </c>
      <c r="BM16" s="16">
        <f>IF($D16="是",AD16-AE16,0)</f>
        <v>0</v>
      </c>
      <c r="BN16" s="16">
        <f>IF($D16="是",AF16-AG16,0)</f>
        <v>0</v>
      </c>
      <c r="BO16" s="16">
        <f>IF($D16="是",AH16-AI16,0)</f>
        <v>0</v>
      </c>
      <c r="BP16" s="16">
        <f>IF($D16="是",AJ16-AK16,0)</f>
        <v>0</v>
      </c>
      <c r="BQ16" s="16">
        <f>IF($D16="是",AL16-AM16,0)</f>
        <v>4128.0599999999995</v>
      </c>
      <c r="BR16" s="16">
        <f>IF($D16="是",AN16-AO16,0)</f>
        <v>2624.9300000000003</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17" sqref="B17:G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2"/>
      <c r="C1" s="1392"/>
      <c r="D1" s="1392"/>
      <c r="E1" s="1392"/>
      <c r="F1" s="1392"/>
      <c r="G1" s="1392"/>
      <c r="H1" s="1392"/>
      <c r="I1" s="1392"/>
      <c r="J1" s="1392"/>
      <c r="K1" s="1392"/>
      <c r="L1" s="1392"/>
      <c r="M1" s="1392"/>
      <c r="N1" s="1392"/>
      <c r="O1" s="1392"/>
      <c r="P1" s="1392"/>
    </row>
    <row r="2" spans="1:16" ht="15">
      <c r="A2" s="3048" t="s">
        <v>1939</v>
      </c>
      <c r="B2" s="3048"/>
      <c r="C2" s="3048"/>
      <c r="D2" s="967" t="s">
        <v>1915</v>
      </c>
      <c r="E2" s="2228" t="s">
        <v>1916</v>
      </c>
      <c r="F2" s="1392"/>
      <c r="G2" s="2229"/>
      <c r="H2" s="2230"/>
      <c r="I2" s="2231" t="s">
        <v>1940</v>
      </c>
      <c r="J2" s="1392"/>
      <c r="K2" s="1392"/>
      <c r="L2" s="1392"/>
      <c r="M2" s="1392"/>
      <c r="N2" s="1427"/>
      <c r="O2" s="1392"/>
      <c r="P2" s="1392"/>
    </row>
    <row r="3" spans="1:16" ht="15.75" thickBot="1">
      <c r="A3" s="3049" t="s">
        <v>1913</v>
      </c>
      <c r="B3" s="3049"/>
      <c r="C3" s="3049"/>
      <c r="D3" s="46">
        <f>'数据-基础表'!AY6</f>
        <v>14769.13</v>
      </c>
      <c r="E3" s="46">
        <f>'数据-基础表'!AZ5</f>
        <v>79815.240000000005</v>
      </c>
      <c r="F3" s="1392"/>
      <c r="G3" s="1399"/>
      <c r="H3" s="1247" t="s">
        <v>1914</v>
      </c>
      <c r="I3" s="55">
        <f>ROUND('数据-基础表'!B3/'数据-基础表'!A3,2)</f>
        <v>5.4</v>
      </c>
      <c r="J3" s="1392"/>
      <c r="K3" s="1392"/>
      <c r="L3" s="1392"/>
      <c r="M3" s="1392"/>
      <c r="N3" s="1427"/>
      <c r="O3" s="1392"/>
      <c r="P3" s="1392"/>
    </row>
    <row r="4" spans="1:16" ht="15">
      <c r="A4" s="3050"/>
      <c r="B4" s="3051"/>
      <c r="C4" s="3052"/>
      <c r="D4" s="2232" t="s">
        <v>1915</v>
      </c>
      <c r="E4" s="2233" t="s">
        <v>1916</v>
      </c>
      <c r="F4" s="1392"/>
      <c r="G4" s="2234" t="s">
        <v>1941</v>
      </c>
      <c r="H4" s="1247" t="s">
        <v>1921</v>
      </c>
      <c r="I4" s="55">
        <f>ROUND(SUMIF('数据-基础表'!I9:AS9,"地上",'数据-基础表'!I5:AS5)/'数据-基础表'!A3,2)</f>
        <v>4.8</v>
      </c>
      <c r="J4" s="1392"/>
      <c r="K4" s="1392"/>
      <c r="L4" s="1392"/>
      <c r="M4" s="1392"/>
      <c r="N4" s="1427"/>
      <c r="O4" s="1392"/>
      <c r="P4" s="1392"/>
    </row>
    <row r="5" spans="1:16">
      <c r="A5" s="47" t="s">
        <v>1917</v>
      </c>
      <c r="B5" s="3053" t="s">
        <v>1918</v>
      </c>
      <c r="C5" s="3053"/>
      <c r="D5" s="48">
        <f>ROUND($D$3*E5/$E$3,2)</f>
        <v>0</v>
      </c>
      <c r="E5" s="49">
        <f>SUMIF('数据-基础表'!$11:$11,"住宅",'数据-基础表'!$5:$5)</f>
        <v>0</v>
      </c>
      <c r="F5" s="1392"/>
      <c r="G5" s="1399"/>
      <c r="H5" s="1247" t="s">
        <v>1914</v>
      </c>
      <c r="I5" s="55">
        <f>ROUND(E31/D31,2)</f>
        <v>5.4</v>
      </c>
      <c r="J5" s="1392"/>
      <c r="K5" s="1392"/>
      <c r="L5" s="1392"/>
      <c r="M5" s="1392"/>
      <c r="N5" s="1392"/>
      <c r="O5" s="1392"/>
      <c r="P5" s="1392"/>
    </row>
    <row r="6" spans="1:16" ht="15" thickBot="1">
      <c r="A6" s="2235"/>
      <c r="B6" s="3053" t="s">
        <v>1919</v>
      </c>
      <c r="C6" s="3053"/>
      <c r="D6" s="48">
        <f>ROUND($D$3*E6/$E$3,2)</f>
        <v>14769.13</v>
      </c>
      <c r="E6" s="49">
        <f>E3-E5</f>
        <v>79815.240000000005</v>
      </c>
      <c r="F6" s="1392"/>
      <c r="G6" s="2236" t="s">
        <v>1920</v>
      </c>
      <c r="H6" s="1399" t="s">
        <v>1921</v>
      </c>
      <c r="I6" s="939">
        <f>ROUND(F31/D31,2)</f>
        <v>4.8</v>
      </c>
      <c r="J6" s="1392"/>
      <c r="K6" s="1392"/>
      <c r="L6" s="1392"/>
      <c r="M6" s="1392"/>
      <c r="N6" s="1392"/>
      <c r="O6" s="1392"/>
      <c r="P6" s="1392"/>
    </row>
    <row r="7" spans="1:16" ht="15">
      <c r="A7" s="3045"/>
      <c r="B7" s="3046"/>
      <c r="C7" s="3047"/>
      <c r="D7" s="2232" t="s">
        <v>1915</v>
      </c>
      <c r="E7" s="2237" t="s">
        <v>1922</v>
      </c>
      <c r="F7" s="1392"/>
      <c r="G7" s="2229" t="s">
        <v>1923</v>
      </c>
      <c r="H7" s="64"/>
      <c r="I7" s="420">
        <v>4.59</v>
      </c>
      <c r="J7" s="1392"/>
      <c r="K7" s="1392"/>
      <c r="L7" s="1392"/>
      <c r="M7" s="1392"/>
      <c r="N7" s="1392"/>
      <c r="O7" s="1392"/>
      <c r="P7" s="1392"/>
    </row>
    <row r="8" spans="1:16">
      <c r="A8" s="47" t="s">
        <v>1924</v>
      </c>
      <c r="B8" s="50" t="s">
        <v>1925</v>
      </c>
      <c r="C8" s="48" t="s">
        <v>1926</v>
      </c>
      <c r="D8" s="48">
        <f t="shared" ref="D8:D15" si="0">ROUND($D$3*E8/$E$3,2)</f>
        <v>12350.31</v>
      </c>
      <c r="E8" s="51">
        <f>SUMIF('数据-基础表'!BB10:BK10,"地上",'数据-基础表'!BB5:BK5)</f>
        <v>66743.48</v>
      </c>
      <c r="F8" s="1392"/>
      <c r="G8" s="2238"/>
      <c r="H8" s="2238"/>
      <c r="I8" s="1392"/>
      <c r="J8" s="1392"/>
      <c r="K8" s="1392"/>
      <c r="L8" s="1392"/>
      <c r="M8" s="1392"/>
      <c r="N8" s="1392"/>
      <c r="O8" s="1392"/>
      <c r="P8" s="1392"/>
    </row>
    <row r="9" spans="1:16">
      <c r="A9" s="2239"/>
      <c r="B9" s="2240"/>
      <c r="C9" s="48" t="s">
        <v>1927</v>
      </c>
      <c r="D9" s="48">
        <f t="shared" si="0"/>
        <v>0</v>
      </c>
      <c r="E9" s="52">
        <v>0</v>
      </c>
      <c r="F9" s="1392"/>
      <c r="G9" s="2238"/>
      <c r="H9" s="2238"/>
      <c r="I9" s="1392"/>
      <c r="J9" s="1392"/>
      <c r="K9" s="1392"/>
      <c r="L9" s="1392"/>
      <c r="M9" s="1392"/>
      <c r="N9" s="1392"/>
      <c r="O9" s="1392"/>
      <c r="P9" s="1392"/>
    </row>
    <row r="10" spans="1:16">
      <c r="A10" s="2239"/>
      <c r="B10" s="2240"/>
      <c r="C10" s="48" t="s">
        <v>1936</v>
      </c>
      <c r="D10" s="48">
        <f t="shared" si="0"/>
        <v>725.71</v>
      </c>
      <c r="E10" s="51">
        <f>SUMPRODUCT(('数据-基础表'!BB10:BK10="地下")*('数据-基础表'!BB11:BK11="商业")*('数据-基础表'!BB5:BK5))</f>
        <v>3921.88</v>
      </c>
      <c r="F10" s="1392"/>
      <c r="G10" s="2238"/>
      <c r="H10" s="2238"/>
      <c r="I10" s="1392"/>
      <c r="J10" s="1392"/>
      <c r="K10" s="1392"/>
      <c r="L10" s="1392"/>
      <c r="M10" s="1392"/>
      <c r="N10" s="1392"/>
      <c r="O10" s="1392"/>
      <c r="P10" s="1392"/>
    </row>
    <row r="11" spans="1:16">
      <c r="A11" s="2239"/>
      <c r="B11" s="2240"/>
      <c r="C11" s="48" t="s">
        <v>1928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1929</v>
      </c>
      <c r="D12" s="48">
        <f t="shared" si="0"/>
        <v>443.52</v>
      </c>
      <c r="E12" s="51">
        <f>SUMPRODUCT(('数据-基础表'!BB10:BK10="地下")*('数据-基础表'!BB11:BK11="仓储")*('数据-基础表'!BB5:BK5))</f>
        <v>2396.8900000000003</v>
      </c>
      <c r="F12" s="1392"/>
      <c r="G12" s="2238"/>
      <c r="H12" s="2238"/>
      <c r="I12" s="1392"/>
      <c r="J12" s="1392"/>
      <c r="K12" s="1392"/>
      <c r="L12" s="1392"/>
      <c r="M12" s="1392"/>
      <c r="N12" s="1392"/>
      <c r="O12" s="1392"/>
      <c r="P12" s="1392"/>
    </row>
    <row r="13" spans="1:16">
      <c r="A13" s="2239"/>
      <c r="B13" s="2240"/>
      <c r="C13" s="48" t="s">
        <v>1930</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1931</v>
      </c>
      <c r="D16" s="50">
        <f>SUM(D8:D15)</f>
        <v>13519.54</v>
      </c>
      <c r="E16" s="53">
        <f>SUM(E8:E15)</f>
        <v>73062.25</v>
      </c>
      <c r="F16" s="1392"/>
      <c r="G16" s="2238"/>
      <c r="H16" s="2241" t="s">
        <v>1943</v>
      </c>
      <c r="I16" s="2242"/>
      <c r="J16" s="1392"/>
      <c r="K16" s="3042" t="s">
        <v>1943</v>
      </c>
      <c r="L16" s="3043"/>
      <c r="M16" s="3043"/>
      <c r="N16" s="3043"/>
      <c r="O16" s="3043"/>
      <c r="P16" s="3044"/>
    </row>
    <row r="17" spans="1:19" ht="15">
      <c r="A17" s="2243" t="s">
        <v>1944</v>
      </c>
      <c r="B17" s="2244" t="s">
        <v>1945</v>
      </c>
      <c r="C17" s="2245" t="s">
        <v>1946</v>
      </c>
      <c r="D17" s="2246" t="s">
        <v>1934</v>
      </c>
      <c r="E17" s="2247" t="s">
        <v>1935</v>
      </c>
      <c r="F17" s="2248"/>
      <c r="G17" s="2249"/>
      <c r="H17" s="2250" t="s">
        <v>1947</v>
      </c>
      <c r="I17" s="2251" t="s">
        <v>1932</v>
      </c>
      <c r="J17" s="1392"/>
      <c r="K17" s="3039" t="s">
        <v>1948</v>
      </c>
      <c r="L17" s="3040"/>
      <c r="M17" s="3041"/>
      <c r="N17" s="3039" t="s">
        <v>1949</v>
      </c>
      <c r="O17" s="3040"/>
      <c r="P17" s="3041"/>
      <c r="R17" s="2229" t="s">
        <v>1950</v>
      </c>
      <c r="S17" s="64"/>
    </row>
    <row r="18" spans="1:19" ht="15">
      <c r="A18" s="2239"/>
      <c r="B18" s="2252"/>
      <c r="C18" s="2253"/>
      <c r="D18" s="2254"/>
      <c r="E18" s="2255" t="s">
        <v>1951</v>
      </c>
      <c r="F18" s="2256" t="s">
        <v>1952</v>
      </c>
      <c r="G18" s="2257" t="s">
        <v>1953</v>
      </c>
      <c r="H18" s="1262" t="s">
        <v>1954</v>
      </c>
      <c r="I18" s="2258" t="s">
        <v>1955</v>
      </c>
      <c r="J18" s="1392"/>
      <c r="K18" s="1262" t="s">
        <v>1956</v>
      </c>
      <c r="L18" s="2259" t="s">
        <v>1957</v>
      </c>
      <c r="M18" s="1046" t="s">
        <v>1958</v>
      </c>
      <c r="N18" s="1262" t="s">
        <v>1956</v>
      </c>
      <c r="O18" s="2259" t="s">
        <v>1957</v>
      </c>
      <c r="P18" s="1046" t="s">
        <v>1958</v>
      </c>
      <c r="R18" s="1247" t="s">
        <v>1959</v>
      </c>
      <c r="S18" s="1247" t="s">
        <v>1960</v>
      </c>
    </row>
    <row r="19" spans="1:19">
      <c r="A19" s="2260"/>
      <c r="B19" s="50" t="s">
        <v>1933</v>
      </c>
      <c r="C19" s="3290" t="s">
        <v>3064</v>
      </c>
      <c r="D19" s="48">
        <f>ROUND($D$3*E19/$E$3,2)</f>
        <v>11388.56</v>
      </c>
      <c r="E19" s="56">
        <f t="shared" ref="E19:E26" si="1">SUM(F19:G19)</f>
        <v>61545.99</v>
      </c>
      <c r="F19" s="57">
        <f>'数据-基础表'!I5</f>
        <v>61545.99</v>
      </c>
      <c r="G19" s="58"/>
      <c r="H19" s="723">
        <f>ROUND($D$3*I19/$E$3,2)</f>
        <v>1052.6199999999999</v>
      </c>
      <c r="I19" s="51">
        <f t="shared" ref="I19:I26" si="2">IF($I$17="自定义",P19,M19)</f>
        <v>5688.57</v>
      </c>
      <c r="J19" s="1392"/>
      <c r="K19" s="1391">
        <f t="shared" ref="K19:K26" si="3">ROUND(E$28*E19/E$27,2)</f>
        <v>5688.57</v>
      </c>
      <c r="L19" s="1247">
        <f t="shared" ref="L19:L26" si="4">ROUND(IF(COUNTIF(C19,"*住宅*")&gt;0,E$29*E19/E$32,0),2)</f>
        <v>0</v>
      </c>
      <c r="M19" s="1403">
        <f>K19+L19</f>
        <v>5688.57</v>
      </c>
      <c r="N19" s="2261"/>
      <c r="O19" s="2262"/>
      <c r="P19" s="1403">
        <f>N19+O19</f>
        <v>0</v>
      </c>
      <c r="R19" s="1247">
        <f t="shared" ref="R19:S26" si="5">D19+H19</f>
        <v>12441.18</v>
      </c>
      <c r="S19" s="1248">
        <f t="shared" si="5"/>
        <v>67234.559999999998</v>
      </c>
    </row>
    <row r="20" spans="1:19">
      <c r="A20" s="2263"/>
      <c r="B20" s="50" t="s">
        <v>1961</v>
      </c>
      <c r="C20" s="3290" t="s">
        <v>3065</v>
      </c>
      <c r="D20" s="48">
        <f t="shared" ref="D20:D26" si="6">ROUND($D$3*E20/$E$3,2)</f>
        <v>1687.46</v>
      </c>
      <c r="E20" s="56">
        <f t="shared" si="1"/>
        <v>9119.369999999999</v>
      </c>
      <c r="F20" s="57">
        <f>'数据-基础表'!K5</f>
        <v>5197.49</v>
      </c>
      <c r="G20" s="58">
        <f>'数据-基础表'!M5</f>
        <v>3921.88</v>
      </c>
      <c r="H20" s="723">
        <f t="shared" ref="H20:H26" si="7">ROUND($D$3*I20/$E$3,2)</f>
        <v>155.97</v>
      </c>
      <c r="I20" s="51">
        <f t="shared" si="2"/>
        <v>842.88</v>
      </c>
      <c r="J20" s="1392"/>
      <c r="K20" s="1391">
        <f t="shared" si="3"/>
        <v>842.88</v>
      </c>
      <c r="L20" s="1247">
        <f t="shared" si="4"/>
        <v>0</v>
      </c>
      <c r="M20" s="1403">
        <f t="shared" ref="M20:M26" si="8">K20+L20</f>
        <v>842.88</v>
      </c>
      <c r="N20" s="2261"/>
      <c r="O20" s="2262"/>
      <c r="P20" s="1403">
        <f t="shared" ref="P20:P26" si="9">N20+O20</f>
        <v>0</v>
      </c>
      <c r="R20" s="1247">
        <f t="shared" si="5"/>
        <v>1843.43</v>
      </c>
      <c r="S20" s="1248">
        <f t="shared" si="5"/>
        <v>9962.2499999999982</v>
      </c>
    </row>
    <row r="21" spans="1:19">
      <c r="A21" s="2263"/>
      <c r="B21" s="50" t="s">
        <v>1961</v>
      </c>
      <c r="C21" s="3290" t="s">
        <v>3066</v>
      </c>
      <c r="D21" s="48">
        <f t="shared" si="6"/>
        <v>443.52</v>
      </c>
      <c r="E21" s="56">
        <f t="shared" si="1"/>
        <v>2396.8900000000003</v>
      </c>
      <c r="F21" s="57"/>
      <c r="G21" s="58">
        <f>'数据-基础表'!O5</f>
        <v>2396.8900000000003</v>
      </c>
      <c r="H21" s="723">
        <f t="shared" si="7"/>
        <v>40.99</v>
      </c>
      <c r="I21" s="51">
        <f t="shared" si="2"/>
        <v>221.54</v>
      </c>
      <c r="J21" s="1392"/>
      <c r="K21" s="1391">
        <f t="shared" si="3"/>
        <v>221.54</v>
      </c>
      <c r="L21" s="1247">
        <f t="shared" si="4"/>
        <v>0</v>
      </c>
      <c r="M21" s="1403">
        <f t="shared" si="8"/>
        <v>221.54</v>
      </c>
      <c r="N21" s="2261"/>
      <c r="O21" s="2262"/>
      <c r="P21" s="1403">
        <f t="shared" si="9"/>
        <v>0</v>
      </c>
      <c r="R21" s="1247">
        <f t="shared" si="5"/>
        <v>484.51</v>
      </c>
      <c r="S21" s="1248">
        <f t="shared" si="5"/>
        <v>2618.4300000000003</v>
      </c>
    </row>
    <row r="22" spans="1:19">
      <c r="A22" s="2263"/>
      <c r="B22" s="50" t="s">
        <v>1961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1962</v>
      </c>
      <c r="D27" s="1393">
        <f>SUM(D19:D26)</f>
        <v>13519.54</v>
      </c>
      <c r="E27" s="1394">
        <f>IF(SUM(E19:E26)='数据-基础表'!BA5,SUM(E19:E26),IF(F27="地上面积有误","面积有误","地下面积有误"))</f>
        <v>73062.25</v>
      </c>
      <c r="F27" s="1393">
        <f>IF(SUM(F19:F26)=E8,SUM(F19:F26),"地上面积有误")</f>
        <v>66743.48</v>
      </c>
      <c r="G27" s="1395">
        <f>SUM(G19:G26)</f>
        <v>6318.77</v>
      </c>
      <c r="H27" s="1396">
        <f>SUM(H19:H26)</f>
        <v>1249.58</v>
      </c>
      <c r="I27" s="1397">
        <f>SUM(I19:I26)</f>
        <v>6752.99</v>
      </c>
      <c r="J27" s="1392"/>
      <c r="K27" s="1400">
        <f>SUM(K19:K26)</f>
        <v>6752.99</v>
      </c>
      <c r="L27" s="1401">
        <f>SUM(L19:L26)</f>
        <v>0</v>
      </c>
      <c r="M27" s="1404">
        <f>SUM(M19:M26)</f>
        <v>6752.99</v>
      </c>
      <c r="N27" s="1400">
        <f t="shared" ref="N27:O27" si="10">SUM(N19:N26)</f>
        <v>0</v>
      </c>
      <c r="O27" s="1401">
        <f t="shared" si="10"/>
        <v>0</v>
      </c>
      <c r="P27" s="1402">
        <f>SUM(P19:P26)</f>
        <v>0</v>
      </c>
      <c r="R27" s="1249" t="str">
        <f>IF(SUM(R19:R26)=$D$3,SUM(R19:R26),SUM(R19:R26)&amp;"误差"&amp;ROUND(SUM(R19:R26)-$D$3,2))</f>
        <v>14769.12误差-0.01</v>
      </c>
      <c r="S27" s="1247">
        <f>IF(SUM(S19:S26)=$E$3,SUM(S19:S26),SUM(S19:S26)&amp;"误差"&amp;ROUND(SUM(S19:S26)-E3,2))</f>
        <v>79815.239999999991</v>
      </c>
    </row>
    <row r="28" spans="1:19">
      <c r="A28" s="2263"/>
      <c r="B28" s="50" t="s">
        <v>1963</v>
      </c>
      <c r="C28" s="1259" t="s">
        <v>1964</v>
      </c>
      <c r="D28" s="48">
        <f>ROUND($D$3*E28/$E$3,2)</f>
        <v>1249.58</v>
      </c>
      <c r="E28" s="56">
        <f>SUM(F28:G28)</f>
        <v>6752.99</v>
      </c>
      <c r="F28" s="64">
        <f>'数据-基础表'!BQ5+'数据-基础表'!BS5</f>
        <v>4128.0599999999995</v>
      </c>
      <c r="G28" s="65">
        <f>'数据-基础表'!BR5+'数据-基础表'!BT5</f>
        <v>2624.9300000000003</v>
      </c>
      <c r="H28" s="1392"/>
      <c r="I28" s="1392"/>
      <c r="J28" s="1392"/>
      <c r="K28" s="1392"/>
      <c r="L28" s="1392"/>
      <c r="M28" s="1392"/>
      <c r="N28" s="1392"/>
      <c r="O28" s="1392"/>
      <c r="P28" s="1392"/>
    </row>
    <row r="29" spans="1:19">
      <c r="A29" s="2263"/>
      <c r="B29" s="50" t="s">
        <v>1963</v>
      </c>
      <c r="C29" s="2267"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1962</v>
      </c>
      <c r="D30" s="1393">
        <f>SUM(D28:D29)</f>
        <v>1249.58</v>
      </c>
      <c r="E30" s="1393">
        <f>SUM(E28:E29)</f>
        <v>6752.99</v>
      </c>
      <c r="F30" s="1393">
        <f>SUM(F28:F29)</f>
        <v>4128.0599999999995</v>
      </c>
      <c r="G30" s="1395">
        <f>SUM(G28:G29)</f>
        <v>2624.9300000000003</v>
      </c>
      <c r="H30" s="1392"/>
      <c r="I30" s="1392"/>
      <c r="J30" s="1392"/>
      <c r="K30" s="1392"/>
      <c r="L30" s="1392"/>
      <c r="M30" s="1392"/>
      <c r="N30" s="1392"/>
      <c r="O30" s="1392"/>
      <c r="P30" s="1392"/>
    </row>
    <row r="31" spans="1:19" ht="15.75" thickBot="1">
      <c r="A31" s="2269"/>
      <c r="B31" s="2270"/>
      <c r="C31" s="1007" t="s">
        <v>1966</v>
      </c>
      <c r="D31" s="729">
        <f>D27+D30</f>
        <v>14769.12</v>
      </c>
      <c r="E31" s="729">
        <f>E27+E30</f>
        <v>79815.240000000005</v>
      </c>
      <c r="F31" s="730">
        <f>F27+F30</f>
        <v>70871.539999999994</v>
      </c>
      <c r="G31" s="731">
        <f>G27+G30</f>
        <v>8943.7000000000007</v>
      </c>
      <c r="H31" s="1392"/>
      <c r="I31" s="1392"/>
      <c r="J31" s="1392"/>
      <c r="K31" s="1392"/>
      <c r="L31" s="1392"/>
      <c r="M31" s="1392"/>
      <c r="N31" s="1392"/>
      <c r="O31" s="1392"/>
      <c r="P31" s="1392"/>
    </row>
    <row r="32" spans="1:19">
      <c r="A32" s="2234"/>
      <c r="B32" s="2234" t="s">
        <v>1967</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9" sqref="Q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1969</v>
      </c>
      <c r="B2" s="1266">
        <f>项目基本情况!D3</f>
        <v>43273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1976</v>
      </c>
      <c r="B5" s="2290" t="s">
        <v>1977</v>
      </c>
      <c r="C5" s="2291" t="s">
        <v>1978</v>
      </c>
      <c r="D5" s="2292" t="s">
        <v>1979</v>
      </c>
      <c r="E5" s="1268" t="s">
        <v>1980</v>
      </c>
      <c r="F5" s="2293" t="s">
        <v>1981</v>
      </c>
      <c r="G5" s="1268" t="s">
        <v>1982</v>
      </c>
      <c r="H5" s="1268" t="s">
        <v>1983</v>
      </c>
      <c r="I5" s="1268"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67" t="s">
        <v>1996</v>
      </c>
      <c r="V5" s="1268" t="s">
        <v>1997</v>
      </c>
      <c r="W5" s="1268" t="s">
        <v>1998</v>
      </c>
      <c r="X5" s="71"/>
      <c r="Y5" s="70" t="s">
        <v>1999</v>
      </c>
      <c r="Z5" s="2303" t="s">
        <v>1996</v>
      </c>
      <c r="AA5" s="1268" t="s">
        <v>1997</v>
      </c>
      <c r="AB5" s="1268" t="s">
        <v>1998</v>
      </c>
      <c r="AC5" s="71"/>
      <c r="AD5" s="71" t="s">
        <v>1999</v>
      </c>
      <c r="AE5" s="1267" t="s">
        <v>2000</v>
      </c>
      <c r="AF5" s="1268" t="s">
        <v>2001</v>
      </c>
      <c r="AG5" s="70" t="s">
        <v>2002</v>
      </c>
      <c r="AH5" s="1267" t="s">
        <v>2003</v>
      </c>
      <c r="AI5" s="2303" t="s">
        <v>2004</v>
      </c>
      <c r="AJ5" s="2303" t="s">
        <v>2005</v>
      </c>
      <c r="AK5" s="1268" t="s">
        <v>2006</v>
      </c>
      <c r="AL5" s="1268" t="s">
        <v>2007</v>
      </c>
      <c r="AM5" s="70" t="s">
        <v>2008</v>
      </c>
      <c r="AN5" s="2304" t="s">
        <v>2009</v>
      </c>
      <c r="AO5" s="2075" t="s">
        <v>2010</v>
      </c>
      <c r="AP5" s="1249"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58247</v>
      </c>
      <c r="F6" s="72">
        <f>SUMIF(项目基本情况!D$12:I$12,C6,项目基本情况!D$15:I$15)</f>
        <v>41.02</v>
      </c>
      <c r="G6" s="73">
        <f>IF(ISERROR(ROUND(POWER(1+H6,D6-F6)*(POWER(1+H6,F6)-1)/(POWER(1+H6,D6)-1),3)),0,ROUND(POWER(1+H6,D6-F6)*(POWER(1+H6,F6)-1)/(POWER(1+H6,D6)-1),3))</f>
        <v>0.94699999999999995</v>
      </c>
      <c r="H6" s="802">
        <v>0.05</v>
      </c>
      <c r="I6" s="802">
        <v>5.5E-2</v>
      </c>
      <c r="J6" s="74">
        <v>0.09</v>
      </c>
      <c r="K6" s="1251">
        <f>SUMIF('数据-汇总表'!C$19:C$33,A6,'数据-汇总表'!E$19:E$33)</f>
        <v>61545.99</v>
      </c>
      <c r="L6" s="803">
        <v>3500</v>
      </c>
      <c r="M6" s="75">
        <f t="shared" ref="M6:M14" si="0">ROUND(K6*L6/10000,0)</f>
        <v>21541</v>
      </c>
      <c r="N6" s="801">
        <v>0.98</v>
      </c>
      <c r="O6" s="75">
        <f>IF($N$5="成新度","——",ROUND(M6*N6,0))</f>
        <v>21110</v>
      </c>
      <c r="P6" s="76">
        <f>IF($N$5="成新度","——",M6-O6)</f>
        <v>431</v>
      </c>
      <c r="Q6" s="804">
        <v>0.2</v>
      </c>
      <c r="R6" s="77">
        <f ca="1">SUMIF('数据-汇总表'!C$19:C$33,A6,'数据-汇总表'!R$19:R$27)</f>
        <v>12441.18</v>
      </c>
      <c r="S6" s="54">
        <f>IF('数据-汇总表'!$I$17="按面积比例",SUMIF('数据-汇总表'!C$19:C$33,A6,'数据-汇总表'!K$19:K$33),SUMIF('数据-汇总表'!C$19:C$33,A6,'数据-汇总表'!N$19:N$33))</f>
        <v>5688.57</v>
      </c>
      <c r="T6" s="1443">
        <f>ROUND($L$14*S6/10000,0)</f>
        <v>1138</v>
      </c>
      <c r="U6" s="78">
        <v>5.5</v>
      </c>
      <c r="V6" s="79">
        <v>0.03</v>
      </c>
      <c r="W6" s="79">
        <v>0.1</v>
      </c>
      <c r="X6" s="1261"/>
      <c r="Y6" s="80">
        <v>1</v>
      </c>
      <c r="Z6" s="81"/>
      <c r="AA6" s="74"/>
      <c r="AB6" s="74"/>
      <c r="AC6" s="1261"/>
      <c r="AD6" s="82"/>
      <c r="AE6" s="1262">
        <f ca="1">IF(AN6="",0,SUMIF(INDIRECT("'"&amp;AN6&amp;"'"&amp;"!E:E"),$AE$5,INDIRECT("'"&amp;AN6&amp;"'"&amp;"!F:F")))</f>
        <v>0</v>
      </c>
      <c r="AF6" s="1804"/>
      <c r="AG6" s="147">
        <f>IF(AF6="",0,AE6-AF6)</f>
        <v>0</v>
      </c>
      <c r="AH6" s="83"/>
      <c r="AI6" s="85">
        <v>365</v>
      </c>
      <c r="AJ6" s="86"/>
      <c r="AK6" s="87">
        <v>1.4999999999999999E-2</v>
      </c>
      <c r="AL6" s="88">
        <v>2E-3</v>
      </c>
      <c r="AM6" s="89">
        <v>2.5000000000000001E-2</v>
      </c>
      <c r="AN6" s="2309" t="s">
        <v>3071</v>
      </c>
      <c r="AO6" s="55" t="e">
        <f ca="1">SUMIF(INDIRECT("'"&amp;AN6&amp;"'"&amp;"!A:A"),"总价",INDIRECT("'"&amp;AN6&amp;"'"&amp;"!B:B"))</f>
        <v>#DIV/0!</v>
      </c>
      <c r="AP6" s="2310">
        <f>IF(C6="住宅",K6*L6,0)</f>
        <v>0</v>
      </c>
      <c r="AQ6" s="55">
        <f>ROUND($L$14*$N$14*S6/10000,0)</f>
        <v>1115</v>
      </c>
      <c r="AR6" s="55">
        <f>ROUND($L$14*(1-$N$14)*S6/10000,0)</f>
        <v>23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1377</v>
      </c>
      <c r="D7" s="1051">
        <f>SUMIF(项目基本情况!D$12:I$12,C7,项目基本情况!D$14:I$14)</f>
        <v>40</v>
      </c>
      <c r="E7" s="1048">
        <f>IF(B7="","",SUMIF(项目基本情况!D$12:I$12,C7,项目基本情况!D$13:I$13))</f>
        <v>54595</v>
      </c>
      <c r="F7" s="72">
        <f>SUMIF(项目基本情况!D$12:I$12,C7,项目基本情况!D$15:I$15)</f>
        <v>31.01</v>
      </c>
      <c r="G7" s="73">
        <f t="shared" ref="G7:G11" si="2">IF(ISERROR(ROUND(POWER(1+H7,D7-F7)*(POWER(1+H7,F7)-1)/(POWER(1+H7,D7)-1),3)),0,ROUND(POWER(1+H7,D7-F7)*(POWER(1+H7,F7)-1)/(POWER(1+H7,D7)-1),3))</f>
        <v>0.91800000000000004</v>
      </c>
      <c r="H7" s="802">
        <v>5.5E-2</v>
      </c>
      <c r="I7" s="802">
        <v>0.06</v>
      </c>
      <c r="J7" s="74">
        <v>0.09</v>
      </c>
      <c r="K7" s="1251">
        <f>SUMIF('数据-汇总表'!C$19:C$33,A7,'数据-汇总表'!E$19:E$33)</f>
        <v>9119.369999999999</v>
      </c>
      <c r="L7" s="803">
        <v>3200</v>
      </c>
      <c r="M7" s="75">
        <f t="shared" si="0"/>
        <v>2918</v>
      </c>
      <c r="N7" s="801">
        <v>0.98</v>
      </c>
      <c r="O7" s="75">
        <f t="shared" ref="O7:O14" si="3">IF($N$5="成新度","——",ROUND(M7*N7,0))</f>
        <v>2860</v>
      </c>
      <c r="P7" s="76">
        <f t="shared" ref="P7:P14" si="4">IF($N$5="成新度","——",M7-O7)</f>
        <v>58</v>
      </c>
      <c r="Q7" s="804">
        <v>0.25</v>
      </c>
      <c r="R7" s="77">
        <f ca="1">SUMIF('数据-汇总表'!C$19:C$33,A7,'数据-汇总表'!R$19:R$27)</f>
        <v>1843.43</v>
      </c>
      <c r="S7" s="54">
        <f>IF('数据-汇总表'!$I$17="按面积比例",SUMIF('数据-汇总表'!C$19:C$33,A7,'数据-汇总表'!K$19:K$33),SUMIF('数据-汇总表'!C$19:C$33,A7,'数据-汇总表'!N$19:N$33))</f>
        <v>842.88</v>
      </c>
      <c r="T7" s="1443">
        <f t="shared" ref="T7:T13" si="5">ROUND($L$14*S7/10000,0)</f>
        <v>169</v>
      </c>
      <c r="U7" s="78">
        <v>6.6</v>
      </c>
      <c r="V7" s="79">
        <v>3.5000000000000003E-2</v>
      </c>
      <c r="W7" s="79">
        <v>0.1</v>
      </c>
      <c r="X7" s="1261"/>
      <c r="Y7" s="80">
        <v>1</v>
      </c>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2E-3</v>
      </c>
      <c r="AM7" s="89">
        <v>2.5000000000000001E-2</v>
      </c>
      <c r="AN7" s="2309"/>
      <c r="AO7" s="55" t="e">
        <f t="shared" ref="AO7:AO13" ca="1" si="8">SUMIF(INDIRECT("'"&amp;AN7&amp;"'"&amp;"!A:A"),"总价",INDIRECT("'"&amp;AN7&amp;"'"&amp;"!B:B"))</f>
        <v>#REF!</v>
      </c>
      <c r="AP7" s="2310">
        <f t="shared" ref="AP7:AP13" si="9">IF(C7="住宅",K7*L7,0)</f>
        <v>0</v>
      </c>
      <c r="AQ7" s="55">
        <f t="shared" ref="AQ7:AQ13" si="10">ROUND($L$14*$N$14*S7/10000,0)</f>
        <v>165</v>
      </c>
      <c r="AR7" s="55">
        <f t="shared" ref="AR7:AR13" si="11">ROUND($L$14*(1-$N$14)*S7/10000,0)</f>
        <v>3</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仓储</v>
      </c>
      <c r="B8" s="2307" t="str">
        <f t="shared" si="1"/>
        <v>经营性</v>
      </c>
      <c r="C8" s="2308" t="s">
        <v>3070</v>
      </c>
      <c r="D8" s="1051">
        <f>SUMIF(项目基本情况!D$12:I$12,C8,项目基本情况!D$14:I$14)</f>
        <v>50</v>
      </c>
      <c r="E8" s="1048">
        <f>IF(B8="","",SUMIF(项目基本情况!D$12:I$12,C8,项目基本情况!D$13:I$13))</f>
        <v>58247</v>
      </c>
      <c r="F8" s="72">
        <f>SUMIF(项目基本情况!D$12:I$12,C8,项目基本情况!D$15:I$15)</f>
        <v>41.02</v>
      </c>
      <c r="G8" s="73">
        <f t="shared" si="2"/>
        <v>0.94</v>
      </c>
      <c r="H8" s="802">
        <v>4.4999999999999998E-2</v>
      </c>
      <c r="I8" s="802">
        <v>0.05</v>
      </c>
      <c r="J8" s="74">
        <v>0.09</v>
      </c>
      <c r="K8" s="1251">
        <f>SUMIF('数据-汇总表'!C$19:C$33,A8,'数据-汇总表'!E$19:E$33)</f>
        <v>2396.8900000000003</v>
      </c>
      <c r="L8" s="803">
        <v>2500</v>
      </c>
      <c r="M8" s="75">
        <f>ROUND(K8*L8/10000,0)</f>
        <v>599</v>
      </c>
      <c r="N8" s="801">
        <v>0.98</v>
      </c>
      <c r="O8" s="75">
        <f t="shared" si="3"/>
        <v>587</v>
      </c>
      <c r="P8" s="76">
        <f t="shared" si="4"/>
        <v>12</v>
      </c>
      <c r="Q8" s="804">
        <v>0.1</v>
      </c>
      <c r="R8" s="77">
        <f ca="1">SUMIF('数据-汇总表'!C$19:C$33,A8,'数据-汇总表'!R$19:R$27)</f>
        <v>484.51</v>
      </c>
      <c r="S8" s="54">
        <f>IF('数据-汇总表'!$I$17="按面积比例",SUMIF('数据-汇总表'!C$19:C$33,A8,'数据-汇总表'!K$19:K$33),SUMIF('数据-汇总表'!C$19:C$33,A8,'数据-汇总表'!N$19:N$33))</f>
        <v>221.54</v>
      </c>
      <c r="T8" s="1443">
        <f t="shared" si="5"/>
        <v>44</v>
      </c>
      <c r="U8" s="805">
        <v>1.2</v>
      </c>
      <c r="V8" s="806">
        <v>0.02</v>
      </c>
      <c r="W8" s="806">
        <v>0.1</v>
      </c>
      <c r="X8" s="1261"/>
      <c r="Y8" s="807">
        <v>1</v>
      </c>
      <c r="Z8" s="81"/>
      <c r="AA8" s="74"/>
      <c r="AB8" s="74"/>
      <c r="AC8" s="1261"/>
      <c r="AD8" s="82"/>
      <c r="AE8" s="1262">
        <f t="shared" ca="1" si="6"/>
        <v>41.02</v>
      </c>
      <c r="AF8" s="1804"/>
      <c r="AG8" s="147">
        <f t="shared" si="7"/>
        <v>0</v>
      </c>
      <c r="AH8" s="808"/>
      <c r="AI8" s="85">
        <v>365</v>
      </c>
      <c r="AJ8" s="86"/>
      <c r="AK8" s="87">
        <v>1.4999999999999999E-2</v>
      </c>
      <c r="AL8" s="88">
        <v>2E-3</v>
      </c>
      <c r="AM8" s="89">
        <v>0.02</v>
      </c>
      <c r="AN8" s="2309" t="s">
        <v>3074</v>
      </c>
      <c r="AO8" s="55">
        <f t="shared" ca="1" si="8"/>
        <v>1472</v>
      </c>
      <c r="AP8" s="2310">
        <f t="shared" si="9"/>
        <v>0</v>
      </c>
      <c r="AQ8" s="55">
        <f t="shared" si="10"/>
        <v>43</v>
      </c>
      <c r="AR8" s="55">
        <f t="shared" si="11"/>
        <v>1</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2014</v>
      </c>
      <c r="B14" s="2307" t="s">
        <v>2015</v>
      </c>
      <c r="C14" s="2312" t="s">
        <v>2014</v>
      </c>
      <c r="D14" s="1051"/>
      <c r="E14" s="1048"/>
      <c r="F14" s="72"/>
      <c r="G14" s="73"/>
      <c r="H14" s="1250"/>
      <c r="I14" s="1250"/>
      <c r="J14" s="1250"/>
      <c r="K14" s="1251">
        <f>SUMIF('数据-汇总表'!C$19:C$33,A14,'数据-汇总表'!E$19:E$33)</f>
        <v>6752.99</v>
      </c>
      <c r="L14" s="91">
        <v>2000</v>
      </c>
      <c r="M14" s="75">
        <f t="shared" si="0"/>
        <v>1351</v>
      </c>
      <c r="N14" s="92">
        <v>0.98</v>
      </c>
      <c r="O14" s="75">
        <f t="shared" si="3"/>
        <v>1324</v>
      </c>
      <c r="P14" s="76">
        <f t="shared" si="4"/>
        <v>27</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2016</v>
      </c>
      <c r="B15" s="2307" t="s">
        <v>2015</v>
      </c>
      <c r="C15" s="2312"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2018</v>
      </c>
      <c r="B16" s="97"/>
      <c r="C16" s="1005"/>
      <c r="D16" s="2314"/>
      <c r="E16" s="97"/>
      <c r="F16" s="97"/>
      <c r="G16" s="98">
        <f>ROUND(SUMPRODUCT(G6:G13,K6:K13)/SUMPRODUCT((G6:G13&gt;0)*(K6:K13)),3)</f>
        <v>0.94299999999999995</v>
      </c>
      <c r="H16" s="99">
        <f>ROUND(SUMPRODUCT(H6:H13,K6:K13)/SUMPRODUCT((H6:H13&gt;0)*(K6:K13)),3)</f>
        <v>0.05</v>
      </c>
      <c r="I16" s="100"/>
      <c r="J16" s="100"/>
      <c r="K16" s="101">
        <f>SUM(K6:K15)</f>
        <v>79815.240000000005</v>
      </c>
      <c r="L16" s="102">
        <f>ROUND(M16*10000/SUM(K6:K14),0)</f>
        <v>3309</v>
      </c>
      <c r="M16" s="102">
        <f>SUM(M6:M14)</f>
        <v>26409</v>
      </c>
      <c r="N16" s="103">
        <f>ROUND(SUMPRODUCT(M6:M14,N6:N14)/M16,3)</f>
        <v>0.98</v>
      </c>
      <c r="O16" s="102">
        <f>SUM(O6:O14)</f>
        <v>25881</v>
      </c>
      <c r="P16" s="102">
        <f>SUM(P6:P14)</f>
        <v>528</v>
      </c>
      <c r="Q16" s="104">
        <f>ROUND(SUMPRODUCT(Q6:Q13,K6:K13)/SUMPRODUCT((Q6:Q13&gt;0)*(K6:K13)),2)</f>
        <v>0.2</v>
      </c>
      <c r="R16" s="1255">
        <f ca="1">SUM(R6:R13)</f>
        <v>14769.12</v>
      </c>
      <c r="S16" s="105">
        <f>SUM(S6:S13)</f>
        <v>6752.99</v>
      </c>
      <c r="T16" s="106">
        <f>IF(SUMIF(T6:T13,"&lt;9E307")=M14,SUMIF(T6:T13,"&lt;9E307"),"有误，请检查")</f>
        <v>1351</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2020</v>
      </c>
      <c r="B19" s="112">
        <v>0</v>
      </c>
      <c r="C19" s="2277" t="s">
        <v>2021</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2022</v>
      </c>
      <c r="B20" s="113">
        <v>2</v>
      </c>
      <c r="C20" s="2277" t="s">
        <v>2023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2024</v>
      </c>
      <c r="B21" s="113">
        <v>1.9</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2025</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2026</v>
      </c>
      <c r="B23" s="114">
        <f>B19+B21</f>
        <v>1.9</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2027</v>
      </c>
      <c r="B24" s="115">
        <f>B20-B21</f>
        <v>0.10000000000000009</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2028</v>
      </c>
      <c r="B26" s="2320" t="s">
        <v>2029</v>
      </c>
      <c r="C26" s="2321" t="s">
        <v>2030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2031</v>
      </c>
      <c r="B27" s="116">
        <v>0</v>
      </c>
      <c r="C27" s="1764" t="s">
        <v>2032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2033</v>
      </c>
      <c r="B28" s="119">
        <v>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2034</v>
      </c>
      <c r="B29" s="121">
        <v>0</v>
      </c>
      <c r="C29" s="1764" t="s">
        <v>2035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2036</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2037</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2038</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2039</v>
      </c>
      <c r="B33" s="726">
        <v>0.03</v>
      </c>
      <c r="C33" s="1763" t="s">
        <v>2040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2041</v>
      </c>
      <c r="B34" s="122">
        <v>0.03</v>
      </c>
      <c r="C34" s="1763" t="s">
        <v>2042</v>
      </c>
      <c r="D34" s="2278" t="s">
        <v>2043</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2044</v>
      </c>
      <c r="B35" s="119">
        <v>200</v>
      </c>
      <c r="C35" s="1763" t="s">
        <v>2045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2046</v>
      </c>
      <c r="B36" s="123">
        <v>1.4999999999999999E-2</v>
      </c>
      <c r="C36" s="1763" t="s">
        <v>2047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2048</v>
      </c>
      <c r="B37" s="124">
        <v>0.03</v>
      </c>
      <c r="C37" s="1763" t="s">
        <v>2049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2050</v>
      </c>
      <c r="B38" s="122">
        <v>0.03</v>
      </c>
      <c r="C38" s="1763" t="s">
        <v>2049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2052</v>
      </c>
      <c r="B40" s="1300">
        <f ca="1">存贷款利率!G1</f>
        <v>4.7500000000000001E-2</v>
      </c>
      <c r="C40" s="1763" t="s">
        <v>2053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2054</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2056</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2057</v>
      </c>
      <c r="B44" s="128">
        <v>0.05</v>
      </c>
      <c r="C44" s="1763" t="s">
        <v>2058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2059</v>
      </c>
      <c r="B45" s="126">
        <v>0.03</v>
      </c>
      <c r="C45" s="1764" t="s">
        <v>2060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2061</v>
      </c>
      <c r="B46" s="126">
        <v>0.02</v>
      </c>
      <c r="C46" s="1764" t="s">
        <v>2062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2063</v>
      </c>
      <c r="B47" s="129"/>
      <c r="C47" s="1764" t="s">
        <v>2064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2065</v>
      </c>
      <c r="B48" s="130">
        <v>0.03</v>
      </c>
      <c r="C48" s="1771" t="s">
        <v>2066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2067</v>
      </c>
      <c r="B49" s="126">
        <v>5.0000000000000001E-4</v>
      </c>
      <c r="C49" s="1771" t="s">
        <v>2068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2071</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2072</v>
      </c>
      <c r="B53" s="2336" t="s">
        <v>56</v>
      </c>
      <c r="C53" s="1427" t="s">
        <v>2073</v>
      </c>
      <c r="D53" s="2337" t="s">
        <v>2074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2075</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2076</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2077</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2078</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2079</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2080</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2081</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2082</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4" t="s">
        <v>2085</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8"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5"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5" t="s">
        <v>2097</v>
      </c>
      <c r="C5" s="2374" t="s">
        <v>2098</v>
      </c>
      <c r="D5" s="2371"/>
      <c r="E5" s="2375"/>
      <c r="F5" s="1795" t="s">
        <v>2099</v>
      </c>
      <c r="G5" s="2376" t="s">
        <v>2100</v>
      </c>
      <c r="H5" s="2368"/>
      <c r="I5" s="2368"/>
      <c r="J5" s="2368"/>
      <c r="K5" s="2368"/>
      <c r="L5" s="2368"/>
      <c r="M5" s="2368"/>
      <c r="N5" s="2368"/>
      <c r="O5" s="2368"/>
      <c r="P5" s="2368"/>
      <c r="Q5" s="2368"/>
      <c r="R5" s="2368"/>
    </row>
    <row r="6" spans="1:29" ht="54">
      <c r="A6" s="431"/>
      <c r="B6" s="1795" t="s">
        <v>2101</v>
      </c>
      <c r="C6" s="2376" t="s">
        <v>2096</v>
      </c>
      <c r="D6" s="2371"/>
      <c r="E6" s="2375"/>
      <c r="F6" s="1795" t="s">
        <v>2102</v>
      </c>
      <c r="G6" s="2376" t="s">
        <v>2103</v>
      </c>
      <c r="H6" s="2368"/>
      <c r="I6" s="2368"/>
      <c r="J6" s="2368"/>
      <c r="K6" s="2368"/>
      <c r="L6" s="2368"/>
      <c r="M6" s="2368"/>
      <c r="N6" s="2368"/>
      <c r="O6" s="2368"/>
      <c r="P6" s="2368"/>
      <c r="Q6" s="2368"/>
      <c r="R6" s="2368"/>
    </row>
    <row r="7" spans="1:29" ht="41.25" thickBot="1">
      <c r="A7" s="431"/>
      <c r="B7" s="1795"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5" t="s">
        <v>2102</v>
      </c>
      <c r="C8" s="2376" t="s">
        <v>2103</v>
      </c>
      <c r="D8" s="2377"/>
      <c r="E8" s="2377"/>
      <c r="F8" s="1133"/>
      <c r="G8" s="1133"/>
      <c r="H8" s="2368"/>
      <c r="I8" s="2368"/>
      <c r="J8" s="2368"/>
      <c r="K8" s="2368"/>
      <c r="L8" s="2368"/>
      <c r="M8" s="2368"/>
      <c r="N8" s="2368"/>
      <c r="O8" s="2368"/>
      <c r="P8" s="2368"/>
      <c r="Q8" s="2368"/>
      <c r="R8" s="2368"/>
    </row>
    <row r="9" spans="1:29" ht="27">
      <c r="A9" s="431"/>
      <c r="B9" s="1795" t="s">
        <v>2106</v>
      </c>
      <c r="C9" s="2374" t="s">
        <v>2107</v>
      </c>
      <c r="D9" s="2371"/>
      <c r="E9" s="2377"/>
      <c r="F9" s="1133"/>
      <c r="G9" s="1133"/>
      <c r="H9" s="2368"/>
      <c r="I9" s="2368"/>
      <c r="J9" s="2368"/>
      <c r="K9" s="2368"/>
      <c r="L9" s="2368"/>
      <c r="M9" s="2368"/>
      <c r="N9" s="2368"/>
      <c r="O9" s="2368"/>
      <c r="P9" s="2368"/>
      <c r="Q9" s="2368"/>
      <c r="R9" s="2368"/>
    </row>
    <row r="10" spans="1:29" s="117" customFormat="1" ht="15.75" thickBot="1">
      <c r="A10" s="2381"/>
      <c r="B10" s="2382" t="s">
        <v>2108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7" t="s">
        <v>2089</v>
      </c>
      <c r="C15" s="2403" t="str">
        <f>C3</f>
        <v>估价对象周边居住用地比例、居住小区规模和社区发展完善程度，综合评价居住社区成熟度一般</v>
      </c>
      <c r="D15" s="2371"/>
      <c r="E15" s="2404" t="s">
        <v>2113</v>
      </c>
      <c r="F15" s="1267"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69"/>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69"/>
      <c r="D19" s="2371"/>
      <c r="E19" s="2407"/>
      <c r="F19" s="1795"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5" t="s">
        <v>2118</v>
      </c>
      <c r="G20" s="136" t="str">
        <f>G6</f>
        <v>估价对象所在区域基础设施水平</v>
      </c>
    </row>
    <row r="21" spans="1:18" ht="28.5">
      <c r="A21" s="645"/>
      <c r="B21" s="1795" t="s">
        <v>2099</v>
      </c>
      <c r="C21" s="136" t="str">
        <f>C7</f>
        <v>估价对象所在区域公共配套设施齐备情况</v>
      </c>
      <c r="D21" s="2371"/>
      <c r="E21" s="2407"/>
      <c r="F21" s="2408" t="s">
        <v>2119</v>
      </c>
      <c r="G21" s="2409"/>
    </row>
    <row r="22" spans="1:18" ht="13.5" customHeight="1">
      <c r="A22" s="645"/>
      <c r="B22" s="1795" t="s">
        <v>2102</v>
      </c>
      <c r="C22" s="136" t="str">
        <f>C8</f>
        <v>估价对象所在区域基础设施水平</v>
      </c>
      <c r="D22" s="2371"/>
      <c r="E22" s="2407"/>
      <c r="F22" s="2408" t="s">
        <v>2108</v>
      </c>
      <c r="G22" s="1569"/>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9" sqref="A29"/>
    </sheetView>
  </sheetViews>
  <sheetFormatPr defaultRowHeight="13.5"/>
  <cols>
    <col min="1" max="1" width="23.375" style="1738" customWidth="1"/>
    <col min="2" max="9" width="15.75" style="1738" customWidth="1"/>
    <col min="10" max="16384" width="9" style="1738"/>
  </cols>
  <sheetData>
    <row r="1" spans="1:10" ht="16.5">
      <c r="A1" s="1743" t="s">
        <v>1365</v>
      </c>
      <c r="B1" s="1743">
        <f>SUM(B14:B23)</f>
        <v>79815.240000000005</v>
      </c>
      <c r="C1" s="1742"/>
      <c r="D1" s="1742"/>
      <c r="E1" s="1742"/>
      <c r="F1" s="1742"/>
      <c r="G1" s="1740"/>
    </row>
    <row r="2" spans="1:10" ht="16.5">
      <c r="A2" s="1743" t="s">
        <v>1353</v>
      </c>
      <c r="B2" s="1743">
        <f>SUM(C14:C23)</f>
        <v>14769.13</v>
      </c>
      <c r="C2" s="1742"/>
      <c r="D2" s="1742"/>
      <c r="E2" s="1742"/>
      <c r="F2" s="1742"/>
      <c r="G2" s="1740"/>
    </row>
    <row r="3" spans="1:10" ht="16.5">
      <c r="A3" s="1743" t="s">
        <v>1362</v>
      </c>
      <c r="B3" s="1744">
        <f>项目基本情况!D3</f>
        <v>43273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218371</v>
      </c>
      <c r="C5" s="1743">
        <f ca="1">ROUND(B5*10000/$B$1,0)</f>
        <v>27360</v>
      </c>
      <c r="D5" s="1743">
        <f ca="1">ROUND(B5*10000/$B$2,0)</f>
        <v>147856</v>
      </c>
      <c r="E5" s="1742"/>
      <c r="F5" s="1740"/>
      <c r="G5" s="1740"/>
    </row>
    <row r="6" spans="1:10" ht="16.5">
      <c r="A6" s="1743" t="s">
        <v>1356</v>
      </c>
      <c r="B6" s="1743">
        <f ca="1">SUM(G14:G23)</f>
        <v>218371</v>
      </c>
      <c r="C6" s="1743">
        <f ca="1">ROUND(B6*10000/$B$1,0)</f>
        <v>27360</v>
      </c>
      <c r="D6" s="1743">
        <f ca="1">ROUND(B6*10000/$B$2,0)</f>
        <v>147856</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79815.240000000005</v>
      </c>
      <c r="C14" s="1741">
        <f>结果表!C118</f>
        <v>14769.13</v>
      </c>
      <c r="D14" s="1741">
        <f ca="1">结果表!H118</f>
        <v>218371</v>
      </c>
      <c r="E14" s="1741">
        <f ca="1">ROUND(D14*10000/B14,0)</f>
        <v>27360</v>
      </c>
      <c r="F14" s="1741">
        <f ca="1">ROUND(D14*10000/C14,0)</f>
        <v>147856</v>
      </c>
      <c r="G14" s="1741">
        <f ca="1">结果表!D122</f>
        <v>218371</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2122</v>
      </c>
      <c r="B1" s="2419"/>
      <c r="C1" s="2420"/>
      <c r="D1" s="2419"/>
      <c r="E1" s="2419"/>
      <c r="F1" s="2421" t="s">
        <v>2123</v>
      </c>
      <c r="G1" s="2071" t="s">
        <v>2124</v>
      </c>
      <c r="H1" s="2422" t="str">
        <f>IF(G1="现房","——","估价对象范围")</f>
        <v>估价对象范围</v>
      </c>
      <c r="I1" s="2423" t="s">
        <v>3692</v>
      </c>
    </row>
    <row r="2" spans="1:12" ht="21.75" customHeight="1" thickBot="1">
      <c r="A2" s="3128" t="str">
        <f>项目基本情况!S2</f>
        <v>北京市出让国有建设用地使用权及在建建筑物房地产</v>
      </c>
      <c r="B2" s="3129"/>
      <c r="C2" s="3129"/>
      <c r="D2" s="3129"/>
      <c r="E2" s="3129"/>
      <c r="F2" s="3129"/>
      <c r="G2" s="3129"/>
      <c r="H2" s="3129"/>
      <c r="I2" s="3130"/>
    </row>
    <row r="3" spans="1:12" ht="12.75">
      <c r="A3" s="3131" t="s">
        <v>2125</v>
      </c>
      <c r="B3" s="3132"/>
      <c r="C3" s="3132"/>
      <c r="D3" s="3132"/>
      <c r="E3" s="3132"/>
      <c r="F3" s="3132"/>
      <c r="G3" s="3132"/>
      <c r="H3" s="3132"/>
      <c r="I3" s="3132"/>
    </row>
    <row r="4" spans="1:12" ht="14.25">
      <c r="A4" s="2426" t="s">
        <v>2126</v>
      </c>
      <c r="B4" s="2427" t="s">
        <v>2127</v>
      </c>
      <c r="C4" s="2428" t="s">
        <v>3693</v>
      </c>
      <c r="D4" s="2428" t="s">
        <v>3694</v>
      </c>
      <c r="E4" s="3112" t="s">
        <v>2128</v>
      </c>
      <c r="F4" s="3125"/>
      <c r="G4" s="3125"/>
      <c r="H4" s="3125"/>
      <c r="I4" s="311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03" t="s">
        <v>2129</v>
      </c>
      <c r="B5" s="3029">
        <v>25</v>
      </c>
      <c r="C5" s="3133"/>
      <c r="D5" s="3121"/>
      <c r="E5" s="140" t="s">
        <v>2130</v>
      </c>
      <c r="F5" s="2430"/>
      <c r="G5" s="2430"/>
      <c r="H5" s="2430"/>
      <c r="I5" s="1831"/>
    </row>
    <row r="6" spans="1:12" ht="12.75">
      <c r="A6" s="3103"/>
      <c r="B6" s="3029"/>
      <c r="C6" s="3135"/>
      <c r="D6" s="3121"/>
      <c r="E6" s="140" t="s">
        <v>2131</v>
      </c>
      <c r="F6" s="2430"/>
      <c r="G6" s="2430"/>
      <c r="H6" s="2430"/>
      <c r="I6" s="1831"/>
    </row>
    <row r="7" spans="1:12" ht="12.75">
      <c r="A7" s="3103"/>
      <c r="B7" s="3029"/>
      <c r="C7" s="3134"/>
      <c r="D7" s="3121"/>
      <c r="E7" s="140" t="s">
        <v>2132</v>
      </c>
      <c r="F7" s="2430"/>
      <c r="G7" s="2430"/>
      <c r="H7" s="2430"/>
      <c r="I7" s="1831"/>
    </row>
    <row r="8" spans="1:12" ht="12.75">
      <c r="A8" s="3103" t="s">
        <v>2133</v>
      </c>
      <c r="B8" s="3029">
        <v>15</v>
      </c>
      <c r="C8" s="3133"/>
      <c r="D8" s="3121"/>
      <c r="E8" s="140" t="s">
        <v>2134</v>
      </c>
      <c r="F8" s="2430"/>
      <c r="G8" s="2430"/>
      <c r="H8" s="2430"/>
      <c r="I8" s="1831"/>
    </row>
    <row r="9" spans="1:12" ht="12.75">
      <c r="A9" s="3103"/>
      <c r="B9" s="3029"/>
      <c r="C9" s="3134"/>
      <c r="D9" s="3121"/>
      <c r="E9" s="140" t="s">
        <v>2135</v>
      </c>
      <c r="F9" s="2430"/>
      <c r="G9" s="2430"/>
      <c r="H9" s="2430"/>
      <c r="I9" s="1831"/>
    </row>
    <row r="10" spans="1:12" ht="12.75">
      <c r="A10" s="3103" t="s">
        <v>2136</v>
      </c>
      <c r="B10" s="3029">
        <v>15</v>
      </c>
      <c r="C10" s="3133"/>
      <c r="D10" s="3121"/>
      <c r="E10" s="140" t="s">
        <v>2137</v>
      </c>
      <c r="F10" s="2430"/>
      <c r="G10" s="2430"/>
      <c r="H10" s="2430"/>
      <c r="I10" s="1831"/>
    </row>
    <row r="11" spans="1:12" ht="12.75">
      <c r="A11" s="3103"/>
      <c r="B11" s="3029"/>
      <c r="C11" s="3134"/>
      <c r="D11" s="3121"/>
      <c r="E11" s="140" t="s">
        <v>2138</v>
      </c>
      <c r="F11" s="2430"/>
      <c r="G11" s="2430"/>
      <c r="H11" s="2430"/>
      <c r="I11" s="1831"/>
    </row>
    <row r="12" spans="1:12" ht="12.75">
      <c r="A12" s="3103" t="s">
        <v>2139</v>
      </c>
      <c r="B12" s="3029">
        <v>15</v>
      </c>
      <c r="C12" s="3133"/>
      <c r="D12" s="3121"/>
      <c r="E12" s="140" t="s">
        <v>2140</v>
      </c>
      <c r="F12" s="2430"/>
      <c r="G12" s="2430"/>
      <c r="H12" s="2430"/>
      <c r="I12" s="1831"/>
    </row>
    <row r="13" spans="1:12" ht="12.75">
      <c r="A13" s="3103"/>
      <c r="B13" s="3029"/>
      <c r="C13" s="3134"/>
      <c r="D13" s="3121"/>
      <c r="E13" s="140" t="s">
        <v>2141</v>
      </c>
      <c r="F13" s="2430"/>
      <c r="G13" s="2430"/>
      <c r="H13" s="2430"/>
      <c r="I13" s="1831"/>
    </row>
    <row r="14" spans="1:12" ht="12.75">
      <c r="A14" s="3103" t="s">
        <v>2142</v>
      </c>
      <c r="B14" s="3029">
        <v>30</v>
      </c>
      <c r="C14" s="3133">
        <v>0.4</v>
      </c>
      <c r="D14" s="3121">
        <f>1-C14</f>
        <v>0.6</v>
      </c>
      <c r="E14" s="140" t="s">
        <v>2143</v>
      </c>
      <c r="F14" s="2430"/>
      <c r="G14" s="2430"/>
      <c r="H14" s="2430"/>
      <c r="I14" s="1831"/>
    </row>
    <row r="15" spans="1:12" ht="12.75">
      <c r="A15" s="3103"/>
      <c r="B15" s="3029"/>
      <c r="C15" s="3135"/>
      <c r="D15" s="3121"/>
      <c r="E15" s="140" t="s">
        <v>2144</v>
      </c>
      <c r="F15" s="2430"/>
      <c r="G15" s="2430"/>
      <c r="H15" s="2430"/>
      <c r="I15" s="1831"/>
    </row>
    <row r="16" spans="1:12" ht="12.75">
      <c r="A16" s="3103"/>
      <c r="B16" s="3029"/>
      <c r="C16" s="3134"/>
      <c r="D16" s="3121"/>
      <c r="E16" s="140" t="s">
        <v>2145</v>
      </c>
      <c r="F16" s="2430"/>
      <c r="G16" s="2430"/>
      <c r="H16" s="2430"/>
      <c r="I16" s="1831"/>
    </row>
    <row r="17" spans="1:35" ht="15">
      <c r="A17" s="2431" t="s">
        <v>2146</v>
      </c>
      <c r="B17" s="64"/>
      <c r="C17" s="141">
        <f>SUM(C5:C16)</f>
        <v>0.4</v>
      </c>
      <c r="D17" s="141">
        <f>SUM(D5:D16)</f>
        <v>0.6</v>
      </c>
      <c r="E17" s="138"/>
      <c r="F17" s="138"/>
      <c r="G17" s="138"/>
      <c r="H17" s="138"/>
      <c r="I17" s="138"/>
      <c r="K17" s="2429"/>
      <c r="L17" s="2432" t="s">
        <v>2147</v>
      </c>
      <c r="M17" s="2432" t="s">
        <v>2148</v>
      </c>
    </row>
    <row r="18" spans="1:35" ht="15.75" thickBot="1">
      <c r="A18" s="2433" t="s">
        <v>2149</v>
      </c>
      <c r="B18" s="2434"/>
      <c r="C18" s="142">
        <f>ROUND(C17/SUM(C17:D17),2)</f>
        <v>0.4</v>
      </c>
      <c r="D18" s="142">
        <f>1-C18</f>
        <v>0.6</v>
      </c>
      <c r="E18" s="138"/>
      <c r="F18" s="138"/>
      <c r="G18" s="138"/>
      <c r="H18" s="138"/>
      <c r="I18" s="138"/>
      <c r="K18" s="2429" t="s">
        <v>2150</v>
      </c>
      <c r="L18" s="2429">
        <f>IF(C1="",'数据-汇总表'!E3,SUMIF(项目类型,C1,'数据-汇总表'!E17:E26)+SUMIF(项目类型,C1,'数据-汇总表'!I17:I26))</f>
        <v>79815.240000000005</v>
      </c>
      <c r="M18" s="2429">
        <f>IF(C1="",'数据-汇总表'!E3,SUMIF(项目类型,C1,'数据-汇总表'!E17:E26))</f>
        <v>79815.240000000005</v>
      </c>
    </row>
    <row r="19" spans="1:35" ht="15">
      <c r="A19" s="2435" t="s">
        <v>2151</v>
      </c>
      <c r="B19" s="2436" t="s">
        <v>2152</v>
      </c>
      <c r="C19" s="143">
        <f ca="1">SUMIF(INDIRECT("'"&amp;C4&amp;"'"&amp;"!A:A"),结果表!B19,INDIRECT("'"&amp;C4&amp;"'"&amp;"!B:B"))</f>
        <v>158921</v>
      </c>
      <c r="D19" s="144">
        <f ca="1">SUMIF(INDIRECT("'"&amp;D4&amp;"'"&amp;"!A:A"),结果表!B19,INDIRECT("'"&amp;D4&amp;"'"&amp;"!B:B"))</f>
        <v>258004</v>
      </c>
      <c r="E19" s="2435" t="s">
        <v>2153</v>
      </c>
      <c r="F19" s="2436" t="s">
        <v>2152</v>
      </c>
      <c r="G19" s="145">
        <f ca="1">ROUND(C19*$C$18+D19*$D$18,0)</f>
        <v>218371</v>
      </c>
      <c r="H19" s="2437" t="s">
        <v>2154</v>
      </c>
      <c r="I19" s="138"/>
      <c r="K19" s="2429" t="s">
        <v>2155</v>
      </c>
      <c r="L19" s="2429">
        <f>IF(C1="",'数据-汇总表'!D3,SUMIF(项目类型,C1,'数据-汇总表'!D17:D26)+SUMIF(项目类型,C1,'数据-汇总表'!H17:H27))</f>
        <v>14769.13</v>
      </c>
      <c r="M19" s="2429">
        <f>IF(C1="",'数据-汇总表'!D3,SUMIF(项目类型,C1,'数据-汇总表'!D17:D26))</f>
        <v>14769.13</v>
      </c>
    </row>
    <row r="20" spans="1:35" ht="15">
      <c r="A20" s="2438"/>
      <c r="B20" s="1247" t="s">
        <v>2156</v>
      </c>
      <c r="C20" s="146">
        <f ca="1">SUMIF(INDIRECT("'"&amp;C4&amp;"'"&amp;"!A:A"),结果表!B20,INDIRECT("'"&amp;C4&amp;"'"&amp;"!B:B"))</f>
        <v>19911</v>
      </c>
      <c r="D20" s="147">
        <f ca="1">SUMIF(INDIRECT("'"&amp;D4&amp;"'"&amp;"!A:A"),结果表!B20,INDIRECT("'"&amp;D4&amp;"'"&amp;"!B:B"))</f>
        <v>32325</v>
      </c>
      <c r="E20" s="2438"/>
      <c r="F20" s="1247" t="s">
        <v>2156</v>
      </c>
      <c r="G20" s="148">
        <f ca="1">ROUND(C20*$C$18+D20*$D$18,0)</f>
        <v>27359</v>
      </c>
      <c r="H20" s="980" t="s">
        <v>2157</v>
      </c>
      <c r="I20" s="138"/>
    </row>
    <row r="21" spans="1:35" ht="15" customHeight="1" thickBot="1">
      <c r="A21" s="1000"/>
      <c r="B21" s="2439" t="s">
        <v>2158</v>
      </c>
      <c r="C21" s="789">
        <f ca="1">ROUND(C19*10000/L19,0)</f>
        <v>107603</v>
      </c>
      <c r="D21" s="790">
        <f ca="1">ROUND(D19*10000/L19,0)</f>
        <v>174691</v>
      </c>
      <c r="E21" s="1000"/>
      <c r="F21" s="2439" t="s">
        <v>2158</v>
      </c>
      <c r="G21" s="149">
        <f ca="1">ROUND(G19*10000/L19,0)</f>
        <v>147856</v>
      </c>
      <c r="H21" s="2440" t="s">
        <v>2157</v>
      </c>
      <c r="I21" s="138"/>
    </row>
    <row r="22" spans="1:35" ht="15" thickBot="1">
      <c r="A22" s="2281" t="s">
        <v>2159</v>
      </c>
      <c r="B22" s="2441"/>
      <c r="C22" s="2442"/>
      <c r="D22" s="791">
        <f ca="1">IF(C19&lt;D19,D19/C19-1,C19/D19-1)</f>
        <v>0.62347329805375007</v>
      </c>
      <c r="E22" s="138"/>
      <c r="F22" s="138"/>
      <c r="G22" s="138"/>
      <c r="H22" s="138"/>
      <c r="I22" s="138"/>
    </row>
    <row r="23" spans="1:35" ht="13.5" thickBot="1">
      <c r="A23" s="2419"/>
      <c r="B23" s="2419"/>
      <c r="C23" s="2419"/>
      <c r="D23" s="2419"/>
      <c r="E23" s="138"/>
      <c r="F23" s="138"/>
      <c r="G23" s="138"/>
      <c r="H23" s="138"/>
      <c r="I23" s="138"/>
    </row>
    <row r="24" spans="1:35" ht="14.25">
      <c r="A24" s="3142" t="s">
        <v>2160</v>
      </c>
      <c r="B24" s="2436" t="s">
        <v>2152</v>
      </c>
      <c r="C24" s="145">
        <f>IF(B30=0,0,D30)</f>
        <v>0</v>
      </c>
      <c r="D24" s="2443"/>
      <c r="E24" s="138"/>
      <c r="F24" s="138"/>
      <c r="G24" s="138"/>
      <c r="H24" s="138"/>
      <c r="I24" s="138"/>
    </row>
    <row r="25" spans="1:35" ht="14.25">
      <c r="A25" s="3143"/>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218371</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6"/>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122" t="s">
        <v>2174</v>
      </c>
      <c r="B36" s="2462" t="s">
        <v>2175</v>
      </c>
      <c r="C36" s="154"/>
      <c r="D36" s="2463"/>
      <c r="E36" s="2464"/>
      <c r="F36" s="2465"/>
      <c r="G36" s="138"/>
      <c r="H36" s="138"/>
      <c r="I36" s="138"/>
    </row>
    <row r="37" spans="1:15" ht="15.75" thickBot="1">
      <c r="A37" s="3123"/>
      <c r="B37" s="2267" t="s">
        <v>2176</v>
      </c>
      <c r="C37" s="156"/>
      <c r="D37" s="1392"/>
      <c r="E37" s="1392"/>
      <c r="F37" s="2465"/>
      <c r="G37" s="138"/>
      <c r="H37" s="138"/>
      <c r="I37" s="138"/>
    </row>
    <row r="38" spans="1:15" ht="15.75" thickBot="1">
      <c r="A38" s="3124"/>
      <c r="B38" s="2466" t="s">
        <v>2177</v>
      </c>
      <c r="C38" s="727"/>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139" t="s">
        <v>2188</v>
      </c>
      <c r="B45" s="3140"/>
      <c r="C45" s="3141"/>
      <c r="D45" s="164">
        <f ca="1">ROUND(H101*F45,0)</f>
        <v>218371</v>
      </c>
      <c r="E45" s="165" t="s">
        <v>2189</v>
      </c>
      <c r="F45" s="166">
        <v>1</v>
      </c>
      <c r="G45" s="167" t="s">
        <v>2190</v>
      </c>
      <c r="H45" s="138"/>
      <c r="I45" s="138"/>
      <c r="J45" s="3058" t="s">
        <v>2191</v>
      </c>
      <c r="K45" s="3058"/>
      <c r="L45" s="3058"/>
      <c r="M45" s="3058"/>
      <c r="N45" s="3058"/>
      <c r="O45" s="3058"/>
    </row>
    <row r="46" spans="1:15" ht="14.25" customHeight="1">
      <c r="A46" s="3136" t="s">
        <v>2192</v>
      </c>
      <c r="B46" s="3137"/>
      <c r="C46" s="3137"/>
      <c r="D46" s="3137"/>
      <c r="E46" s="3137"/>
      <c r="F46" s="3137"/>
      <c r="G46" s="3138"/>
      <c r="H46" s="2481"/>
      <c r="I46" s="168"/>
      <c r="J46" s="1809">
        <v>1</v>
      </c>
      <c r="K46" s="3058" t="s">
        <v>2193</v>
      </c>
      <c r="L46" s="3058"/>
      <c r="M46" s="3059"/>
      <c r="N46" s="3059"/>
      <c r="O46" s="3059"/>
    </row>
    <row r="47" spans="1:15" ht="12" customHeight="1">
      <c r="A47" s="169" t="s">
        <v>2194</v>
      </c>
      <c r="B47" s="170"/>
      <c r="C47" s="171"/>
      <c r="D47" s="172" t="s">
        <v>2195</v>
      </c>
      <c r="E47" s="24" t="s">
        <v>2196</v>
      </c>
      <c r="F47" s="173" t="s">
        <v>2197</v>
      </c>
      <c r="G47" s="174" t="s">
        <v>2198</v>
      </c>
      <c r="H47" s="2481"/>
      <c r="I47" s="168"/>
      <c r="J47" s="1809">
        <v>2</v>
      </c>
      <c r="K47" s="3058" t="s">
        <v>2199</v>
      </c>
      <c r="L47" s="3058"/>
      <c r="M47" s="3060">
        <f>'数据-取费表'!B2</f>
        <v>43273</v>
      </c>
      <c r="N47" s="3060"/>
      <c r="O47" s="3060"/>
    </row>
    <row r="48" spans="1:15" ht="25.5">
      <c r="A48" s="3126" t="s">
        <v>2200</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82" t="s">
        <v>2201</v>
      </c>
      <c r="H48" s="2483" t="s">
        <v>2202</v>
      </c>
      <c r="I48" s="2481"/>
      <c r="J48" s="1809">
        <v>3</v>
      </c>
      <c r="K48" s="3058" t="s">
        <v>2203</v>
      </c>
      <c r="L48" s="3058"/>
      <c r="M48" s="3061">
        <f ca="1">H101</f>
        <v>218371</v>
      </c>
      <c r="N48" s="3061"/>
      <c r="O48" s="3061"/>
    </row>
    <row r="49" spans="1:35" ht="25.5" customHeight="1">
      <c r="A49" s="176" t="s">
        <v>2204</v>
      </c>
      <c r="B49" s="3106" t="s">
        <v>2205</v>
      </c>
      <c r="C49" s="3106"/>
      <c r="D49" s="177">
        <v>0</v>
      </c>
      <c r="E49" s="23" t="s">
        <v>2206</v>
      </c>
      <c r="F49" s="28" t="s">
        <v>34</v>
      </c>
      <c r="G49" s="3087"/>
      <c r="H49" s="138"/>
      <c r="I49" s="2484"/>
      <c r="J49" s="1809">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8"/>
      <c r="B50" s="3106" t="s">
        <v>2207</v>
      </c>
      <c r="C50" s="3106"/>
      <c r="D50" s="179"/>
      <c r="E50" s="31"/>
      <c r="F50" s="180"/>
      <c r="G50" s="3088"/>
      <c r="H50" s="138"/>
      <c r="I50" s="2484"/>
      <c r="J50" s="3058" t="s">
        <v>2208</v>
      </c>
      <c r="K50" s="3058"/>
      <c r="L50" s="3058"/>
      <c r="M50" s="3058"/>
      <c r="N50" s="3058"/>
      <c r="O50" s="3058"/>
    </row>
    <row r="51" spans="1:35" ht="12" customHeight="1">
      <c r="A51" s="181"/>
      <c r="B51" s="3106" t="s">
        <v>2209</v>
      </c>
      <c r="C51" s="3106"/>
      <c r="D51" s="182"/>
      <c r="E51" s="30"/>
      <c r="F51" s="180"/>
      <c r="G51" s="3089"/>
      <c r="H51" s="138"/>
      <c r="I51" s="2484"/>
      <c r="J51" s="2485" t="s">
        <v>2210</v>
      </c>
      <c r="K51" s="3058" t="s">
        <v>2211</v>
      </c>
      <c r="L51" s="3058"/>
      <c r="M51" s="2485" t="s">
        <v>2212</v>
      </c>
      <c r="N51" s="2485" t="s">
        <v>2213</v>
      </c>
      <c r="O51" s="2485" t="s">
        <v>2214</v>
      </c>
    </row>
    <row r="52" spans="1:35" ht="24" customHeight="1">
      <c r="A52" s="183" t="s">
        <v>2215</v>
      </c>
      <c r="B52" s="3106" t="s">
        <v>2216</v>
      </c>
      <c r="C52" s="3106"/>
      <c r="D52" s="182">
        <f ca="1">ROUND(D45*'数据-取费表'!B41/(1+'数据-取费表'!C42),0)</f>
        <v>11438</v>
      </c>
      <c r="E52" s="11" t="s">
        <v>2217</v>
      </c>
      <c r="F52" s="184">
        <f>'数据-取费表'!B41</f>
        <v>5.5000000000000007E-2</v>
      </c>
      <c r="G52" s="2486"/>
      <c r="H52" s="138"/>
      <c r="I52" s="2484"/>
      <c r="J52" s="1809">
        <v>1</v>
      </c>
      <c r="K52" s="3081" t="s">
        <v>2218</v>
      </c>
      <c r="L52" s="3081"/>
      <c r="M52" s="1751">
        <f>D48</f>
        <v>0</v>
      </c>
      <c r="N52" s="1809" t="str">
        <f>E48</f>
        <v>销售额×税（费）率</v>
      </c>
      <c r="O52" s="1752" t="str">
        <f>F48</f>
        <v>免征</v>
      </c>
    </row>
    <row r="53" spans="1:35" ht="12" customHeight="1">
      <c r="A53" s="183" t="s">
        <v>2219</v>
      </c>
      <c r="B53" s="3107" t="s">
        <v>2220</v>
      </c>
      <c r="C53" s="3108"/>
      <c r="D53" s="182">
        <f ca="1">ROUND(D45*'数据-取费表'!B41/(1+'数据-取费表'!C42),0)</f>
        <v>11438</v>
      </c>
      <c r="E53" s="11" t="s">
        <v>2217</v>
      </c>
      <c r="F53" s="184">
        <f>'数据-取费表'!B41</f>
        <v>5.5000000000000007E-2</v>
      </c>
      <c r="G53" s="2486"/>
      <c r="H53" s="138"/>
      <c r="I53" s="2484"/>
      <c r="J53" s="1809">
        <v>2</v>
      </c>
      <c r="K53" s="3081" t="s">
        <v>2221</v>
      </c>
      <c r="L53" s="3081"/>
      <c r="M53" s="1751">
        <f t="shared" ref="M53:O54" ca="1" si="0">D55</f>
        <v>109</v>
      </c>
      <c r="N53" s="1809" t="str">
        <f t="shared" si="0"/>
        <v>销售额×税（费）率</v>
      </c>
      <c r="O53" s="1752">
        <f t="shared" si="0"/>
        <v>5.0000000000000001E-4</v>
      </c>
    </row>
    <row r="54" spans="1:35" ht="12" customHeight="1">
      <c r="A54" s="183" t="s">
        <v>2222</v>
      </c>
      <c r="B54" s="3107" t="s">
        <v>2223</v>
      </c>
      <c r="C54" s="3108"/>
      <c r="D54" s="182">
        <f ca="1">C68</f>
        <v>11438</v>
      </c>
      <c r="E54" s="30" t="s">
        <v>2224</v>
      </c>
      <c r="F54" s="184">
        <f>'数据-取费表'!B41</f>
        <v>5.5000000000000007E-2</v>
      </c>
      <c r="G54" s="2486"/>
      <c r="H54" s="2487"/>
      <c r="I54" s="2484"/>
      <c r="J54" s="1809">
        <v>3</v>
      </c>
      <c r="K54" s="3081" t="s">
        <v>2225</v>
      </c>
      <c r="L54" s="3081"/>
      <c r="M54" s="1751">
        <f t="shared" ca="1" si="0"/>
        <v>123795</v>
      </c>
      <c r="N54" s="1809" t="str">
        <f t="shared" si="0"/>
        <v>增值额×税（费）率</v>
      </c>
      <c r="O54" s="1753" t="str">
        <f t="shared" si="0"/>
        <v>——</v>
      </c>
    </row>
    <row r="55" spans="1:35" ht="24" customHeight="1">
      <c r="A55" s="3145" t="s">
        <v>2226</v>
      </c>
      <c r="B55" s="3127"/>
      <c r="C55" s="3127"/>
      <c r="D55" s="185">
        <f ca="1">IF(H55="个人住宅",0,ROUND(D45*I55,0))</f>
        <v>109</v>
      </c>
      <c r="E55" s="11" t="s">
        <v>2227</v>
      </c>
      <c r="F55" s="184">
        <f>IF(H55="正常",I55,"免征")</f>
        <v>5.0000000000000001E-4</v>
      </c>
      <c r="G55" s="2486"/>
      <c r="H55" s="2483" t="s">
        <v>2228</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4.75">
      <c r="A56" s="3145" t="s">
        <v>2229</v>
      </c>
      <c r="B56" s="3127"/>
      <c r="C56" s="3127"/>
      <c r="D56" s="185">
        <f ca="1">IF(H56="个人住宅",D57,D58)</f>
        <v>123795</v>
      </c>
      <c r="E56" s="11" t="s">
        <v>2230</v>
      </c>
      <c r="F56" s="184" t="str">
        <f>IF(H56="正常",F58,"免征")</f>
        <v>——</v>
      </c>
      <c r="G56" s="2488" t="s">
        <v>2231</v>
      </c>
      <c r="H56" s="2489" t="s">
        <v>2228</v>
      </c>
      <c r="I56" s="2490"/>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2.75">
      <c r="A57" s="183" t="s">
        <v>2204</v>
      </c>
      <c r="B57" s="3112" t="s">
        <v>2232</v>
      </c>
      <c r="C57" s="3113"/>
      <c r="D57" s="187">
        <v>0</v>
      </c>
      <c r="E57" s="23" t="s">
        <v>2206</v>
      </c>
      <c r="F57" s="155"/>
      <c r="G57" s="2486"/>
      <c r="H57" s="2490"/>
      <c r="I57" s="2490"/>
      <c r="J57" s="3081">
        <f>IF(AND(J55="",J56=""),4,IF(项目基本情况!K6="上海银行",结果表!J56+1,结果表!J55+1))</f>
        <v>4</v>
      </c>
      <c r="K57" s="3081" t="s">
        <v>2233</v>
      </c>
      <c r="L57" s="2491" t="s">
        <v>2234</v>
      </c>
      <c r="M57" s="1756"/>
      <c r="N57" s="1757">
        <f ca="1">SUMIF(M52:M56,"&lt;9e307")</f>
        <v>123904</v>
      </c>
      <c r="O57" s="2492"/>
      <c r="P57" s="1750" t="e">
        <f ca="1">N57/M49</f>
        <v>#VALUE!</v>
      </c>
    </row>
    <row r="58" spans="1:35" ht="24.75">
      <c r="A58" s="183" t="s">
        <v>2215</v>
      </c>
      <c r="B58" s="3112" t="s">
        <v>2235</v>
      </c>
      <c r="C58" s="3125"/>
      <c r="D58" s="185">
        <f ca="1">IF(H58="转让取得",C81,C97)</f>
        <v>123795</v>
      </c>
      <c r="E58" s="11" t="s">
        <v>2230</v>
      </c>
      <c r="F58" s="24" t="s">
        <v>34</v>
      </c>
      <c r="G58" s="2486"/>
      <c r="H58" s="2489" t="s">
        <v>2236</v>
      </c>
      <c r="I58" s="2490"/>
      <c r="J58" s="3081"/>
      <c r="K58" s="3081"/>
      <c r="L58" s="2491" t="s">
        <v>2237</v>
      </c>
      <c r="M58" s="1758"/>
      <c r="N58" s="2493" t="str">
        <f ca="1">NUMBERSTRING(INT(N57*10000),2)&amp;"元整"</f>
        <v>壹拾贰亿叁仟玖佰零肆万元整</v>
      </c>
      <c r="O58" s="2494"/>
    </row>
    <row r="59" spans="1:35" ht="24.75" thickBot="1">
      <c r="A59" s="3085" t="s">
        <v>2238</v>
      </c>
      <c r="B59" s="3086"/>
      <c r="C59" s="3086"/>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083">
        <f>J57+1</f>
        <v>5</v>
      </c>
      <c r="K59" s="3081" t="s">
        <v>2240</v>
      </c>
      <c r="L59" s="1809" t="s">
        <v>2234</v>
      </c>
      <c r="M59" s="1759"/>
      <c r="N59" s="1760" t="e">
        <f ca="1">M49-N57</f>
        <v>#VALUE!</v>
      </c>
      <c r="O59" s="2496"/>
    </row>
    <row r="60" spans="1:35" ht="12" customHeight="1">
      <c r="A60" s="2497"/>
      <c r="B60" s="2419"/>
      <c r="C60" s="2419"/>
      <c r="D60" s="2419"/>
      <c r="E60" s="2167"/>
      <c r="F60" s="2490"/>
      <c r="G60" s="2490"/>
      <c r="H60" s="2498"/>
      <c r="I60" s="138"/>
      <c r="J60" s="3084"/>
      <c r="K60" s="3081"/>
      <c r="L60" s="2491" t="s">
        <v>2237</v>
      </c>
      <c r="M60" s="1758"/>
      <c r="N60" s="2493" t="e">
        <f ca="1">NUMBERSTRING(INT(N59*10000),2)&amp;"元整"</f>
        <v>#VALUE!</v>
      </c>
      <c r="O60" s="2494"/>
    </row>
    <row r="61" spans="1:35" ht="13.5" thickBot="1">
      <c r="A61" s="3144" t="s">
        <v>2241</v>
      </c>
      <c r="B61" s="3144"/>
      <c r="C61" s="3144"/>
      <c r="D61" s="3144"/>
      <c r="E61" s="3144"/>
      <c r="F61" s="2490"/>
      <c r="G61" s="2490"/>
      <c r="H61" s="2498"/>
      <c r="I61" s="138"/>
      <c r="J61" s="1809">
        <f>J59+1</f>
        <v>6</v>
      </c>
      <c r="K61" s="3081" t="s">
        <v>2242</v>
      </c>
      <c r="L61" s="3081"/>
      <c r="M61" s="1761"/>
      <c r="N61" s="1762" t="e">
        <f ca="1">ROUND(N59*10000/'数据-汇总表'!E3,0)</f>
        <v>#VALUE!</v>
      </c>
      <c r="O61" s="2499"/>
    </row>
    <row r="62" spans="1:35" ht="12.75">
      <c r="A62" s="3101" t="s">
        <v>2243</v>
      </c>
      <c r="B62" s="3102"/>
      <c r="C62" s="1801"/>
      <c r="D62" s="1801" t="s">
        <v>2244</v>
      </c>
      <c r="E62" s="192" t="s">
        <v>2245</v>
      </c>
      <c r="F62" s="2490"/>
      <c r="G62" s="2490"/>
      <c r="H62" s="2498"/>
      <c r="I62" s="138"/>
    </row>
    <row r="63" spans="1:35" ht="12.75">
      <c r="A63" s="203" t="s">
        <v>775</v>
      </c>
      <c r="B63" s="193" t="s">
        <v>2246</v>
      </c>
      <c r="C63" s="194">
        <f ca="1">ROUND((C64+C65)/(1+'数据-取费表'!C42),0)</f>
        <v>207972</v>
      </c>
      <c r="D63" s="195"/>
      <c r="E63" s="196"/>
      <c r="F63" s="2490"/>
      <c r="G63" s="2490"/>
      <c r="H63" s="2498"/>
      <c r="I63" s="138"/>
      <c r="J63" s="3066" t="s">
        <v>2247</v>
      </c>
      <c r="K63" s="2500" t="s">
        <v>2248</v>
      </c>
      <c r="L63" s="1749"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218371</v>
      </c>
      <c r="D64" s="200" t="s">
        <v>32</v>
      </c>
      <c r="E64" s="201"/>
      <c r="F64" s="2490"/>
      <c r="G64" s="2490"/>
      <c r="H64" s="2498"/>
      <c r="I64" s="138"/>
      <c r="J64" s="3066"/>
      <c r="K64" s="2500" t="s">
        <v>2250</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066"/>
      <c r="K65" s="2500" t="s">
        <v>2253</v>
      </c>
      <c r="L65" s="1749"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3" t="s">
        <v>1371</v>
      </c>
      <c r="F66" s="2490"/>
      <c r="G66" s="2490"/>
      <c r="H66" s="2498"/>
      <c r="I66" s="138"/>
      <c r="J66" s="3066"/>
      <c r="K66" s="2500" t="s">
        <v>2255</v>
      </c>
      <c r="L66" s="1749" t="e">
        <f>M49*0.5%</f>
        <v>#VALUE!</v>
      </c>
      <c r="M66" s="24" t="e">
        <f>IF(L66&gt;0.5,0.5,ROUND(L66,0))</f>
        <v>#VALUE!</v>
      </c>
      <c r="N66" s="138" t="s">
        <v>2256</v>
      </c>
      <c r="Z66" s="2424"/>
      <c r="AI66" s="2425"/>
    </row>
    <row r="67" spans="1:35" ht="14.25" customHeight="1">
      <c r="A67" s="203" t="s">
        <v>773</v>
      </c>
      <c r="B67" s="204" t="s">
        <v>2257</v>
      </c>
      <c r="C67" s="207">
        <f ca="1">C63-C66</f>
        <v>207972</v>
      </c>
      <c r="D67" s="200" t="s">
        <v>32</v>
      </c>
      <c r="E67" s="201"/>
      <c r="F67" s="2490"/>
      <c r="G67" s="2490"/>
      <c r="H67" s="2498"/>
      <c r="I67" s="138"/>
      <c r="J67" s="3066"/>
      <c r="K67" s="2500" t="s">
        <v>2258</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11438</v>
      </c>
      <c r="D68" s="211">
        <f>'数据-取费表'!B41</f>
        <v>5.5000000000000007E-2</v>
      </c>
      <c r="E68" s="212"/>
      <c r="F68" s="2490"/>
      <c r="G68" s="2490"/>
      <c r="H68" s="2498"/>
      <c r="I68" s="138"/>
      <c r="J68" s="3066"/>
      <c r="K68" s="2500" t="s">
        <v>2260</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066"/>
      <c r="K69" s="2500" t="s">
        <v>2261</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0" t="s">
        <v>2262</v>
      </c>
      <c r="B70" s="3111"/>
      <c r="C70" s="3111"/>
      <c r="D70" s="3111"/>
      <c r="E70" s="3111"/>
      <c r="F70" s="3111"/>
      <c r="G70" s="3111"/>
      <c r="H70" s="311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1" t="s">
        <v>2243</v>
      </c>
      <c r="B71" s="3102"/>
      <c r="C71" s="1801"/>
      <c r="D71" s="1801"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207972</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1040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107" t="s">
        <v>2271</v>
      </c>
      <c r="F76" s="3106"/>
      <c r="G76" s="3106"/>
      <c r="H76" s="310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1040</v>
      </c>
      <c r="D78" s="226">
        <f>'数据-取费表'!B43</f>
        <v>5.000000000000001E-3</v>
      </c>
      <c r="E78" s="3098" t="s">
        <v>2276</v>
      </c>
      <c r="F78" s="3099"/>
      <c r="G78" s="3099"/>
      <c r="H78" s="310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206932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198.97307692307692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123795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0" t="s">
        <v>2280</v>
      </c>
      <c r="B83" s="3111"/>
      <c r="C83" s="3111"/>
      <c r="D83" s="3111"/>
      <c r="E83" s="3111"/>
      <c r="F83" s="3111"/>
      <c r="G83" s="3111"/>
      <c r="H83" s="311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1" t="s">
        <v>2243</v>
      </c>
      <c r="B84" s="3102"/>
      <c r="C84" s="1801"/>
      <c r="D84" s="1801"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207972</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1040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7"/>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098" t="s">
        <v>2289</v>
      </c>
      <c r="F91" s="3099"/>
      <c r="G91" s="3099"/>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098" t="s">
        <v>2293</v>
      </c>
      <c r="F92" s="3099"/>
      <c r="G92" s="3099"/>
      <c r="H92" s="310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1040</v>
      </c>
      <c r="D93" s="226">
        <f>'数据-取费表'!B43</f>
        <v>5.000000000000001E-3</v>
      </c>
      <c r="E93" s="3098" t="s">
        <v>2276</v>
      </c>
      <c r="F93" s="3099"/>
      <c r="G93" s="3099"/>
      <c r="H93" s="310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146" t="s">
        <v>2297</v>
      </c>
      <c r="F94" s="3147"/>
      <c r="G94" s="3147"/>
      <c r="H94" s="314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206932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198.97307692307692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123795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2298</v>
      </c>
      <c r="B99" s="2419"/>
      <c r="C99" s="2419"/>
      <c r="D99" s="2419"/>
      <c r="E99" s="2167"/>
      <c r="F99" s="2167"/>
      <c r="G99" s="2167"/>
      <c r="H99" s="2166"/>
      <c r="I99" s="138"/>
    </row>
    <row r="100" spans="1:35" ht="18.75" customHeight="1">
      <c r="A100" s="3050" t="s">
        <v>2299</v>
      </c>
      <c r="B100" s="3051"/>
      <c r="C100" s="3051"/>
      <c r="D100" s="3082"/>
      <c r="E100" s="3051" t="s">
        <v>2300</v>
      </c>
      <c r="F100" s="3051"/>
      <c r="G100" s="3051"/>
      <c r="H100" s="3082"/>
      <c r="I100" s="138"/>
    </row>
    <row r="101" spans="1:35" ht="18.75" customHeight="1">
      <c r="A101" s="3090" t="s">
        <v>2301</v>
      </c>
      <c r="B101" s="3091"/>
      <c r="C101" s="736" t="str">
        <f>C4</f>
        <v>成本法</v>
      </c>
      <c r="D101" s="737" t="str">
        <f>D4</f>
        <v>假设开发法</v>
      </c>
      <c r="E101" s="3062" t="s">
        <v>2302</v>
      </c>
      <c r="F101" s="3063"/>
      <c r="G101" s="2521" t="s">
        <v>2303</v>
      </c>
      <c r="H101" s="1045">
        <f ca="1">H118</f>
        <v>218371</v>
      </c>
      <c r="I101" s="138"/>
    </row>
    <row r="102" spans="1:35" ht="18.75" customHeight="1">
      <c r="A102" s="3092" t="s">
        <v>2304</v>
      </c>
      <c r="B102" s="2521" t="s">
        <v>2303</v>
      </c>
      <c r="C102" s="736">
        <f ca="1">C19</f>
        <v>158921</v>
      </c>
      <c r="D102" s="737">
        <f ca="1">D19</f>
        <v>258004</v>
      </c>
      <c r="E102" s="3062"/>
      <c r="F102" s="3063"/>
      <c r="G102" s="2521" t="s">
        <v>2305</v>
      </c>
      <c r="H102" s="371">
        <f ca="1">I118</f>
        <v>27360</v>
      </c>
      <c r="I102" s="138"/>
    </row>
    <row r="103" spans="1:35" ht="42.75" customHeight="1">
      <c r="A103" s="3092"/>
      <c r="B103" s="2521" t="s">
        <v>2305</v>
      </c>
      <c r="C103" s="738">
        <f ca="1">C20</f>
        <v>19911</v>
      </c>
      <c r="D103" s="739">
        <f ca="1">D20</f>
        <v>32325</v>
      </c>
      <c r="E103" s="3056" t="s">
        <v>2306</v>
      </c>
      <c r="F103" s="3057"/>
      <c r="G103" s="2522" t="s">
        <v>2307</v>
      </c>
      <c r="H103" s="1045">
        <f>IF(D36="正常操作",H104+H105+H106,H105+H106)</f>
        <v>0</v>
      </c>
      <c r="I103" s="138"/>
    </row>
    <row r="104" spans="1:35" ht="18.75" customHeight="1">
      <c r="A104" s="3092" t="s">
        <v>2308</v>
      </c>
      <c r="B104" s="2523" t="s">
        <v>2303</v>
      </c>
      <c r="C104" s="740">
        <f ca="1">H118</f>
        <v>218371</v>
      </c>
      <c r="D104" s="741"/>
      <c r="E104" s="2267" t="s">
        <v>2309</v>
      </c>
      <c r="F104" s="2259"/>
      <c r="G104" s="2522" t="s">
        <v>2307</v>
      </c>
      <c r="H104" s="1046">
        <f>IF(D36="同一抵押权人同一抵押物续贷",C36&amp;"（未扣减，详见特别提示）",C36)</f>
        <v>0</v>
      </c>
      <c r="I104" s="138"/>
    </row>
    <row r="105" spans="1:35" ht="18.75" customHeight="1" thickBot="1">
      <c r="A105" s="3104"/>
      <c r="B105" s="2524" t="s">
        <v>2305</v>
      </c>
      <c r="C105" s="742">
        <f ca="1">I118</f>
        <v>27360</v>
      </c>
      <c r="D105" s="743"/>
      <c r="E105" s="2267" t="s">
        <v>2310</v>
      </c>
      <c r="F105" s="2259"/>
      <c r="G105" s="2522" t="s">
        <v>2307</v>
      </c>
      <c r="H105" s="1046">
        <f>C37</f>
        <v>0</v>
      </c>
      <c r="I105" s="138"/>
    </row>
    <row r="106" spans="1:35" ht="18.75" customHeight="1">
      <c r="A106" s="2419" t="s">
        <v>2311</v>
      </c>
      <c r="B106" s="2419"/>
      <c r="C106" s="2419"/>
      <c r="D106" s="2419"/>
      <c r="E106" s="2525" t="s">
        <v>2312</v>
      </c>
      <c r="F106" s="2259"/>
      <c r="G106" s="2522" t="s">
        <v>2307</v>
      </c>
      <c r="H106" s="1046">
        <f>C38</f>
        <v>0</v>
      </c>
      <c r="I106" s="138"/>
    </row>
    <row r="107" spans="1:35" ht="18.75" customHeight="1">
      <c r="A107" s="138"/>
      <c r="B107" s="138"/>
      <c r="C107" s="138"/>
      <c r="D107" s="138"/>
      <c r="E107" s="3093" t="str">
        <f>IF(项目基本情况!E8="已注销","——","3.房地产抵押价值")</f>
        <v>3.房地产抵押价值</v>
      </c>
      <c r="F107" s="3063"/>
      <c r="G107" s="2521" t="s">
        <v>2303</v>
      </c>
      <c r="H107" s="1045">
        <f ca="1">IF(E107="——","——",H101-H103)</f>
        <v>218371</v>
      </c>
      <c r="I107" s="138"/>
    </row>
    <row r="108" spans="1:35" ht="18.75" customHeight="1">
      <c r="A108" s="138"/>
      <c r="B108" s="138"/>
      <c r="C108" s="138"/>
      <c r="D108" s="138"/>
      <c r="E108" s="3093"/>
      <c r="F108" s="3063"/>
      <c r="G108" s="2521" t="s">
        <v>2305</v>
      </c>
      <c r="H108" s="371">
        <f ca="1">ROUND(H107*10000/'数据-汇总表'!E3,0)</f>
        <v>27360</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1" t="s">
        <v>2303</v>
      </c>
      <c r="H109" s="348" t="str">
        <f>IF(E109="——","——",H101-H105-H106)</f>
        <v>——</v>
      </c>
      <c r="I109" s="138"/>
    </row>
    <row r="110" spans="1:35" ht="18.75" customHeight="1">
      <c r="A110" s="138"/>
      <c r="B110" s="138"/>
      <c r="C110" s="138"/>
      <c r="D110" s="138"/>
      <c r="E110" s="3093"/>
      <c r="F110" s="3063"/>
      <c r="G110" s="2521" t="s">
        <v>2305</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1" t="s">
        <v>2303</v>
      </c>
      <c r="H111" s="1045" t="str">
        <f>IF(E111="——","——",N59)</f>
        <v>——</v>
      </c>
      <c r="I111" s="138"/>
    </row>
    <row r="112" spans="1:35" ht="18.75" customHeight="1" thickBot="1">
      <c r="A112" s="138"/>
      <c r="B112" s="138"/>
      <c r="C112" s="138"/>
      <c r="D112" s="138"/>
      <c r="E112" s="3096"/>
      <c r="F112" s="3097"/>
      <c r="G112" s="2526" t="s">
        <v>2305</v>
      </c>
      <c r="H112" s="790" t="str">
        <f>IF(E111="——","——",N61)</f>
        <v>——</v>
      </c>
      <c r="I112" s="138"/>
    </row>
    <row r="113" spans="1:11" ht="18.75" customHeight="1">
      <c r="A113" s="138"/>
      <c r="B113" s="138"/>
      <c r="C113" s="138"/>
      <c r="D113" s="138"/>
      <c r="E113" s="3105" t="s">
        <v>2311</v>
      </c>
      <c r="F113" s="3105"/>
      <c r="G113" s="3105"/>
      <c r="H113" s="3105"/>
      <c r="I113" s="138"/>
    </row>
    <row r="114" spans="1:11" ht="3.75" customHeight="1">
      <c r="A114" s="2419"/>
      <c r="B114" s="2419"/>
      <c r="C114" s="2419"/>
      <c r="D114" s="2419"/>
      <c r="E114" s="2497"/>
      <c r="F114" s="2497"/>
      <c r="G114" s="2497"/>
      <c r="H114" s="2497"/>
      <c r="I114" s="2419"/>
    </row>
    <row r="115" spans="1:11" ht="18.75" customHeight="1">
      <c r="A115" s="3118" t="s">
        <v>2313</v>
      </c>
      <c r="B115" s="3119"/>
      <c r="C115" s="3119"/>
      <c r="D115" s="3119"/>
      <c r="E115" s="3119"/>
      <c r="F115" s="3119"/>
      <c r="G115" s="3119"/>
      <c r="H115" s="3119"/>
      <c r="I115" s="3120"/>
    </row>
    <row r="116" spans="1:11" ht="27" customHeight="1">
      <c r="A116" s="3029" t="s">
        <v>2314</v>
      </c>
      <c r="B116" s="3072" t="s">
        <v>2315</v>
      </c>
      <c r="C116" s="3072" t="s">
        <v>2316</v>
      </c>
      <c r="D116" s="3078" t="s">
        <v>2317</v>
      </c>
      <c r="E116" s="3079"/>
      <c r="F116" s="3114" t="s">
        <v>2318</v>
      </c>
      <c r="G116" s="3114"/>
      <c r="H116" s="3029" t="s">
        <v>2319</v>
      </c>
      <c r="I116" s="3029"/>
    </row>
    <row r="117" spans="1:11" ht="18.75" customHeight="1">
      <c r="A117" s="3029"/>
      <c r="B117" s="3073"/>
      <c r="C117" s="3073"/>
      <c r="D117" s="1795" t="s">
        <v>2320</v>
      </c>
      <c r="E117" s="1795" t="s">
        <v>2321</v>
      </c>
      <c r="F117" s="1795" t="s">
        <v>2320</v>
      </c>
      <c r="G117" s="1795" t="s">
        <v>2322</v>
      </c>
      <c r="H117" s="1795" t="s">
        <v>2320</v>
      </c>
      <c r="I117" s="1795" t="s">
        <v>2322</v>
      </c>
    </row>
    <row r="118" spans="1:11" ht="24.75" customHeight="1">
      <c r="A118" s="2527" t="str">
        <f>项目基本情况!S2</f>
        <v>北京市出让国有建设用地使用权及在建建筑物房地产</v>
      </c>
      <c r="B118" s="1795">
        <f>M18</f>
        <v>79815.240000000005</v>
      </c>
      <c r="C118" s="1795">
        <f>M19</f>
        <v>14769.13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218371</v>
      </c>
      <c r="I118" s="1795">
        <f ca="1">ROUND(IF(D32="楼面单价",C32,H118*10000/B118),0)</f>
        <v>27360</v>
      </c>
    </row>
    <row r="119" spans="1:11" ht="18.75" customHeight="1">
      <c r="A119" s="3029" t="s">
        <v>2323</v>
      </c>
      <c r="B119" s="3029"/>
      <c r="C119" s="3029"/>
      <c r="D119" s="3074" t="e">
        <f ca="1">NUMBERSTRING(INT(D118*10000),2)&amp;"元整"</f>
        <v>#REF!</v>
      </c>
      <c r="E119" s="3075"/>
      <c r="F119" s="3074" t="e">
        <f ca="1">NUMBERSTRING(INT(F118*10000),2)&amp;"元整"</f>
        <v>#REF!</v>
      </c>
      <c r="G119" s="3075"/>
      <c r="H119" s="3074" t="str">
        <f ca="1">NUMBERSTRING(INT(H118*10000),2)&amp;"元整"</f>
        <v>贰拾壹亿捌仟叁佰柒拾壹万元整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4" t="str">
        <f>IF(D120=0,"故，本次评估不存在"&amp;A120,"故，本次评估"&amp;A120&amp;"为人民币"&amp;D120&amp;"万元整。")</f>
        <v>故，本次评估不存在估价师知悉的法定优先受偿款</v>
      </c>
    </row>
    <row r="121" spans="1:11" ht="18.75" customHeight="1">
      <c r="A121" s="3115" t="s">
        <v>2323</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218371</v>
      </c>
      <c r="E122" s="3070"/>
      <c r="F122" s="3070"/>
      <c r="G122" s="3070"/>
      <c r="H122" s="3070"/>
      <c r="I122" s="3071"/>
    </row>
    <row r="123" spans="1:11" ht="18.75" customHeight="1">
      <c r="A123" s="3029" t="s">
        <v>2323</v>
      </c>
      <c r="B123" s="3029"/>
      <c r="C123" s="3029"/>
      <c r="D123" s="3074" t="str">
        <f ca="1">NUMBERSTRING(INT(D122*10000),2)&amp;"元整"</f>
        <v>贰拾壹亿捌仟叁佰柒拾壹万元整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2323</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2323</v>
      </c>
      <c r="B127" s="3029"/>
      <c r="C127" s="3029"/>
      <c r="D127" s="3074" t="e">
        <f>NUMBERSTRING(INT(D126*10000),2)&amp;"元整"</f>
        <v>#VALUE!</v>
      </c>
      <c r="E127" s="3076"/>
      <c r="F127" s="3076"/>
      <c r="G127" s="3076"/>
      <c r="H127" s="3076"/>
      <c r="I127" s="3075"/>
    </row>
    <row r="128" spans="1:11" ht="21.75" customHeight="1">
      <c r="A128" s="3077" t="s">
        <v>2324</v>
      </c>
      <c r="B128" s="3077"/>
      <c r="C128" s="3077"/>
      <c r="D128" s="3077"/>
      <c r="E128" s="3077"/>
      <c r="F128" s="3077"/>
      <c r="G128" s="3077"/>
      <c r="H128" s="3077"/>
      <c r="I128" s="3077"/>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9</v>
      </c>
    </row>
    <row r="2" spans="1:9" s="244" customFormat="1" ht="18" customHeight="1">
      <c r="A2" s="245" t="s">
        <v>2333</v>
      </c>
      <c r="B2" s="246">
        <f ca="1">IF(D2="——",C52,C52-E2)</f>
        <v>158921</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19911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81863</v>
      </c>
      <c r="D5" s="255" t="s">
        <v>2340</v>
      </c>
      <c r="E5" s="256" t="s">
        <v>2341</v>
      </c>
      <c r="F5" s="256" t="s">
        <v>2342</v>
      </c>
      <c r="G5" s="257"/>
    </row>
    <row r="6" spans="1:9" s="258" customFormat="1" ht="13.5" customHeight="1">
      <c r="A6" s="949" t="s">
        <v>2343</v>
      </c>
      <c r="B6" s="259" t="s">
        <v>2344</v>
      </c>
      <c r="C6" s="260">
        <f ca="1">基准地价修正办公!B2+基准地价修正商业!V19</f>
        <v>79440</v>
      </c>
      <c r="D6" s="261"/>
      <c r="E6" s="262"/>
      <c r="F6" s="262"/>
      <c r="G6" s="263"/>
    </row>
    <row r="7" spans="1:9" s="258" customFormat="1" ht="13.5" customHeight="1">
      <c r="A7" s="949" t="s">
        <v>2345</v>
      </c>
      <c r="B7" s="259" t="s">
        <v>2346</v>
      </c>
      <c r="C7" s="264">
        <f ca="1">ROUND(C6*F7,0)</f>
        <v>2423</v>
      </c>
      <c r="D7" s="264"/>
      <c r="E7" s="262"/>
      <c r="F7" s="265">
        <f>'数据-取费表'!B48+'数据-取费表'!B49</f>
        <v>3.0499999999999999E-2</v>
      </c>
      <c r="G7" s="263"/>
    </row>
    <row r="8" spans="1:9" s="267" customFormat="1">
      <c r="A8" s="949" t="s">
        <v>2347</v>
      </c>
      <c r="B8" s="259" t="s">
        <v>2348</v>
      </c>
      <c r="C8" s="264">
        <f>IF(G8="已包含在土地购买价格中","0",IF(B1="",'数据-取费表'!B29,IF(G9="全部缴纳",C9+C10,H9)))</f>
        <v>0</v>
      </c>
      <c r="D8" s="266"/>
      <c r="E8" s="264"/>
      <c r="F8" s="265"/>
      <c r="G8" s="2553" t="s">
        <v>3088</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0</v>
      </c>
      <c r="F9" s="265"/>
      <c r="G9" s="2554"/>
      <c r="H9" s="1390"/>
      <c r="I9" s="2555" t="s">
        <v>2350</v>
      </c>
    </row>
    <row r="10" spans="1:9" s="258" customFormat="1" ht="13.5" customHeight="1">
      <c r="A10" s="950" t="s">
        <v>801</v>
      </c>
      <c r="B10" s="268" t="s">
        <v>2351</v>
      </c>
      <c r="C10" s="269">
        <f ca="1">ROUND(D10*E10/10000,0)</f>
        <v>0</v>
      </c>
      <c r="D10" s="1032">
        <f ca="1">IF(B1="",'数据-汇总表'!E6,IF(INDIRECT("'数据-取费表'!c"&amp;$G$1)="住宅",INDIRECT("'数据-取费表'!s"&amp;$G$1),INDIRECT("'数据-取费表'!k"&amp;$G$1)+INDIRECT("'数据-取费表'!s"&amp;$G$1)))</f>
        <v>79815.240000000005</v>
      </c>
      <c r="E10" s="269">
        <f>'数据-取费表'!B28</f>
        <v>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t="str">
        <f>IF(G19="已包含在土地取得成本中","0",ROUND(D19*E19/10000,0))</f>
        <v>0</v>
      </c>
      <c r="D19" s="1036">
        <f ca="1">D9+D10</f>
        <v>79815.240000000005</v>
      </c>
      <c r="E19" s="255">
        <f>'数据-取费表'!B31</f>
        <v>200</v>
      </c>
      <c r="F19" s="275"/>
      <c r="G19" s="2553" t="s">
        <v>3089</v>
      </c>
    </row>
    <row r="20" spans="1:7" s="258" customFormat="1" ht="13.5" customHeight="1">
      <c r="A20" s="299" t="s">
        <v>2364</v>
      </c>
      <c r="B20" s="254" t="s">
        <v>2365</v>
      </c>
      <c r="C20" s="276">
        <f ca="1">ROUND((C5+C19)*F20,0)</f>
        <v>2456</v>
      </c>
      <c r="D20" s="276"/>
      <c r="E20" s="276"/>
      <c r="F20" s="277">
        <f>'数据-取费表'!B37</f>
        <v>0.03</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4">
        <f ca="1">ROUND(SUM(C23:C25),0)</f>
        <v>7657</v>
      </c>
      <c r="D22" s="279">
        <f ca="1">C26</f>
        <v>1.4E-3</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7546</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0</v>
      </c>
      <c r="D24" s="282"/>
      <c r="E24" s="282"/>
      <c r="F24" s="283"/>
      <c r="G24" s="284" t="s">
        <v>2378</v>
      </c>
    </row>
    <row r="25" spans="1:7" s="258" customFormat="1" ht="24">
      <c r="A25" s="951" t="s">
        <v>2379</v>
      </c>
      <c r="B25" s="259" t="s">
        <v>2380</v>
      </c>
      <c r="C25" s="1355">
        <f ca="1">ROUND(IF('数据-取费表'!B22&lt;=1,C20*F22*'数据-取费表'!B23/2,C20*(POWER((1+F22),'数据-取费表'!B23/2)-1)),0)</f>
        <v>111</v>
      </c>
      <c r="D25" s="282"/>
      <c r="E25" s="285"/>
      <c r="F25" s="283"/>
      <c r="G25" s="286" t="s">
        <v>2381</v>
      </c>
    </row>
    <row r="26" spans="1:7" s="258" customFormat="1">
      <c r="A26" s="951"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16021</v>
      </c>
      <c r="D27" s="279">
        <f ca="1">C29</f>
        <v>5.7000000000000002E-3</v>
      </c>
      <c r="E27" s="280" t="s">
        <v>2385</v>
      </c>
      <c r="F27" s="290">
        <f ca="1">IF(B1="",'数据-取费表'!Q16,INDIRECT("'数据-取费表'!q"&amp;$G$1))</f>
        <v>0.2</v>
      </c>
      <c r="G27" s="291" t="s">
        <v>2386</v>
      </c>
    </row>
    <row r="28" spans="1:7" s="258" customFormat="1" ht="13.5" customHeight="1">
      <c r="A28" s="951" t="s">
        <v>791</v>
      </c>
      <c r="B28" s="292" t="s">
        <v>2387</v>
      </c>
      <c r="C28" s="293">
        <f ca="1">ROUND((C5+C19+C20)*F27*'数据-取费表'!B21/'数据-取费表'!B20,0)</f>
        <v>16021</v>
      </c>
      <c r="D28" s="279"/>
      <c r="E28" s="280"/>
      <c r="F28" s="290"/>
      <c r="G28" s="291"/>
    </row>
    <row r="29" spans="1:7" s="258" customFormat="1" ht="13.5" customHeight="1">
      <c r="A29" s="951" t="s">
        <v>792</v>
      </c>
      <c r="B29" s="292" t="s">
        <v>2388</v>
      </c>
      <c r="C29" s="282">
        <f ca="1">ROUND(C21*F27*'数据-取费表'!B21/'数据-取费表'!B20,4)</f>
        <v>5.7000000000000002E-3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118613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28609</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25881</v>
      </c>
      <c r="D34" s="261"/>
      <c r="E34" s="264"/>
      <c r="F34" s="301">
        <f ca="1">IF('数据-取费表'!B24=0,1,IF(B1="",'数据-取费表'!N16,INDIRECT("'数据-取费表'!n"&amp;$G$1)))</f>
        <v>0.98</v>
      </c>
      <c r="G34" s="263" t="s">
        <v>2397</v>
      </c>
    </row>
    <row r="35" spans="1:7" ht="13.5" customHeight="1">
      <c r="A35" s="951" t="s">
        <v>796</v>
      </c>
      <c r="B35" s="259" t="s">
        <v>2398</v>
      </c>
      <c r="C35" s="264">
        <f ca="1">ROUND(C34*F35,0)</f>
        <v>776</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2401</v>
      </c>
    </row>
    <row r="37" spans="1:7" s="302" customFormat="1" ht="13.5" customHeight="1">
      <c r="A37" s="951" t="s">
        <v>798</v>
      </c>
      <c r="B37" s="259" t="s">
        <v>2402</v>
      </c>
      <c r="C37" s="293">
        <f ca="1">ROUND(E37*D37*F34/10000,0)</f>
        <v>1564</v>
      </c>
      <c r="D37" s="261">
        <f ca="1">D19</f>
        <v>79815.240000000005</v>
      </c>
      <c r="E37" s="293">
        <f>'数据-取费表'!B35</f>
        <v>200</v>
      </c>
      <c r="F37" s="303"/>
      <c r="G37" s="305" t="s">
        <v>2403</v>
      </c>
    </row>
    <row r="38" spans="1:7" ht="13.5" customHeight="1">
      <c r="A38" s="951" t="s">
        <v>799</v>
      </c>
      <c r="B38" s="259" t="s">
        <v>2404</v>
      </c>
      <c r="C38" s="264">
        <f ca="1">ROUND(C34*F38,0)</f>
        <v>388</v>
      </c>
      <c r="D38" s="264"/>
      <c r="E38" s="264"/>
      <c r="F38" s="303">
        <f>'数据-取费表'!B36</f>
        <v>1.4999999999999999E-2</v>
      </c>
      <c r="G38" s="263" t="s">
        <v>2399</v>
      </c>
    </row>
    <row r="39" spans="1:7" s="258" customFormat="1" ht="13.5" customHeight="1">
      <c r="A39" s="299" t="s">
        <v>2405</v>
      </c>
      <c r="B39" s="254" t="s">
        <v>2406</v>
      </c>
      <c r="C39" s="276">
        <f ca="1">ROUND(C33*F20,0)</f>
        <v>858</v>
      </c>
      <c r="D39" s="276"/>
      <c r="E39" s="276"/>
      <c r="F39" s="277"/>
      <c r="G39" s="278" t="s">
        <v>2407</v>
      </c>
    </row>
    <row r="40" spans="1:7" s="258" customFormat="1" ht="13.5" customHeight="1">
      <c r="A40" s="299" t="s">
        <v>2408</v>
      </c>
      <c r="B40" s="254" t="s">
        <v>2409</v>
      </c>
      <c r="C40" s="1728">
        <f>F21</f>
        <v>0.03</v>
      </c>
      <c r="D40" s="280" t="s">
        <v>2410</v>
      </c>
      <c r="E40" s="276"/>
      <c r="F40" s="277"/>
      <c r="G40" s="278" t="s">
        <v>2411</v>
      </c>
    </row>
    <row r="41" spans="1:7" s="258" customFormat="1" ht="13.5" customHeight="1">
      <c r="A41" s="299" t="s">
        <v>2412</v>
      </c>
      <c r="B41" s="254" t="s">
        <v>2413</v>
      </c>
      <c r="C41" s="276">
        <f ca="1">ROUND(SUM(C42:C43),0)</f>
        <v>1328</v>
      </c>
      <c r="D41" s="279">
        <f ca="1">C44</f>
        <v>1.4E-3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1289</v>
      </c>
      <c r="D42" s="282"/>
      <c r="E42" s="282"/>
      <c r="F42" s="283"/>
      <c r="G42" s="3149" t="s">
        <v>2415</v>
      </c>
    </row>
    <row r="43" spans="1:7" ht="13.5" customHeight="1">
      <c r="A43" s="951" t="s">
        <v>792</v>
      </c>
      <c r="B43" s="259" t="s">
        <v>2416</v>
      </c>
      <c r="C43" s="282">
        <f ca="1">ROUND(IF('数据-取费表'!B22&lt;=1,C39*F22*'数据-取费表'!B21/2,C39*(POWER((1+F22),'数据-取费表'!B21/2)-1)),0)</f>
        <v>39</v>
      </c>
      <c r="D43" s="282"/>
      <c r="E43" s="282"/>
      <c r="F43" s="283"/>
      <c r="G43" s="3150"/>
    </row>
    <row r="44" spans="1:7" ht="13.5" customHeight="1">
      <c r="A44" s="951" t="s">
        <v>793</v>
      </c>
      <c r="B44" s="259" t="s">
        <v>2417</v>
      </c>
      <c r="C44" s="282">
        <f ca="1">ROUND(IF('数据-取费表'!B22&lt;=1,C40*F22*'数据-取费表'!B21/2,C40*(POWER((1+F22),'数据-取费表'!B21/2)-1)),4)</f>
        <v>1.4E-3</v>
      </c>
      <c r="D44" s="282"/>
      <c r="E44" s="282"/>
      <c r="F44" s="283"/>
      <c r="G44" s="3151"/>
    </row>
    <row r="45" spans="1:7" s="258" customFormat="1" ht="13.5" customHeight="1">
      <c r="A45" s="299" t="s">
        <v>2418</v>
      </c>
      <c r="B45" s="288" t="s">
        <v>2384</v>
      </c>
      <c r="C45" s="289">
        <f ca="1">C46</f>
        <v>5893</v>
      </c>
      <c r="D45" s="279">
        <f ca="1">C47</f>
        <v>6.0000000000000001E-3</v>
      </c>
      <c r="E45" s="280" t="s">
        <v>2410</v>
      </c>
      <c r="F45" s="290"/>
      <c r="G45" s="291" t="s">
        <v>2419</v>
      </c>
    </row>
    <row r="46" spans="1:7" s="258" customFormat="1" ht="13.5" customHeight="1">
      <c r="A46" s="951" t="s">
        <v>791</v>
      </c>
      <c r="B46" s="292" t="s">
        <v>2420</v>
      </c>
      <c r="C46" s="293">
        <f ca="1">ROUND((C33+C39)*F27,0)</f>
        <v>5893</v>
      </c>
      <c r="D46" s="307"/>
      <c r="E46" s="280"/>
      <c r="F46" s="290"/>
      <c r="G46" s="291"/>
    </row>
    <row r="47" spans="1:7" s="258" customFormat="1" ht="13.5" customHeight="1">
      <c r="A47" s="951" t="s">
        <v>792</v>
      </c>
      <c r="B47" s="292" t="s">
        <v>2421</v>
      </c>
      <c r="C47" s="282">
        <f ca="1">ROUND(C40*F27,4)</f>
        <v>6.0000000000000001E-3</v>
      </c>
      <c r="D47" s="307"/>
      <c r="E47" s="280"/>
      <c r="F47" s="290"/>
      <c r="G47" s="291"/>
    </row>
    <row r="48" spans="1:7" s="258" customFormat="1" ht="13.5" customHeight="1">
      <c r="A48" s="299" t="s">
        <v>2383</v>
      </c>
      <c r="B48" s="254" t="s">
        <v>2422</v>
      </c>
      <c r="C48" s="1728">
        <f>ROUND(F30/(1+'数据-取费表'!C42),4)</f>
        <v>5.2400000000000002E-2</v>
      </c>
      <c r="D48" s="280" t="s">
        <v>2410</v>
      </c>
      <c r="E48" s="276"/>
      <c r="F48" s="281"/>
      <c r="G48" s="278" t="s">
        <v>2423</v>
      </c>
    </row>
    <row r="49" spans="1:7" ht="16.5" customHeight="1">
      <c r="A49" s="299" t="s">
        <v>2389</v>
      </c>
      <c r="B49" s="254" t="s">
        <v>2424</v>
      </c>
      <c r="C49" s="276">
        <f ca="1">ROUND((C33+C39+C41+C45)/(1-C40-D41-D45-C48),0)</f>
        <v>40308</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40308</v>
      </c>
      <c r="D51" s="276"/>
      <c r="E51" s="276"/>
      <c r="F51" s="308"/>
      <c r="G51" s="278" t="s">
        <v>2431</v>
      </c>
    </row>
    <row r="52" spans="1:7" s="252" customFormat="1" ht="16.5" thickBot="1">
      <c r="A52" s="309" t="s">
        <v>2432</v>
      </c>
      <c r="B52" s="310"/>
      <c r="C52" s="311">
        <f ca="1">C31+C51</f>
        <v>158921</v>
      </c>
      <c r="D52" s="310"/>
      <c r="E52" s="310"/>
      <c r="F52" s="310"/>
      <c r="G52" s="312"/>
    </row>
    <row r="55" spans="1:7" ht="15">
      <c r="B55" s="314" t="s">
        <v>2433</v>
      </c>
      <c r="C55" s="315"/>
    </row>
    <row r="56" spans="1:7">
      <c r="B56" s="317" t="s">
        <v>1513</v>
      </c>
      <c r="C56" s="319">
        <f ca="1">1-C57</f>
        <v>0.746</v>
      </c>
    </row>
    <row r="57" spans="1:7">
      <c r="B57" s="317" t="s">
        <v>1514</v>
      </c>
      <c r="C57" s="318">
        <f ca="1">ROUND(C51/C52,3)</f>
        <v>0.254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北京市出让国有建设用地使用权及在建建筑物房地产抵押价值预评估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6" t="s">
        <v>2434</v>
      </c>
      <c r="D1" s="242"/>
      <c r="E1" s="242"/>
      <c r="F1" s="242"/>
      <c r="G1" s="1379">
        <f>MATCH(B1,'数据-取费表'!A6:A16,0)+5</f>
        <v>9</v>
      </c>
      <c r="H1" s="1282" t="str">
        <f>IF(ISERROR(FIND("住宅",B1)),"非住宅","住宅")</f>
        <v>非住宅</v>
      </c>
    </row>
    <row r="2" spans="1:8" s="244" customFormat="1" ht="18" customHeight="1">
      <c r="A2" s="245" t="s">
        <v>2333</v>
      </c>
      <c r="B2" s="246">
        <f ca="1">ROUND(IF(D2="——",C52/10000,C52/10000-E2),0)</f>
        <v>43554</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5457</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0</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0</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2351</v>
      </c>
      <c r="C10" s="269">
        <f ca="1">ROUND(D10*E10,0)</f>
        <v>0</v>
      </c>
      <c r="D10" s="1032">
        <f ca="1">IF(B1="",'数据-汇总表'!E6,IF(INDIRECT("'数据-取费表'!c"&amp;$G$1)="住宅",INDIRECT("'数据-取费表'!s"&amp;$G$1),INDIRECT("'数据-取费表'!k"&amp;$G$1)+INDIRECT("'数据-取费表'!s"&amp;$G$1)))</f>
        <v>79815.240000000005</v>
      </c>
      <c r="E10" s="269">
        <f>'数据-取费表'!B28</f>
        <v>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15963048</v>
      </c>
      <c r="D19" s="1036">
        <f ca="1">D9+D10</f>
        <v>79815.240000000005</v>
      </c>
      <c r="E19" s="255">
        <f>'数据-取费表'!B31</f>
        <v>200</v>
      </c>
      <c r="F19" s="275"/>
      <c r="G19" s="2553"/>
    </row>
    <row r="20" spans="1:7" s="258" customFormat="1" ht="13.5" customHeight="1">
      <c r="A20" s="299" t="s">
        <v>2445</v>
      </c>
      <c r="B20" s="254" t="s">
        <v>2446</v>
      </c>
      <c r="C20" s="276">
        <f ca="1">ROUND((C5+C19)*F20,0)</f>
        <v>478891</v>
      </c>
      <c r="D20" s="276"/>
      <c r="E20" s="276"/>
      <c r="F20" s="277">
        <f>'数据-取费表'!B37</f>
        <v>0.03</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80">
        <f ca="1">ROUND(SUM(C23:C25),0)</f>
        <v>1575253</v>
      </c>
      <c r="D22" s="279">
        <f ca="1">C26</f>
        <v>1.4E-3</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0</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1552506</v>
      </c>
      <c r="D24" s="282"/>
      <c r="E24" s="282"/>
      <c r="F24" s="283"/>
      <c r="G24" s="284" t="s">
        <v>2457</v>
      </c>
    </row>
    <row r="25" spans="1:7" s="258" customFormat="1" ht="24">
      <c r="A25" s="951" t="s">
        <v>2347</v>
      </c>
      <c r="B25" s="259" t="s">
        <v>2458</v>
      </c>
      <c r="C25" s="1381">
        <f ca="1">ROUND(IF('数据-取费表'!B22&lt;=1,C20*F22*'数据-取费表'!B22/2,C20*(POWER((1+F22),'数据-取费表'!B22/2)-1)),0)</f>
        <v>22747</v>
      </c>
      <c r="D25" s="282"/>
      <c r="E25" s="285"/>
      <c r="F25" s="283"/>
      <c r="G25" s="286" t="s">
        <v>2459</v>
      </c>
    </row>
    <row r="26" spans="1:7" s="258" customFormat="1">
      <c r="A26" s="951"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3288388</v>
      </c>
      <c r="D27" s="279">
        <f ca="1">C29</f>
        <v>6.0000000000000001E-3</v>
      </c>
      <c r="E27" s="280" t="s">
        <v>2385</v>
      </c>
      <c r="F27" s="290">
        <f ca="1">IF(B1="",'数据-取费表'!Q16,INDIRECT("'数据-取费表'!q"&amp;$G$1))</f>
        <v>0.2</v>
      </c>
      <c r="G27" s="291" t="s">
        <v>2386</v>
      </c>
    </row>
    <row r="28" spans="1:7" s="258" customFormat="1" ht="13.5" customHeight="1">
      <c r="A28" s="951" t="s">
        <v>791</v>
      </c>
      <c r="B28" s="292" t="s">
        <v>2387</v>
      </c>
      <c r="C28" s="293">
        <f ca="1">ROUND((C5+C19+C20)*F27,0)</f>
        <v>3288388</v>
      </c>
      <c r="D28" s="279"/>
      <c r="E28" s="280"/>
      <c r="F28" s="290"/>
      <c r="G28" s="291"/>
    </row>
    <row r="29" spans="1:7" s="258" customFormat="1" ht="13.5" customHeight="1">
      <c r="A29" s="951" t="s">
        <v>792</v>
      </c>
      <c r="B29" s="292" t="s">
        <v>2388</v>
      </c>
      <c r="C29" s="282">
        <f ca="1">ROUND(C21*F27,4)</f>
        <v>6.0000000000000001E-3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23407581</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291938304</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264091154</v>
      </c>
      <c r="D34" s="261"/>
      <c r="E34" s="264"/>
      <c r="F34" s="301"/>
      <c r="G34" s="263"/>
    </row>
    <row r="35" spans="1:7" ht="13.5" customHeight="1">
      <c r="A35" s="951" t="s">
        <v>796</v>
      </c>
      <c r="B35" s="259" t="s">
        <v>2398</v>
      </c>
      <c r="C35" s="264">
        <f ca="1">ROUND(C34*F35,0)</f>
        <v>7922735</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0.03</v>
      </c>
      <c r="G36" s="304" t="s">
        <v>2401</v>
      </c>
    </row>
    <row r="37" spans="1:7" s="302" customFormat="1" ht="13.5" customHeight="1">
      <c r="A37" s="951" t="s">
        <v>798</v>
      </c>
      <c r="B37" s="259" t="s">
        <v>2402</v>
      </c>
      <c r="C37" s="293">
        <f ca="1">ROUND(E37*D37,0)</f>
        <v>15963048</v>
      </c>
      <c r="D37" s="261">
        <f ca="1">D19</f>
        <v>79815.240000000005</v>
      </c>
      <c r="E37" s="293">
        <f>'数据-取费表'!B35</f>
        <v>200</v>
      </c>
      <c r="F37" s="303"/>
      <c r="G37" s="305"/>
    </row>
    <row r="38" spans="1:7" ht="13.5" customHeight="1">
      <c r="A38" s="951" t="s">
        <v>799</v>
      </c>
      <c r="B38" s="259" t="s">
        <v>2404</v>
      </c>
      <c r="C38" s="264">
        <f ca="1">ROUND(C34*F38,0)</f>
        <v>3961367</v>
      </c>
      <c r="D38" s="264"/>
      <c r="E38" s="264"/>
      <c r="F38" s="303">
        <f>'数据-取费表'!B36</f>
        <v>1.4999999999999999E-2</v>
      </c>
      <c r="G38" s="263" t="s">
        <v>2399</v>
      </c>
    </row>
    <row r="39" spans="1:7" s="258" customFormat="1" ht="13.5" customHeight="1">
      <c r="A39" s="299" t="s">
        <v>2405</v>
      </c>
      <c r="B39" s="254" t="s">
        <v>2406</v>
      </c>
      <c r="C39" s="276">
        <f ca="1">ROUND(C33*F20,0)</f>
        <v>8758149</v>
      </c>
      <c r="D39" s="276"/>
      <c r="E39" s="276"/>
      <c r="F39" s="277"/>
      <c r="G39" s="278" t="s">
        <v>2407</v>
      </c>
    </row>
    <row r="40" spans="1:7" s="258" customFormat="1" ht="13.5" customHeight="1">
      <c r="A40" s="299" t="s">
        <v>2408</v>
      </c>
      <c r="B40" s="254" t="s">
        <v>2409</v>
      </c>
      <c r="C40" s="1728">
        <f>F21</f>
        <v>0.03</v>
      </c>
      <c r="D40" s="280" t="s">
        <v>2410</v>
      </c>
      <c r="E40" s="276"/>
      <c r="F40" s="277"/>
      <c r="G40" s="278" t="s">
        <v>2411</v>
      </c>
    </row>
    <row r="41" spans="1:7" s="258" customFormat="1" ht="13.5" customHeight="1">
      <c r="A41" s="299" t="s">
        <v>2412</v>
      </c>
      <c r="B41" s="254" t="s">
        <v>2413</v>
      </c>
      <c r="C41" s="276">
        <f ca="1">ROUND(SUM(C42:C43),0)</f>
        <v>14283081</v>
      </c>
      <c r="D41" s="279">
        <f ca="1">C44</f>
        <v>1.4E-3</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13867069</v>
      </c>
      <c r="D42" s="282"/>
      <c r="E42" s="282"/>
      <c r="F42" s="283"/>
      <c r="G42" s="3149" t="s">
        <v>2462</v>
      </c>
    </row>
    <row r="43" spans="1:7" ht="13.5" customHeight="1">
      <c r="A43" s="951" t="s">
        <v>792</v>
      </c>
      <c r="B43" s="259" t="s">
        <v>2416</v>
      </c>
      <c r="C43" s="282">
        <f ca="1">ROUND(IF('数据-取费表'!B22&lt;=1,C39*F22*'数据-取费表'!B20/2,C39*(POWER((1+F22),'数据-取费表'!B20/2)-1)),0)</f>
        <v>416012</v>
      </c>
      <c r="D43" s="282"/>
      <c r="E43" s="282"/>
      <c r="F43" s="283"/>
      <c r="G43" s="3150"/>
    </row>
    <row r="44" spans="1:7" ht="13.5" customHeight="1">
      <c r="A44" s="951" t="s">
        <v>793</v>
      </c>
      <c r="B44" s="259" t="s">
        <v>2417</v>
      </c>
      <c r="C44" s="282">
        <f ca="1">ROUND(IF('数据-取费表'!B22&lt;=1,C40*F22*'数据-取费表'!B20/2,C40*(POWER((1+F22),'数据-取费表'!B20/2)-1)),4)</f>
        <v>1.4E-3</v>
      </c>
      <c r="D44" s="282"/>
      <c r="E44" s="282"/>
      <c r="F44" s="283"/>
      <c r="G44" s="3151"/>
    </row>
    <row r="45" spans="1:7" s="258" customFormat="1" ht="13.5" customHeight="1">
      <c r="A45" s="299" t="s">
        <v>2418</v>
      </c>
      <c r="B45" s="288" t="s">
        <v>2384</v>
      </c>
      <c r="C45" s="289">
        <f ca="1">C46</f>
        <v>60139291</v>
      </c>
      <c r="D45" s="279">
        <f ca="1">C47</f>
        <v>6.0000000000000001E-3</v>
      </c>
      <c r="E45" s="280" t="s">
        <v>2410</v>
      </c>
      <c r="F45" s="290"/>
      <c r="G45" s="291" t="s">
        <v>2419</v>
      </c>
    </row>
    <row r="46" spans="1:7" s="258" customFormat="1" ht="13.5" customHeight="1">
      <c r="A46" s="951" t="s">
        <v>791</v>
      </c>
      <c r="B46" s="292" t="s">
        <v>2420</v>
      </c>
      <c r="C46" s="293">
        <f ca="1">ROUND((C33+C39)*F27,0)</f>
        <v>60139291</v>
      </c>
      <c r="D46" s="307"/>
      <c r="E46" s="280"/>
      <c r="F46" s="290"/>
      <c r="G46" s="291"/>
    </row>
    <row r="47" spans="1:7" s="258" customFormat="1" ht="13.5" customHeight="1">
      <c r="A47" s="951" t="s">
        <v>792</v>
      </c>
      <c r="B47" s="292" t="s">
        <v>2421</v>
      </c>
      <c r="C47" s="282">
        <f ca="1">ROUND(C40*F27,4)</f>
        <v>6.0000000000000001E-3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412127911</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412127911</v>
      </c>
      <c r="D51" s="276"/>
      <c r="E51" s="276"/>
      <c r="F51" s="308"/>
      <c r="G51" s="278" t="s">
        <v>2431</v>
      </c>
    </row>
    <row r="52" spans="1:7" s="252" customFormat="1" ht="16.5" thickBot="1">
      <c r="A52" s="309" t="s">
        <v>2432</v>
      </c>
      <c r="B52" s="310"/>
      <c r="C52" s="311">
        <f ca="1">C31+C51</f>
        <v>435535492</v>
      </c>
      <c r="D52" s="310"/>
      <c r="E52" s="310"/>
      <c r="F52" s="310"/>
      <c r="G52" s="312"/>
    </row>
    <row r="55" spans="1:7" ht="15">
      <c r="B55" s="314" t="s">
        <v>2433</v>
      </c>
      <c r="C55" s="315"/>
    </row>
    <row r="56" spans="1:7">
      <c r="B56" s="317" t="s">
        <v>1513</v>
      </c>
      <c r="C56" s="319">
        <f ca="1">1-C57</f>
        <v>5.4000000000000048E-2</v>
      </c>
    </row>
    <row r="57" spans="1:7">
      <c r="B57" s="317" t="s">
        <v>1514</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180" t="s">
        <v>2651</v>
      </c>
      <c r="AC4" s="3179" t="s">
        <v>2652</v>
      </c>
    </row>
    <row r="5" spans="1:30"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180"/>
      <c r="AC5" s="3180"/>
    </row>
    <row r="6" spans="1:30" ht="15.75" thickBot="1">
      <c r="A6" s="406"/>
      <c r="B6" s="407"/>
      <c r="C6" s="3192" t="s">
        <v>2549</v>
      </c>
      <c r="D6" s="3193"/>
      <c r="E6" s="3194" t="s">
        <v>2549</v>
      </c>
      <c r="F6" s="3195"/>
      <c r="G6" s="3192" t="s">
        <v>2549</v>
      </c>
      <c r="H6" s="3193"/>
      <c r="I6" s="3192" t="s">
        <v>2549</v>
      </c>
      <c r="J6" s="3193"/>
      <c r="K6" s="610" t="s">
        <v>2550</v>
      </c>
      <c r="L6" s="1130"/>
      <c r="M6" s="1131"/>
      <c r="N6" s="1131"/>
      <c r="O6" s="1131"/>
      <c r="P6" s="3205"/>
      <c r="Q6" s="3206"/>
      <c r="R6" s="3186"/>
      <c r="S6" s="3187"/>
      <c r="T6" s="3207"/>
      <c r="U6" s="3208"/>
      <c r="V6" s="3209"/>
      <c r="W6" s="3209"/>
      <c r="X6" s="1813"/>
      <c r="Y6" s="3207"/>
      <c r="Z6" s="3208"/>
      <c r="AA6" s="3181"/>
      <c r="AB6" s="3181"/>
      <c r="AC6" s="3181"/>
    </row>
    <row r="7" spans="1:30" s="117" customFormat="1" ht="15.75" thickBot="1">
      <c r="A7" s="408" t="s">
        <v>2551</v>
      </c>
      <c r="B7" s="409"/>
      <c r="C7" s="410">
        <f>'数据-取费表'!B2</f>
        <v>43273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82" t="s">
        <v>2552</v>
      </c>
      <c r="Q7" s="3210"/>
      <c r="R7" s="770" t="s">
        <v>17</v>
      </c>
      <c r="S7" s="771">
        <f t="shared" ref="S7:S15" si="0">F7</f>
        <v>0</v>
      </c>
      <c r="T7" s="770" t="s">
        <v>17</v>
      </c>
      <c r="U7" s="771">
        <f t="shared" ref="U7:U15" si="1">H7</f>
        <v>0</v>
      </c>
      <c r="V7" s="770" t="s">
        <v>17</v>
      </c>
      <c r="W7" s="771">
        <f t="shared" ref="W7:W15" si="2">J7</f>
        <v>0</v>
      </c>
      <c r="X7" s="772"/>
      <c r="Y7" s="3182" t="s">
        <v>2552</v>
      </c>
      <c r="Z7" s="3183"/>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45" si="3">D8/F8</f>
        <v>#DIV/0!</v>
      </c>
      <c r="AB8" s="773" t="e">
        <f t="shared" ref="AB8:AB45" si="4">D8/H8</f>
        <v>#DIV/0!</v>
      </c>
      <c r="AC8" s="773"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14"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14"/>
      <c r="Q10" s="1795" t="str">
        <f t="shared" si="6"/>
        <v>土地使用年限（年）</v>
      </c>
      <c r="R10" s="770" t="s">
        <v>17</v>
      </c>
      <c r="S10" s="771">
        <f t="shared" si="0"/>
        <v>106</v>
      </c>
      <c r="T10" s="770" t="s">
        <v>17</v>
      </c>
      <c r="U10" s="771">
        <f t="shared" si="1"/>
        <v>106</v>
      </c>
      <c r="V10" s="770" t="s">
        <v>17</v>
      </c>
      <c r="W10" s="771">
        <f t="shared" si="2"/>
        <v>106</v>
      </c>
      <c r="X10" s="772"/>
      <c r="Y10" s="3029"/>
      <c r="Z10" s="55" t="str">
        <f t="shared" si="7"/>
        <v>土地使用年限（年）</v>
      </c>
      <c r="AA10" s="773">
        <f t="shared" si="3"/>
        <v>0.94339622641509435</v>
      </c>
      <c r="AB10" s="773">
        <f t="shared" si="4"/>
        <v>0.94339622641509435</v>
      </c>
      <c r="AC10" s="773">
        <f t="shared" si="5"/>
        <v>0.94339622641509435</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2563</v>
      </c>
      <c r="Q15" s="1810" t="str">
        <f t="shared" si="6"/>
        <v>居住社区成熟度</v>
      </c>
      <c r="R15" s="774" t="s">
        <v>17</v>
      </c>
      <c r="S15" s="775">
        <f t="shared" si="0"/>
        <v>100</v>
      </c>
      <c r="T15" s="774" t="s">
        <v>17</v>
      </c>
      <c r="U15" s="775">
        <f t="shared" si="1"/>
        <v>100</v>
      </c>
      <c r="V15" s="774" t="s">
        <v>17</v>
      </c>
      <c r="W15" s="775">
        <f t="shared" si="2"/>
        <v>100</v>
      </c>
      <c r="X15" s="1813"/>
      <c r="Y15" s="3216" t="s">
        <v>2563</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10" t="str">
        <f>B17</f>
        <v>商业繁华度</v>
      </c>
      <c r="R17" s="774" t="s">
        <v>17</v>
      </c>
      <c r="S17" s="775">
        <f>F17</f>
        <v>100</v>
      </c>
      <c r="T17" s="774" t="s">
        <v>17</v>
      </c>
      <c r="U17" s="775">
        <f>H17</f>
        <v>100</v>
      </c>
      <c r="V17" s="774" t="s">
        <v>17</v>
      </c>
      <c r="W17" s="775">
        <f>J17</f>
        <v>100</v>
      </c>
      <c r="X17" s="1813"/>
      <c r="Y17" s="3217"/>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10" t="str">
        <f>B19</f>
        <v>办公集聚程度</v>
      </c>
      <c r="R19" s="774" t="s">
        <v>17</v>
      </c>
      <c r="S19" s="775">
        <f>F19</f>
        <v>100</v>
      </c>
      <c r="T19" s="774" t="s">
        <v>17</v>
      </c>
      <c r="U19" s="775">
        <f>H19</f>
        <v>100</v>
      </c>
      <c r="V19" s="774" t="s">
        <v>17</v>
      </c>
      <c r="W19" s="775">
        <f>J19</f>
        <v>100</v>
      </c>
      <c r="X19" s="1813"/>
      <c r="Y19" s="3217"/>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7"/>
      <c r="Q20" s="1810"/>
      <c r="R20" s="774"/>
      <c r="S20" s="775"/>
      <c r="T20" s="774"/>
      <c r="U20" s="775"/>
      <c r="V20" s="774"/>
      <c r="W20" s="775"/>
      <c r="X20" s="1813"/>
      <c r="Y20" s="3217"/>
      <c r="Z20" s="1814"/>
      <c r="AA20" s="1811">
        <v>1</v>
      </c>
      <c r="AB20" s="1811">
        <v>1</v>
      </c>
      <c r="AC20" s="1811">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10" t="str">
        <f>B21</f>
        <v>交通便捷度</v>
      </c>
      <c r="R21" s="774" t="s">
        <v>17</v>
      </c>
      <c r="S21" s="775">
        <f>F21</f>
        <v>100</v>
      </c>
      <c r="T21" s="774" t="s">
        <v>17</v>
      </c>
      <c r="U21" s="775">
        <f>H21</f>
        <v>100</v>
      </c>
      <c r="V21" s="774" t="s">
        <v>17</v>
      </c>
      <c r="W21" s="775">
        <f>J21</f>
        <v>100</v>
      </c>
      <c r="X21" s="1813"/>
      <c r="Y21" s="3217"/>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10" t="str">
        <f t="shared" ref="Q23:Q37" si="8">B23</f>
        <v>区域土地利用方向</v>
      </c>
      <c r="R23" s="774" t="s">
        <v>17</v>
      </c>
      <c r="S23" s="775">
        <f>F23</f>
        <v>100</v>
      </c>
      <c r="T23" s="774" t="s">
        <v>17</v>
      </c>
      <c r="U23" s="775">
        <f>H23</f>
        <v>100</v>
      </c>
      <c r="V23" s="774" t="s">
        <v>17</v>
      </c>
      <c r="W23" s="775">
        <f>J23</f>
        <v>100</v>
      </c>
      <c r="X23" s="1813"/>
      <c r="Y23" s="3217"/>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09"/>
      <c r="L24" s="1140"/>
      <c r="M24" s="1131"/>
      <c r="N24" s="1131"/>
      <c r="O24" s="1139"/>
      <c r="P24" s="3217"/>
      <c r="Q24" s="1810"/>
      <c r="R24" s="774"/>
      <c r="S24" s="775"/>
      <c r="T24" s="774"/>
      <c r="U24" s="775"/>
      <c r="V24" s="774"/>
      <c r="W24" s="775"/>
      <c r="X24" s="1813"/>
      <c r="Y24" s="3217"/>
      <c r="Z24" s="1814"/>
      <c r="AA24" s="1811"/>
      <c r="AB24" s="1811"/>
      <c r="AC24" s="1811"/>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10" t="str">
        <f t="shared" si="8"/>
        <v>自然及人文环境状况</v>
      </c>
      <c r="R25" s="774" t="s">
        <v>17</v>
      </c>
      <c r="S25" s="775">
        <f>F25</f>
        <v>100</v>
      </c>
      <c r="T25" s="774" t="s">
        <v>17</v>
      </c>
      <c r="U25" s="775">
        <f>H25</f>
        <v>100</v>
      </c>
      <c r="V25" s="774" t="s">
        <v>17</v>
      </c>
      <c r="W25" s="775">
        <f>J25</f>
        <v>100</v>
      </c>
      <c r="X25" s="1813"/>
      <c r="Y25" s="3217"/>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7"/>
      <c r="Q26" s="1810"/>
      <c r="R26" s="774"/>
      <c r="S26" s="775"/>
      <c r="T26" s="774"/>
      <c r="U26" s="775"/>
      <c r="V26" s="774"/>
      <c r="W26" s="775"/>
      <c r="X26" s="1813"/>
      <c r="Y26" s="3217"/>
      <c r="Z26" s="1814"/>
      <c r="AA26" s="1811">
        <v>1</v>
      </c>
      <c r="AB26" s="1811">
        <v>1</v>
      </c>
      <c r="AC26" s="1811">
        <v>1</v>
      </c>
    </row>
    <row r="27" spans="1:29" s="117" customFormat="1" ht="42.75">
      <c r="A27" s="649"/>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95" t="str">
        <f t="shared" si="8"/>
        <v>公共配套设施</v>
      </c>
      <c r="R27" s="770" t="s">
        <v>17</v>
      </c>
      <c r="S27" s="771">
        <f>F27</f>
        <v>100</v>
      </c>
      <c r="T27" s="770" t="s">
        <v>17</v>
      </c>
      <c r="U27" s="771">
        <f>H27</f>
        <v>100</v>
      </c>
      <c r="V27" s="770" t="s">
        <v>17</v>
      </c>
      <c r="W27" s="771">
        <f>J27</f>
        <v>100</v>
      </c>
      <c r="X27" s="772"/>
      <c r="Y27" s="3217"/>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7"/>
      <c r="Q28" s="1795"/>
      <c r="R28" s="770"/>
      <c r="S28" s="771"/>
      <c r="T28" s="770"/>
      <c r="U28" s="771"/>
      <c r="V28" s="770"/>
      <c r="W28" s="771"/>
      <c r="X28" s="772"/>
      <c r="Y28" s="3217"/>
      <c r="Z28" s="55"/>
      <c r="AA28" s="1811">
        <v>1</v>
      </c>
      <c r="AB28" s="1811">
        <v>1</v>
      </c>
      <c r="AC28" s="1811">
        <v>1</v>
      </c>
    </row>
    <row r="29" spans="1:29" s="117" customFormat="1" ht="28.5">
      <c r="A29" s="649"/>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95"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7"/>
      <c r="Q30" s="1795"/>
      <c r="R30" s="770"/>
      <c r="S30" s="771"/>
      <c r="T30" s="770"/>
      <c r="U30" s="771"/>
      <c r="V30" s="770"/>
      <c r="W30" s="771"/>
      <c r="X30" s="772"/>
      <c r="Y30" s="3217"/>
      <c r="Z30" s="55"/>
      <c r="AA30" s="1811">
        <v>1</v>
      </c>
      <c r="AB30" s="1811">
        <v>1</v>
      </c>
      <c r="AC30" s="1811">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7"/>
      <c r="Z31" s="1814" t="str">
        <f t="shared" ref="Z31:Z45" si="13">Q31</f>
        <v>临街状况</v>
      </c>
      <c r="AA31" s="1811">
        <f t="shared" si="3"/>
        <v>1</v>
      </c>
      <c r="AB31" s="1811">
        <f t="shared" si="4"/>
        <v>1</v>
      </c>
      <c r="AC31" s="1811">
        <f t="shared" si="5"/>
        <v>1</v>
      </c>
    </row>
    <row r="32" spans="1:29" ht="27">
      <c r="A32" s="428"/>
      <c r="B32" s="1384"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10" t="str">
        <f t="shared" si="8"/>
        <v>毗邻道路的类型与等级</v>
      </c>
      <c r="R32" s="774" t="s">
        <v>17</v>
      </c>
      <c r="S32" s="775">
        <f t="shared" si="10"/>
        <v>100</v>
      </c>
      <c r="T32" s="774" t="s">
        <v>17</v>
      </c>
      <c r="U32" s="775">
        <f t="shared" si="11"/>
        <v>100</v>
      </c>
      <c r="V32" s="774" t="s">
        <v>17</v>
      </c>
      <c r="W32" s="775">
        <f t="shared" si="12"/>
        <v>100</v>
      </c>
      <c r="X32" s="1813"/>
      <c r="Y32" s="3217"/>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7"/>
      <c r="Q33" s="1810"/>
      <c r="R33" s="774"/>
      <c r="S33" s="775"/>
      <c r="T33" s="774"/>
      <c r="U33" s="775"/>
      <c r="V33" s="774"/>
      <c r="W33" s="775"/>
      <c r="X33" s="1813"/>
      <c r="Y33" s="3217"/>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10" t="str">
        <f t="shared" si="8"/>
        <v>土地级别</v>
      </c>
      <c r="R34" s="774" t="s">
        <v>17</v>
      </c>
      <c r="S34" s="775">
        <f t="shared" si="10"/>
        <v>100</v>
      </c>
      <c r="T34" s="774" t="s">
        <v>17</v>
      </c>
      <c r="U34" s="775">
        <f t="shared" si="11"/>
        <v>100</v>
      </c>
      <c r="V34" s="774" t="s">
        <v>17</v>
      </c>
      <c r="W34" s="775">
        <f t="shared" si="12"/>
        <v>100</v>
      </c>
      <c r="X34" s="1813"/>
      <c r="Y34" s="321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10">
        <f t="shared" si="8"/>
        <v>111</v>
      </c>
      <c r="R35" s="774" t="s">
        <v>17</v>
      </c>
      <c r="S35" s="775">
        <f t="shared" si="10"/>
        <v>100</v>
      </c>
      <c r="T35" s="774" t="s">
        <v>17</v>
      </c>
      <c r="U35" s="775">
        <f t="shared" si="11"/>
        <v>100</v>
      </c>
      <c r="V35" s="774" t="s">
        <v>17</v>
      </c>
      <c r="W35" s="775">
        <f t="shared" si="12"/>
        <v>100</v>
      </c>
      <c r="X35" s="1813"/>
      <c r="Y35" s="321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2568</v>
      </c>
      <c r="Q36" s="1810">
        <f t="shared" si="8"/>
        <v>111</v>
      </c>
      <c r="R36" s="774" t="s">
        <v>17</v>
      </c>
      <c r="S36" s="775">
        <f t="shared" si="10"/>
        <v>100</v>
      </c>
      <c r="T36" s="774" t="s">
        <v>17</v>
      </c>
      <c r="U36" s="775">
        <f t="shared" si="11"/>
        <v>100</v>
      </c>
      <c r="V36" s="774" t="s">
        <v>17</v>
      </c>
      <c r="W36" s="775">
        <f t="shared" si="12"/>
        <v>100</v>
      </c>
      <c r="X36" s="1813"/>
      <c r="Y36" s="3221"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10">
        <f t="shared" si="8"/>
        <v>111</v>
      </c>
      <c r="R37" s="777" t="s">
        <v>17</v>
      </c>
      <c r="S37" s="778">
        <f t="shared" si="10"/>
        <v>100</v>
      </c>
      <c r="T37" s="777" t="s">
        <v>17</v>
      </c>
      <c r="U37" s="778">
        <f t="shared" si="11"/>
        <v>100</v>
      </c>
      <c r="V37" s="777" t="s">
        <v>17</v>
      </c>
      <c r="W37" s="778">
        <f t="shared" si="12"/>
        <v>100</v>
      </c>
      <c r="X37" s="779"/>
      <c r="Y37" s="3221"/>
      <c r="Z37" s="780">
        <f t="shared" si="13"/>
        <v>111</v>
      </c>
      <c r="AA37" s="1811">
        <f t="shared" si="3"/>
        <v>1</v>
      </c>
      <c r="AB37" s="1811">
        <f t="shared" si="4"/>
        <v>1</v>
      </c>
      <c r="AC37" s="1811">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10" t="str">
        <f>B38</f>
        <v>宗地面积</v>
      </c>
      <c r="R38" s="774" t="s">
        <v>17</v>
      </c>
      <c r="S38" s="775" t="e">
        <f t="shared" si="10"/>
        <v>#N/A</v>
      </c>
      <c r="T38" s="774" t="s">
        <v>17</v>
      </c>
      <c r="U38" s="775" t="e">
        <f t="shared" si="11"/>
        <v>#N/A</v>
      </c>
      <c r="V38" s="774" t="s">
        <v>17</v>
      </c>
      <c r="W38" s="775" t="e">
        <f t="shared" si="12"/>
        <v>#N/A</v>
      </c>
      <c r="X38" s="1813"/>
      <c r="Y38" s="3221"/>
      <c r="Z38" s="1814" t="str">
        <f t="shared" si="13"/>
        <v>宗地面积</v>
      </c>
      <c r="AA38" s="1811" t="e">
        <f t="shared" si="3"/>
        <v>#N/A</v>
      </c>
      <c r="AB38" s="1811" t="e">
        <f t="shared" si="4"/>
        <v>#N/A</v>
      </c>
      <c r="AC38" s="1811"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21"/>
      <c r="Q39" s="1810" t="str">
        <f t="shared" ref="Q39:Q45" si="14">B39</f>
        <v>宗地形状</v>
      </c>
      <c r="R39" s="774" t="s">
        <v>17</v>
      </c>
      <c r="S39" s="775">
        <f t="shared" si="10"/>
        <v>100</v>
      </c>
      <c r="T39" s="774" t="s">
        <v>17</v>
      </c>
      <c r="U39" s="775">
        <f t="shared" si="11"/>
        <v>100</v>
      </c>
      <c r="V39" s="774" t="s">
        <v>17</v>
      </c>
      <c r="W39" s="775">
        <f t="shared" si="12"/>
        <v>100</v>
      </c>
      <c r="X39" s="1813"/>
      <c r="Y39" s="3221"/>
      <c r="Z39" s="1814" t="str">
        <f t="shared" si="13"/>
        <v>宗地形状</v>
      </c>
      <c r="AA39" s="1811">
        <f t="shared" si="3"/>
        <v>1</v>
      </c>
      <c r="AB39" s="1811">
        <f t="shared" si="4"/>
        <v>1</v>
      </c>
      <c r="AC39" s="1811">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21"/>
      <c r="Q40" s="1810" t="str">
        <f t="shared" si="14"/>
        <v>临街宽度及深度</v>
      </c>
      <c r="R40" s="774" t="s">
        <v>17</v>
      </c>
      <c r="S40" s="775">
        <f t="shared" si="10"/>
        <v>100</v>
      </c>
      <c r="T40" s="774" t="s">
        <v>17</v>
      </c>
      <c r="U40" s="775">
        <f t="shared" si="11"/>
        <v>100</v>
      </c>
      <c r="V40" s="774" t="s">
        <v>17</v>
      </c>
      <c r="W40" s="775">
        <f t="shared" si="12"/>
        <v>100</v>
      </c>
      <c r="X40" s="1813"/>
      <c r="Y40" s="3221"/>
      <c r="Z40" s="1814" t="str">
        <f t="shared" si="13"/>
        <v>临街宽度及深度</v>
      </c>
      <c r="AA40" s="1811">
        <f t="shared" si="3"/>
        <v>1</v>
      </c>
      <c r="AB40" s="1811">
        <f t="shared" si="4"/>
        <v>1</v>
      </c>
      <c r="AC40" s="1811">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21"/>
      <c r="Q41" s="1810"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21" t="s">
        <v>2568</v>
      </c>
      <c r="Q42" s="1810" t="str">
        <f t="shared" si="14"/>
        <v>工程地质条件</v>
      </c>
      <c r="R42" s="774" t="s">
        <v>17</v>
      </c>
      <c r="S42" s="775">
        <f t="shared" si="10"/>
        <v>100</v>
      </c>
      <c r="T42" s="774" t="s">
        <v>17</v>
      </c>
      <c r="U42" s="775">
        <f t="shared" si="11"/>
        <v>100</v>
      </c>
      <c r="V42" s="774" t="s">
        <v>17</v>
      </c>
      <c r="W42" s="775">
        <f t="shared" si="12"/>
        <v>100</v>
      </c>
      <c r="X42" s="1813"/>
      <c r="Y42" s="3221"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10">
        <f t="shared" si="14"/>
        <v>111</v>
      </c>
      <c r="R43" s="774" t="s">
        <v>17</v>
      </c>
      <c r="S43" s="775">
        <f t="shared" si="10"/>
        <v>100</v>
      </c>
      <c r="T43" s="774" t="s">
        <v>17</v>
      </c>
      <c r="U43" s="775">
        <f t="shared" si="11"/>
        <v>100</v>
      </c>
      <c r="V43" s="774" t="s">
        <v>17</v>
      </c>
      <c r="W43" s="775">
        <f t="shared" si="12"/>
        <v>100</v>
      </c>
      <c r="X43" s="1813"/>
      <c r="Y43" s="322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10">
        <f t="shared" si="14"/>
        <v>111</v>
      </c>
      <c r="R44" s="774" t="s">
        <v>17</v>
      </c>
      <c r="S44" s="775">
        <f t="shared" si="10"/>
        <v>100</v>
      </c>
      <c r="T44" s="774" t="s">
        <v>17</v>
      </c>
      <c r="U44" s="775">
        <f t="shared" si="11"/>
        <v>100</v>
      </c>
      <c r="V44" s="774" t="s">
        <v>17</v>
      </c>
      <c r="W44" s="775">
        <f t="shared" si="12"/>
        <v>100</v>
      </c>
      <c r="X44" s="1813"/>
      <c r="Y44" s="3221"/>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10">
        <f t="shared" si="14"/>
        <v>111</v>
      </c>
      <c r="R45" s="777" t="s">
        <v>17</v>
      </c>
      <c r="S45" s="778">
        <f t="shared" si="10"/>
        <v>100</v>
      </c>
      <c r="T45" s="777" t="s">
        <v>17</v>
      </c>
      <c r="U45" s="778">
        <f t="shared" si="11"/>
        <v>100</v>
      </c>
      <c r="V45" s="777" t="s">
        <v>17</v>
      </c>
      <c r="W45" s="778">
        <f t="shared" si="12"/>
        <v>100</v>
      </c>
      <c r="X45" s="779"/>
      <c r="Y45" s="3221"/>
      <c r="Z45" s="780">
        <f t="shared" si="13"/>
        <v>111</v>
      </c>
      <c r="AA45" s="1811">
        <f t="shared" si="3"/>
        <v>1</v>
      </c>
      <c r="AB45" s="1811">
        <f t="shared" si="4"/>
        <v>1</v>
      </c>
      <c r="AC45" s="1811">
        <f t="shared" si="5"/>
        <v>1</v>
      </c>
    </row>
    <row r="46" spans="1:29" ht="15">
      <c r="A46" s="479" t="s">
        <v>2723</v>
      </c>
      <c r="B46" s="2707" t="s">
        <v>2759</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2761</v>
      </c>
      <c r="B55" s="685" t="s">
        <v>2762</v>
      </c>
      <c r="C55" s="2708" t="s">
        <v>2763</v>
      </c>
      <c r="D55" s="2709" t="s">
        <v>2764</v>
      </c>
      <c r="E55" s="686" t="s">
        <v>2765</v>
      </c>
      <c r="F55" s="1107" t="s">
        <v>2766</v>
      </c>
      <c r="G55" s="3197" t="s">
        <v>2767</v>
      </c>
      <c r="H55" s="3243"/>
      <c r="I55" s="144" t="s">
        <v>2768</v>
      </c>
      <c r="J55" s="2710">
        <f>项目基本情况!F35</f>
        <v>0</v>
      </c>
      <c r="K55" s="2711" t="s">
        <v>2769</v>
      </c>
      <c r="L55" s="1106"/>
      <c r="M55" s="1144"/>
      <c r="N55" s="1144"/>
      <c r="O55" s="1144"/>
    </row>
    <row r="56" spans="1:15" s="692" customFormat="1">
      <c r="A56" s="688" t="s">
        <v>2770</v>
      </c>
      <c r="B56" s="689" t="e">
        <f>C48</f>
        <v>#DIV/0!</v>
      </c>
      <c r="C56" s="690">
        <v>1</v>
      </c>
      <c r="D56" s="1163">
        <v>1</v>
      </c>
      <c r="E56" s="690">
        <f>'数据-汇总表'!E8+'数据-汇总表'!E9</f>
        <v>66743.48</v>
      </c>
      <c r="F56" s="1103" t="e">
        <f t="shared" ref="F56:F65" si="15">ROUND(B56*E56/10000,0)</f>
        <v>#DIV/0!</v>
      </c>
      <c r="G56" s="3196"/>
      <c r="H56" s="3214"/>
      <c r="I56" s="1108">
        <v>1</v>
      </c>
      <c r="J56" s="1111">
        <v>1</v>
      </c>
      <c r="K56" s="1145"/>
      <c r="L56" s="941"/>
      <c r="M56" s="941"/>
      <c r="N56" s="941"/>
      <c r="O56" s="941"/>
    </row>
    <row r="57" spans="1:15" s="692" customFormat="1">
      <c r="A57" s="693" t="s">
        <v>2771</v>
      </c>
      <c r="B57" s="262" t="e">
        <f>ROUND($C$48*C57*D57,0)</f>
        <v>#DIV/0!</v>
      </c>
      <c r="C57" s="200">
        <f t="shared" ref="C57:C65" si="16">IF($C$55="北京市系数",I57,J57)</f>
        <v>0.7</v>
      </c>
      <c r="D57" s="1164">
        <v>0.25</v>
      </c>
      <c r="E57" s="694"/>
      <c r="F57" s="1103" t="e">
        <f t="shared" si="15"/>
        <v>#DIV/0!</v>
      </c>
      <c r="G57" s="3244" t="s">
        <v>2772</v>
      </c>
      <c r="H57" s="1104" t="str">
        <f>项目基本情况!B37</f>
        <v>六级</v>
      </c>
      <c r="I57" s="1108">
        <f>SUMIF(修正!A45:A56,H57,修正!B45:B56)</f>
        <v>0.7</v>
      </c>
      <c r="J57" s="1112"/>
      <c r="K57" s="1144"/>
      <c r="L57" s="941"/>
      <c r="M57" s="941"/>
      <c r="N57" s="941"/>
      <c r="O57" s="941"/>
    </row>
    <row r="58" spans="1:15" s="692" customFormat="1">
      <c r="A58" s="693" t="s">
        <v>2773</v>
      </c>
      <c r="B58" s="262" t="e">
        <f t="shared" ref="B58:B65" si="17">ROUND($C$48*C58*D58,0)</f>
        <v>#DIV/0!</v>
      </c>
      <c r="C58" s="200">
        <f t="shared" si="16"/>
        <v>0.4</v>
      </c>
      <c r="D58" s="1164">
        <v>0.25</v>
      </c>
      <c r="E58" s="694"/>
      <c r="F58" s="1103" t="e">
        <f t="shared" si="15"/>
        <v>#DIV/0!</v>
      </c>
      <c r="G58" s="3244"/>
      <c r="H58" s="1104" t="str">
        <f>项目基本情况!B37</f>
        <v>六级</v>
      </c>
      <c r="I58" s="1108">
        <f>SUMIF(修正!A45:A56,H58,修正!C45:C56)</f>
        <v>0.4</v>
      </c>
      <c r="J58" s="1112"/>
      <c r="K58" s="1145"/>
      <c r="L58" s="941"/>
      <c r="M58" s="941"/>
      <c r="N58" s="941"/>
      <c r="O58" s="941"/>
    </row>
    <row r="59" spans="1:15" s="692" customFormat="1">
      <c r="A59" s="693" t="s">
        <v>2774</v>
      </c>
      <c r="B59" s="262" t="e">
        <f t="shared" si="17"/>
        <v>#DIV/0!</v>
      </c>
      <c r="C59" s="200">
        <f t="shared" si="16"/>
        <v>0.28000000000000003</v>
      </c>
      <c r="D59" s="1164">
        <v>0.25</v>
      </c>
      <c r="E59" s="694"/>
      <c r="F59" s="1103" t="e">
        <f t="shared" si="15"/>
        <v>#DIV/0!</v>
      </c>
      <c r="G59" s="3244"/>
      <c r="H59" s="1104" t="str">
        <f>项目基本情况!B37</f>
        <v>六级</v>
      </c>
      <c r="I59" s="1108">
        <f>SUMIF(修正!A45:A56,H59,修正!D45:D56)</f>
        <v>0.28000000000000003</v>
      </c>
      <c r="J59" s="1112"/>
      <c r="K59" s="1144"/>
      <c r="L59" s="941"/>
      <c r="M59" s="941"/>
      <c r="N59" s="941"/>
      <c r="O59" s="941"/>
    </row>
    <row r="60" spans="1:15" s="692" customFormat="1">
      <c r="A60" s="693" t="s">
        <v>2775</v>
      </c>
      <c r="B60" s="262" t="e">
        <f t="shared" si="17"/>
        <v>#DIV/0!</v>
      </c>
      <c r="C60" s="200">
        <f t="shared" si="16"/>
        <v>0.25</v>
      </c>
      <c r="D60" s="1164">
        <v>0.25</v>
      </c>
      <c r="E60" s="694"/>
      <c r="F60" s="1103" t="e">
        <f t="shared" si="15"/>
        <v>#DIV/0!</v>
      </c>
      <c r="G60" s="3244"/>
      <c r="H60" s="1104" t="str">
        <f>项目基本情况!B37</f>
        <v>六级</v>
      </c>
      <c r="I60" s="1108">
        <f>SUMIF(修正!A45:A56,H60,修正!E45:E56)</f>
        <v>0.25</v>
      </c>
      <c r="J60" s="1112"/>
      <c r="K60" s="1145"/>
      <c r="L60" s="941"/>
      <c r="M60" s="941"/>
      <c r="N60" s="941"/>
      <c r="O60" s="941"/>
    </row>
    <row r="61" spans="1:15" s="692" customFormat="1">
      <c r="A61" s="693" t="s">
        <v>2776</v>
      </c>
      <c r="B61" s="262" t="e">
        <f t="shared" si="17"/>
        <v>#DIV/0!</v>
      </c>
      <c r="C61" s="200">
        <f t="shared" si="16"/>
        <v>0.25</v>
      </c>
      <c r="D61" s="1164">
        <v>0.25</v>
      </c>
      <c r="E61" s="261">
        <f>'数据-汇总表'!E11</f>
        <v>0</v>
      </c>
      <c r="F61" s="1103" t="e">
        <f t="shared" si="15"/>
        <v>#DIV/0!</v>
      </c>
      <c r="G61" s="2712" t="s">
        <v>2777</v>
      </c>
      <c r="H61" s="1104" t="str">
        <f>项目基本情况!C37</f>
        <v>六级</v>
      </c>
      <c r="I61" s="1108">
        <f>SUMIF(修正!A45:A56,H61,修正!F45:F56)</f>
        <v>0.25</v>
      </c>
      <c r="J61" s="1112"/>
      <c r="K61" s="1144"/>
      <c r="L61" s="941"/>
      <c r="M61" s="941"/>
      <c r="N61" s="941"/>
      <c r="O61" s="941"/>
    </row>
    <row r="62" spans="1:15" s="692" customFormat="1">
      <c r="A62" s="693" t="s">
        <v>2778</v>
      </c>
      <c r="B62" s="262" t="e">
        <f t="shared" si="17"/>
        <v>#DIV/0!</v>
      </c>
      <c r="C62" s="200">
        <f t="shared" si="16"/>
        <v>0.25</v>
      </c>
      <c r="D62" s="1164">
        <v>0.25</v>
      </c>
      <c r="E62" s="261">
        <f>'数据-汇总表'!E12</f>
        <v>2396.8900000000003</v>
      </c>
      <c r="F62" s="1103" t="e">
        <f t="shared" si="15"/>
        <v>#DIV/0!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2780</v>
      </c>
      <c r="B63" s="262" t="e">
        <f t="shared" si="17"/>
        <v>#DIV/0!</v>
      </c>
      <c r="C63" s="200">
        <f t="shared" si="16"/>
        <v>0</v>
      </c>
      <c r="D63" s="1164">
        <v>0.25</v>
      </c>
      <c r="E63" s="261">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2782</v>
      </c>
      <c r="B64" s="262" t="e">
        <f t="shared" si="17"/>
        <v>#DIV/0!</v>
      </c>
      <c r="C64" s="200">
        <f t="shared" si="16"/>
        <v>0.2</v>
      </c>
      <c r="D64" s="1164">
        <v>0.25</v>
      </c>
      <c r="E64" s="261">
        <f>'数据-汇总表'!E14</f>
        <v>0</v>
      </c>
      <c r="F64" s="1103" t="e">
        <f t="shared" si="15"/>
        <v>#DIV/0!</v>
      </c>
      <c r="G64" s="2712" t="s">
        <v>2772</v>
      </c>
      <c r="H64" s="1104" t="str">
        <f>项目基本情况!B37</f>
        <v>六级</v>
      </c>
      <c r="I64" s="1108">
        <f>SUMIF(修正!A45:A56,H64,修正!H45:H56)</f>
        <v>0.2</v>
      </c>
      <c r="J64" s="1112"/>
      <c r="K64" s="1145"/>
      <c r="L64" s="941"/>
      <c r="M64" s="941"/>
      <c r="N64" s="941"/>
      <c r="O64" s="941"/>
    </row>
    <row r="65" spans="1:17" s="692" customFormat="1" ht="15" thickBot="1">
      <c r="A65" s="693" t="s">
        <v>2783</v>
      </c>
      <c r="B65" s="262" t="e">
        <f t="shared" si="17"/>
        <v>#DIV/0!</v>
      </c>
      <c r="C65" s="200">
        <f t="shared" si="16"/>
        <v>0.2</v>
      </c>
      <c r="D65" s="1164">
        <v>0.25</v>
      </c>
      <c r="E65" s="261">
        <f>'数据-汇总表'!E15</f>
        <v>0</v>
      </c>
      <c r="F65" s="1103" t="e">
        <f t="shared" si="15"/>
        <v>#DIV/0!</v>
      </c>
      <c r="G65" s="2713" t="s">
        <v>2777</v>
      </c>
      <c r="H65" s="1114" t="str">
        <f>项目基本情况!C37</f>
        <v>六级</v>
      </c>
      <c r="I65" s="1110">
        <f>SUMIF(修正!A45:A56,H65,修正!H45:H56)</f>
        <v>0.2</v>
      </c>
      <c r="J65" s="1113"/>
      <c r="K65" s="1144"/>
      <c r="L65" s="941"/>
      <c r="M65" s="941"/>
      <c r="N65" s="941"/>
      <c r="O65" s="941"/>
    </row>
    <row r="66" spans="1:17" s="692" customFormat="1" ht="13.5" thickBot="1">
      <c r="A66" s="695" t="s">
        <v>2784</v>
      </c>
      <c r="B66" s="696" t="s">
        <v>28</v>
      </c>
      <c r="C66" s="696" t="s">
        <v>29</v>
      </c>
      <c r="D66" s="696" t="s">
        <v>1029</v>
      </c>
      <c r="E66" s="696">
        <f>IF(B46="楼面地价",SUM(E56:E65),'数据-汇总表'!D3)</f>
        <v>69140.37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4" t="s">
        <v>2785</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5" t="s">
        <v>2786</v>
      </c>
      <c r="B71" s="332" t="str">
        <f>"北京市平均增长率"&amp;TEXT(SUMIF(基准地价修正办公!N21:N25,A71,基准地价修正办公!P21:P25),"0.00%")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G59" sqref="G59:G6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63942.879999999997</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f ca="1">C26</f>
        <v>69329</v>
      </c>
      <c r="C2" s="2724" t="s">
        <v>2816</v>
      </c>
      <c r="D2" s="2725" t="s">
        <v>2817</v>
      </c>
      <c r="E2" s="2726" t="s">
        <v>27</v>
      </c>
      <c r="F2" s="2725" t="s">
        <v>2818</v>
      </c>
      <c r="G2" s="2727" t="str">
        <f>IF(E2="商业",项目基本情况!B37,IF(E2="办公",项目基本情况!C37,IF(E2="住宅",项目基本情况!D37,项目基本情况!E37)))</f>
        <v>六级</v>
      </c>
      <c r="H2" s="2725" t="s">
        <v>2819</v>
      </c>
      <c r="I2" s="2727" t="str">
        <f>IF(E2="商业",项目基本情况!B38,IF(E2="办公",项目基本情况!C38,IF(E2="住宅",项目基本情况!D38,项目基本情况!E38)))</f>
        <v>Ⅵ-亦1</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24807</v>
      </c>
      <c r="U2" s="1603"/>
      <c r="V2" s="1602">
        <f ca="1">ROUND(T2*U2/10000,0)</f>
        <v>0</v>
      </c>
      <c r="W2" s="1606"/>
      <c r="X2" s="1606"/>
      <c r="Y2" s="1606"/>
      <c r="Z2" s="1606"/>
      <c r="AA2" s="1606"/>
      <c r="AB2" s="1606"/>
      <c r="AC2" s="1607"/>
      <c r="AD2" s="1608"/>
      <c r="AE2" s="1608"/>
      <c r="AF2" s="1608"/>
      <c r="AG2" s="1608"/>
      <c r="AH2" s="1608"/>
      <c r="AI2" s="1608"/>
      <c r="AJ2" s="1609"/>
    </row>
    <row r="3" spans="1:36" ht="25.5">
      <c r="A3" s="247" t="s">
        <v>2821</v>
      </c>
      <c r="B3" s="248">
        <f ca="1">ROUND(B2*10000/D1,0)</f>
        <v>10842</v>
      </c>
      <c r="C3" s="2724" t="s">
        <v>2822</v>
      </c>
      <c r="D3" s="2725" t="s">
        <v>2823</v>
      </c>
      <c r="E3" s="2730" t="s">
        <v>3076</v>
      </c>
      <c r="F3" s="2731" t="s">
        <v>3077</v>
      </c>
      <c r="G3" s="913">
        <f>IF(F3="宗地容积率",'数据-汇总表'!I4,IF(F3="估价对象容积率",'数据-汇总表'!I6,'数据-汇总表'!I7))</f>
        <v>4.59</v>
      </c>
      <c r="H3" s="198" t="s">
        <v>2824</v>
      </c>
      <c r="I3" s="944"/>
      <c r="J3" s="2728" t="s">
        <v>2825</v>
      </c>
      <c r="K3" s="1370"/>
      <c r="L3" s="2729"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17807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9"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14366</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2828</v>
      </c>
      <c r="C5" s="914">
        <f>ROUND(IF(E2="商业",IF(F16="增加",C6*C7+C16,C6*C7-C16),IF(E2="住宅",IF(F16="增加",C6*C12+C16,C6*C12-C16),IF(F16="增加",C6+C16,C6-C16))),0)</f>
        <v>9750</v>
      </c>
      <c r="D5" s="1787">
        <f>ROUND(IF(E2="商业",IF(F16="增加",C6+C16,C6-C16)),0)</f>
        <v>0</v>
      </c>
      <c r="E5" s="2734"/>
      <c r="F5" s="2734"/>
      <c r="G5" s="2735"/>
      <c r="H5" s="2735"/>
      <c r="I5" s="2735"/>
      <c r="J5" s="2736"/>
      <c r="K5" s="2737"/>
      <c r="L5" s="2729"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11527</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2830</v>
      </c>
      <c r="B6" s="2743" t="s">
        <v>2831</v>
      </c>
      <c r="C6" s="915">
        <f>SUMIF(L1:L12,G2,M1:M12)</f>
        <v>9750</v>
      </c>
      <c r="D6" s="2744" t="s">
        <v>2832</v>
      </c>
      <c r="E6" s="2745"/>
      <c r="F6" s="2745"/>
      <c r="G6" s="2746"/>
      <c r="H6" s="2746"/>
      <c r="I6" s="2746"/>
      <c r="J6" s="2747"/>
      <c r="K6" s="1842"/>
      <c r="L6" s="2729" t="s">
        <v>2833</v>
      </c>
      <c r="M6" s="1081">
        <f>SUMPRODUCT((区片价!B110:B157=I2)*(区片价!C3:F3=E2)*(区片价!C110:F157))</f>
        <v>9750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9815</v>
      </c>
      <c r="U6" s="1603"/>
      <c r="V6" s="1602">
        <f t="shared" ca="1" si="1"/>
        <v>0</v>
      </c>
      <c r="W6" s="1606"/>
      <c r="X6" s="1606"/>
      <c r="Y6" s="1606"/>
      <c r="Z6" s="1606"/>
      <c r="AA6" s="1606"/>
      <c r="AB6" s="1606"/>
      <c r="AC6" s="2738"/>
      <c r="AD6" s="2739"/>
      <c r="AE6" s="2739"/>
      <c r="AF6" s="2739"/>
      <c r="AG6" s="2739"/>
      <c r="AH6" s="2739"/>
      <c r="AI6" s="2739"/>
      <c r="AJ6" s="2740"/>
    </row>
    <row r="7" spans="1:36" ht="24">
      <c r="A7" s="3249" t="str">
        <f>IF(E2="商业",IF(C8="不临58条商业街","",2),"")</f>
        <v/>
      </c>
      <c r="B7" s="2748" t="s">
        <v>2834</v>
      </c>
      <c r="C7" s="916" t="e">
        <f>IF(C8="不临58条商业街",1,ROUND(1+(1.6*E8+1.2*E9+0.8*E10+0.4*E11)*C9,4))</f>
        <v>#DIV/0!</v>
      </c>
      <c r="D7" s="2749" t="s">
        <v>2835</v>
      </c>
      <c r="E7" s="945"/>
      <c r="F7" s="2750"/>
      <c r="G7" s="2751"/>
      <c r="H7" s="2751"/>
      <c r="I7" s="2751"/>
      <c r="J7" s="2752"/>
      <c r="K7" s="1842"/>
      <c r="L7" s="2729"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8632</v>
      </c>
      <c r="U7" s="1603"/>
      <c r="V7" s="1602">
        <f t="shared" ca="1" si="1"/>
        <v>0</v>
      </c>
      <c r="W7" s="1816" t="s">
        <v>2837</v>
      </c>
      <c r="X7" s="1604" t="str">
        <f>G2</f>
        <v>六级</v>
      </c>
      <c r="Y7" s="1604" t="s">
        <v>2838</v>
      </c>
      <c r="Z7" s="1605">
        <f>G3</f>
        <v>4.59</v>
      </c>
      <c r="AA7" s="1606"/>
      <c r="AB7" s="1606"/>
      <c r="AC7" s="1607"/>
      <c r="AD7" s="1608"/>
      <c r="AE7" s="1608"/>
      <c r="AF7" s="1608"/>
      <c r="AG7" s="1608"/>
      <c r="AH7" s="1608"/>
      <c r="AI7" s="1608"/>
      <c r="AJ7" s="1609"/>
    </row>
    <row r="8" spans="1:36" ht="15">
      <c r="A8" s="3250"/>
      <c r="B8" s="198" t="s">
        <v>2839</v>
      </c>
      <c r="C8" s="2753"/>
      <c r="D8" s="917" t="s">
        <v>139</v>
      </c>
      <c r="E8" s="918" t="e">
        <f>ROUND(C11/E7,4)</f>
        <v>#DIV/0!</v>
      </c>
      <c r="F8" s="2754" t="s">
        <v>2840</v>
      </c>
      <c r="G8" s="2755"/>
      <c r="H8" s="2755"/>
      <c r="I8" s="2755"/>
      <c r="J8" s="2756"/>
      <c r="K8" s="1370"/>
      <c r="L8" s="2729" t="s">
        <v>2841</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0" t="s">
        <v>2842</v>
      </c>
      <c r="X8" s="3261"/>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50"/>
      <c r="B9" s="198" t="s">
        <v>2855</v>
      </c>
      <c r="C9" s="919">
        <f>SUMIF(修正!C59:C119,C8,修正!E59:E119)</f>
        <v>0</v>
      </c>
      <c r="D9" s="200" t="s">
        <v>140</v>
      </c>
      <c r="E9" s="200" t="e">
        <f>ROUND(C11/E7,4)</f>
        <v>#DIV/0!</v>
      </c>
      <c r="F9" s="2754" t="s">
        <v>2856</v>
      </c>
      <c r="G9" s="2755"/>
      <c r="H9" s="2755"/>
      <c r="I9" s="2755"/>
      <c r="J9" s="2756"/>
      <c r="K9" s="1370"/>
      <c r="L9" s="2729"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2"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0"/>
      <c r="B10" s="198" t="s">
        <v>2860</v>
      </c>
      <c r="C10" s="200">
        <f>SUMIF(修正!C59:C119,C8,修正!F59:F119)</f>
        <v>0</v>
      </c>
      <c r="D10" s="200" t="s">
        <v>141</v>
      </c>
      <c r="E10" s="200" t="e">
        <f>ROUND(C11/E7,4)</f>
        <v>#DIV/0!</v>
      </c>
      <c r="F10" s="2754" t="s">
        <v>2861</v>
      </c>
      <c r="G10" s="2755"/>
      <c r="H10" s="2755"/>
      <c r="I10" s="2755"/>
      <c r="J10" s="2756"/>
      <c r="K10" s="1370"/>
      <c r="L10" s="2729"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0"/>
      <c r="B11" s="2757" t="s">
        <v>2863</v>
      </c>
      <c r="C11" s="920">
        <f>C10/4</f>
        <v>0</v>
      </c>
      <c r="D11" s="920" t="s">
        <v>142</v>
      </c>
      <c r="E11" s="920" t="e">
        <f>ROUND(C11/E7,4)</f>
        <v>#DIV/0!</v>
      </c>
      <c r="F11" s="2758" t="s">
        <v>2864</v>
      </c>
      <c r="G11" s="2759"/>
      <c r="H11" s="2759"/>
      <c r="I11" s="2759"/>
      <c r="J11" s="2760"/>
      <c r="K11" s="1370"/>
      <c r="L11" s="2729"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2" t="s">
        <v>2866</v>
      </c>
      <c r="X11" s="1614" t="s">
        <v>2867</v>
      </c>
      <c r="Y11" s="1615">
        <f>$G$3</f>
        <v>4.59</v>
      </c>
      <c r="Z11" s="1615">
        <f t="shared" ref="Z11:AJ11" si="3">$G$3</f>
        <v>4.59</v>
      </c>
      <c r="AA11" s="1615">
        <f t="shared" si="3"/>
        <v>4.59</v>
      </c>
      <c r="AB11" s="1615">
        <f t="shared" si="3"/>
        <v>4.59</v>
      </c>
      <c r="AC11" s="1615">
        <f t="shared" si="3"/>
        <v>4.59</v>
      </c>
      <c r="AD11" s="1615">
        <f t="shared" si="3"/>
        <v>4.59</v>
      </c>
      <c r="AE11" s="1615">
        <f t="shared" si="3"/>
        <v>4.59</v>
      </c>
      <c r="AF11" s="1615">
        <f t="shared" si="3"/>
        <v>4.59</v>
      </c>
      <c r="AG11" s="1615">
        <f t="shared" si="3"/>
        <v>4.59</v>
      </c>
      <c r="AH11" s="1615">
        <f t="shared" si="3"/>
        <v>4.59</v>
      </c>
      <c r="AI11" s="1615">
        <f t="shared" si="3"/>
        <v>4.59</v>
      </c>
      <c r="AJ11" s="1615">
        <f t="shared" si="3"/>
        <v>4.59</v>
      </c>
    </row>
    <row r="12" spans="1:36" ht="25.5" thickBot="1">
      <c r="A12" s="3249" t="s">
        <v>2868</v>
      </c>
      <c r="B12" s="2761" t="s">
        <v>2869</v>
      </c>
      <c r="C12" s="916">
        <f>ROUND(C15*D15*E15*F15*G15*H15*I15*J15,4)</f>
        <v>1</v>
      </c>
      <c r="D12" s="2762" t="s">
        <v>2870</v>
      </c>
      <c r="E12" s="2763"/>
      <c r="F12" s="2763"/>
      <c r="G12" s="2764"/>
      <c r="H12" s="2764"/>
      <c r="I12" s="2764"/>
      <c r="J12" s="2765"/>
      <c r="K12" s="1370"/>
      <c r="L12" s="2766"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2"/>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7"/>
      <c r="B13" s="2767" t="s">
        <v>2873</v>
      </c>
      <c r="C13" s="2768" t="s">
        <v>2874</v>
      </c>
      <c r="D13" s="1808" t="s">
        <v>2875</v>
      </c>
      <c r="E13" s="1808" t="s">
        <v>2876</v>
      </c>
      <c r="F13" s="30" t="s">
        <v>2877</v>
      </c>
      <c r="G13" s="2769" t="s">
        <v>2878</v>
      </c>
      <c r="H13" s="2769" t="s">
        <v>2878</v>
      </c>
      <c r="I13" s="2769" t="s">
        <v>2878</v>
      </c>
      <c r="J13" s="2770" t="s">
        <v>2878</v>
      </c>
      <c r="K13" s="1370"/>
      <c r="L13" s="1370"/>
      <c r="M13" s="1370"/>
      <c r="N13" s="1370"/>
      <c r="O13" s="1370"/>
      <c r="P13" s="1370"/>
      <c r="Q13" s="1370"/>
      <c r="R13" s="1602">
        <v>12</v>
      </c>
      <c r="S13" s="1603"/>
      <c r="T13" s="1602">
        <f t="shared" ca="1" si="0"/>
        <v>0</v>
      </c>
      <c r="U13" s="1603"/>
      <c r="V13" s="1602">
        <f t="shared" ca="1" si="1"/>
        <v>0</v>
      </c>
      <c r="W13" s="3262"/>
      <c r="X13" s="1616"/>
      <c r="Y13" s="1613">
        <f>(-0.163*(Y12^2)-0.59*Y12+7617)*(10^(-4))/Y11</f>
        <v>0.16594771241830067</v>
      </c>
      <c r="Z13" s="1613">
        <f t="shared" ref="Z13:AJ13" si="5">(-0.163*(Z12^2)-0.59*Z12+7617)*(10^(-4))/Z11</f>
        <v>0.16594771241830067</v>
      </c>
      <c r="AA13" s="1613">
        <f t="shared" si="5"/>
        <v>0.16594771241830067</v>
      </c>
      <c r="AB13" s="1613">
        <f t="shared" si="5"/>
        <v>0.16594771241830067</v>
      </c>
      <c r="AC13" s="1613">
        <f t="shared" si="5"/>
        <v>0.16594771241830067</v>
      </c>
      <c r="AD13" s="1613">
        <f t="shared" si="5"/>
        <v>0.16594771241830067</v>
      </c>
      <c r="AE13" s="1613">
        <f t="shared" si="5"/>
        <v>0.16594771241830067</v>
      </c>
      <c r="AF13" s="1613">
        <f t="shared" si="5"/>
        <v>0.16594771241830067</v>
      </c>
      <c r="AG13" s="1613">
        <f t="shared" si="5"/>
        <v>0.16594771241830067</v>
      </c>
      <c r="AH13" s="1613">
        <f t="shared" si="5"/>
        <v>0.16594771241830067</v>
      </c>
      <c r="AI13" s="1613">
        <f t="shared" si="5"/>
        <v>0.16594771241830067</v>
      </c>
      <c r="AJ13" s="1613">
        <f t="shared" si="5"/>
        <v>0.16594771241830067</v>
      </c>
    </row>
    <row r="14" spans="1:36" ht="15">
      <c r="A14" s="3267"/>
      <c r="B14" s="2771"/>
      <c r="C14" s="2772"/>
      <c r="D14" s="2773"/>
      <c r="E14" s="2773"/>
      <c r="F14" s="2774"/>
      <c r="G14" s="2775" t="s">
        <v>2879</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8"/>
      <c r="B15" s="2779" t="s">
        <v>2880</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2881</v>
      </c>
      <c r="N15" s="917" t="s">
        <v>2882</v>
      </c>
      <c r="O15" s="917" t="s">
        <v>2883</v>
      </c>
      <c r="P15" s="2781"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49" t="s">
        <v>2885</v>
      </c>
      <c r="B16" s="2748" t="s">
        <v>2886</v>
      </c>
      <c r="C16" s="1801">
        <f>ROUND(SUM(G17:J17)/C17,0)</f>
        <v>0</v>
      </c>
      <c r="D16" s="2782" t="s">
        <v>2887</v>
      </c>
      <c r="E16" s="2783" t="s">
        <v>3078</v>
      </c>
      <c r="F16" s="2784" t="s">
        <v>3079</v>
      </c>
      <c r="G16" s="2785"/>
      <c r="H16" s="2785"/>
      <c r="I16" s="2785"/>
      <c r="J16" s="2786"/>
      <c r="K16" s="1370"/>
      <c r="L16" s="2787"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50"/>
      <c r="B17" s="2788" t="s">
        <v>2889</v>
      </c>
      <c r="C17" s="921">
        <f>SUMPRODUCT((修正!A2:A5=E2)*(修正!B1:M1=G2)*(修正!B2:M5))</f>
        <v>2.5</v>
      </c>
      <c r="D17" s="2789"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2893</v>
      </c>
      <c r="C18" s="923">
        <f>SUMIF(修正!C18:C39,E3,修正!E18:E39)</f>
        <v>1</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2894</v>
      </c>
      <c r="C19" s="924">
        <f>ROUND(IF(H19="按公示增长率计算",SUMPRODUCT((地价!A3:A22=YEAR(G19)&amp;"-"&amp;ROUNDUP(MONTH(G19)/3,0))*(地价!X2:AB2=E2)*(地价!X3:AB22)),IF(H19="地价指数",M20/M19,(1+I19)^O19)),4)</f>
        <v>1.2928999999999999</v>
      </c>
      <c r="D19" s="2800" t="s">
        <v>2895</v>
      </c>
      <c r="E19" s="925">
        <v>41640</v>
      </c>
      <c r="F19" s="2800" t="s">
        <v>2896</v>
      </c>
      <c r="G19" s="926">
        <f>'数据-取费表'!B2</f>
        <v>43273</v>
      </c>
      <c r="H19" s="2801" t="s">
        <v>3080</v>
      </c>
      <c r="I19" s="927" t="str">
        <f>IF(H19="季度增幅（自定义）",SUMIF(N21:N24,E2,O21:O24),"")</f>
        <v/>
      </c>
      <c r="J19" s="2798"/>
      <c r="K19" s="1377"/>
      <c r="L19" s="2802" t="s">
        <v>2897</v>
      </c>
      <c r="M19" s="1734">
        <f>ROUND(SUMIF(地价!B2:F2,E2,地价!B22:F22),0)</f>
        <v>258</v>
      </c>
      <c r="N19" s="2803" t="s">
        <v>2898</v>
      </c>
      <c r="O19" s="928">
        <f>ROUNDDOWN(DATEDIF(E19,G19,"M")/3,0)</f>
        <v>17</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2899</v>
      </c>
      <c r="C20" s="929">
        <f ca="1">ROUND(POWER(1+G20,J20-I20)*(POWER(1+G20,I20)-1)/(POWER(1+G20,J20)-1),4)</f>
        <v>0.95040000000000002</v>
      </c>
      <c r="D20" s="2809" t="s">
        <v>2900</v>
      </c>
      <c r="E20" s="1768">
        <f ca="1">存贷款利率!D4/100</f>
        <v>4.3499999999999997E-2</v>
      </c>
      <c r="F20" s="2809" t="s">
        <v>2892</v>
      </c>
      <c r="G20" s="934">
        <f ca="1">SUMIF(M15:P15,E2,M17:P17)</f>
        <v>5.1999999999999998E-2</v>
      </c>
      <c r="H20" s="2809" t="s">
        <v>2901</v>
      </c>
      <c r="I20" s="935">
        <f>SUMIF('数据-取费表'!C6:C15,E2,'数据-取费表'!F6:F15)/COUNTIF('数据-取费表'!C6:C15,E2)</f>
        <v>41.02</v>
      </c>
      <c r="J20" s="936">
        <f>IF(E2="住宅",70,IF(E2="商业",40,50))</f>
        <v>50</v>
      </c>
      <c r="K20" s="1377"/>
      <c r="L20" s="2810" t="s">
        <v>2902</v>
      </c>
      <c r="M20" s="1735">
        <f>ROUND(SUMPRODUCT((地价!A4:A22=YEAR(G19)&amp;"-"&amp;ROUNDUP(MONTH(G19)/3,0))*(地价!B2:F2=E2)*(地价!B4:F22)),0)</f>
        <v>333</v>
      </c>
      <c r="N20" s="2811" t="s">
        <v>2903</v>
      </c>
      <c r="O20" s="2812" t="s">
        <v>2904</v>
      </c>
      <c r="P20" s="2813" t="s">
        <v>2905</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3081</v>
      </c>
      <c r="C21" s="937">
        <f>IF(B21="容积率修正",IF(G3&lt;=10,D22,J22),C23)</f>
        <v>0.83620000000000005</v>
      </c>
      <c r="D21" s="2816"/>
      <c r="E21" s="2816"/>
      <c r="F21" s="2816"/>
      <c r="G21" s="2816"/>
      <c r="H21" s="2816"/>
      <c r="I21" s="2816"/>
      <c r="J21" s="2817"/>
      <c r="K21" s="1377"/>
      <c r="N21" s="2818"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41" customFormat="1" ht="14.25">
      <c r="A22" s="2667" t="s">
        <v>2907</v>
      </c>
      <c r="B22" s="2819" t="s">
        <v>2908</v>
      </c>
      <c r="C22" s="1810" t="s">
        <v>2909</v>
      </c>
      <c r="D22" s="1810">
        <f>IF(E22=G22,F22,IF(G3&lt;=10,ROUND(F22+(H22-F22)*(G3-E22)/(G22-E22),4),"——"))</f>
        <v>0.83620000000000005</v>
      </c>
      <c r="E22" s="913">
        <f>ROUNDDOWN(G3,1)</f>
        <v>4.5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0.84019999999999995</v>
      </c>
      <c r="G22" s="913">
        <f>ROUNDUP(G3,1)</f>
        <v>4.5999999999999996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0.83579999999999999</v>
      </c>
      <c r="I22" s="1810" t="s">
        <v>155</v>
      </c>
      <c r="J22" s="938" t="str">
        <f>IF(G3&gt;10,D113,"——")</f>
        <v>——</v>
      </c>
      <c r="K22" s="1377"/>
      <c r="N22" s="2818"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7" t="s">
        <v>2911</v>
      </c>
      <c r="B23" s="2820" t="s">
        <v>2912</v>
      </c>
      <c r="C23" s="1013">
        <f>ROUND(IF(G3&gt;1,IF(I3&lt;7,SUMPRODUCT((B93:B98=I3)*(C92:N92=G2)*(C93:N98)),SUMIF(C92:N92,G2,C100:N100)),IF(I3&lt;7,SUMPRODUCT((B102:B107=I3)*(C92:N92=G2)*(C102:N107)),SUMIF(C92:N92,G2,C109:N109))),4)</f>
        <v>0</v>
      </c>
      <c r="D23" s="2776"/>
      <c r="E23" s="2776"/>
      <c r="F23" s="2821"/>
      <c r="G23" s="2822"/>
      <c r="H23" s="2823"/>
      <c r="I23" s="2824"/>
      <c r="J23" s="2825"/>
      <c r="K23" s="1370"/>
      <c r="N23" s="2818"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2914</v>
      </c>
      <c r="C24" s="924">
        <f>SUMIF(A45:A88,E2,B45:B88)</f>
        <v>1.1114999999999999</v>
      </c>
      <c r="D24" s="2796"/>
      <c r="E24" s="2826"/>
      <c r="F24" s="2826"/>
      <c r="G24" s="2826"/>
      <c r="H24" s="2826"/>
      <c r="I24" s="2826"/>
      <c r="J24" s="2827"/>
      <c r="K24" s="1377"/>
      <c r="N24" s="2828"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2916</v>
      </c>
      <c r="C25" s="930"/>
      <c r="D25" s="2751"/>
      <c r="E25" s="2751"/>
      <c r="F25" s="2830"/>
      <c r="G25" s="2751"/>
      <c r="H25" s="2751"/>
      <c r="I25" s="2751"/>
      <c r="J25" s="2752"/>
      <c r="K25" s="1370"/>
      <c r="N25" s="2831"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32"/>
      <c r="B26" s="2819" t="s">
        <v>2918</v>
      </c>
      <c r="C26" s="206">
        <f ca="1">E29+SUM(E33:E39)</f>
        <v>69329</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2919</v>
      </c>
      <c r="C27" s="931" t="e">
        <f ca="1">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2920</v>
      </c>
      <c r="C28" s="2843" t="s">
        <v>2921</v>
      </c>
      <c r="D28" s="2843" t="s">
        <v>2922</v>
      </c>
      <c r="E28" s="2844" t="s">
        <v>2923</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2924</v>
      </c>
      <c r="C29" s="206">
        <f ca="1">ROUND(C5*C18*C19*C20*C21*C24,0)</f>
        <v>11135</v>
      </c>
      <c r="D29" s="2848">
        <f>'数据-汇总表'!F19</f>
        <v>61545.99</v>
      </c>
      <c r="E29" s="942">
        <f ca="1">ROUND(C29*D29/10000,0)</f>
        <v>68531</v>
      </c>
      <c r="F29" s="2849" t="s">
        <v>2925</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2926</v>
      </c>
      <c r="C30" s="229">
        <f ca="1">ROUND(IF(E2="工业",C29*M39,C29*M38),0)</f>
        <v>2784</v>
      </c>
      <c r="D30" s="2854"/>
      <c r="E30" s="942">
        <f ca="1">ROUND(C30*D30/10000,0)</f>
        <v>0</v>
      </c>
      <c r="F30" s="2855" t="s">
        <v>2927</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257" t="s">
        <v>2932</v>
      </c>
      <c r="B33" s="2864" t="s">
        <v>2933</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8" t="s">
        <v>2934</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8" t="s">
        <v>2935</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259"/>
      <c r="B36" s="2768" t="s">
        <v>2936</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2937</v>
      </c>
      <c r="C37" s="200">
        <f ca="1">ROUND(C5*C19*C20*C24*F37,0)</f>
        <v>3329</v>
      </c>
      <c r="D37" s="2848"/>
      <c r="E37" s="200">
        <f t="shared" ca="1" si="7"/>
        <v>0</v>
      </c>
      <c r="F37" s="206">
        <f>SUMIF(修正!A45:A56,G2,修正!F45:F56)</f>
        <v>0.25</v>
      </c>
      <c r="G37" s="200">
        <f t="shared" ca="1" si="6"/>
        <v>832</v>
      </c>
      <c r="H37" s="200">
        <f t="shared" si="8"/>
        <v>0</v>
      </c>
      <c r="I37" s="200">
        <f t="shared" ca="1" si="9"/>
        <v>0</v>
      </c>
      <c r="J37" s="2865"/>
      <c r="K37" s="1370"/>
      <c r="L37" s="2867" t="s">
        <v>2938</v>
      </c>
      <c r="M37" s="2868"/>
      <c r="N37" s="1370"/>
      <c r="O37" s="1370"/>
      <c r="P37" s="1370"/>
      <c r="Q37" s="1370"/>
      <c r="R37" s="1370"/>
      <c r="S37" s="1370"/>
      <c r="T37" s="1370"/>
      <c r="U37" s="1370"/>
      <c r="V37" s="1370"/>
      <c r="W37" s="1370"/>
      <c r="X37" s="1370"/>
      <c r="Y37" s="1370"/>
      <c r="Z37" s="1371"/>
    </row>
    <row r="38" spans="1:37">
      <c r="A38" s="2866"/>
      <c r="B38" s="2768" t="s">
        <v>2939</v>
      </c>
      <c r="C38" s="200">
        <f ca="1">ROUND(C5*C19*C20*C24*F38,0)</f>
        <v>3329</v>
      </c>
      <c r="D38" s="2848">
        <f>'数据-汇总表'!G21</f>
        <v>2396.8900000000003</v>
      </c>
      <c r="E38" s="200">
        <f t="shared" ca="1" si="7"/>
        <v>798</v>
      </c>
      <c r="F38" s="206">
        <f>SUMIF(修正!A45:A56,G2,修正!G45:G56)</f>
        <v>0.25</v>
      </c>
      <c r="G38" s="200">
        <f t="shared" ca="1" si="6"/>
        <v>832</v>
      </c>
      <c r="H38" s="200">
        <f t="shared" si="8"/>
        <v>2396.8900000000003</v>
      </c>
      <c r="I38" s="200">
        <f t="shared" ca="1" si="9"/>
        <v>199</v>
      </c>
      <c r="J38" s="2865"/>
      <c r="K38" s="1370"/>
      <c r="L38" s="1887" t="s">
        <v>2940</v>
      </c>
      <c r="M38" s="2869">
        <v>0.25</v>
      </c>
      <c r="N38" s="1370"/>
      <c r="O38" s="1370"/>
      <c r="P38" s="1370"/>
      <c r="Q38" s="1370"/>
      <c r="R38" s="1370"/>
      <c r="S38" s="1370"/>
      <c r="T38" s="1370"/>
      <c r="U38" s="1370"/>
      <c r="V38" s="1370"/>
      <c r="W38" s="1370"/>
      <c r="X38" s="1370"/>
      <c r="Y38" s="1370"/>
      <c r="Z38" s="1371"/>
    </row>
    <row r="39" spans="1:37" ht="13.5" thickBot="1">
      <c r="A39" s="2852"/>
      <c r="B39" s="2870" t="s">
        <v>2941</v>
      </c>
      <c r="C39" s="229">
        <f ca="1">ROUND(C5*C19*C20*C24*F39,0)</f>
        <v>2663</v>
      </c>
      <c r="D39" s="2854"/>
      <c r="E39" s="229">
        <f t="shared" ca="1" si="7"/>
        <v>0</v>
      </c>
      <c r="F39" s="932">
        <f>SUMIF(修正!A45:A56,G2,修正!H45:H56)</f>
        <v>0.2</v>
      </c>
      <c r="G39" s="229" t="e">
        <f t="shared" si="6"/>
        <v>#DIV/0!</v>
      </c>
      <c r="H39" s="229">
        <f t="shared" si="8"/>
        <v>0</v>
      </c>
      <c r="I39" s="229" t="e">
        <f t="shared" si="9"/>
        <v>#DIV/0!</v>
      </c>
      <c r="J39" s="2871"/>
      <c r="K39" s="1370"/>
      <c r="L39" s="2872" t="s">
        <v>2884</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2942</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2943</v>
      </c>
      <c r="B46" s="2878">
        <f>1+E48</f>
        <v>1</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2944</v>
      </c>
      <c r="B47" s="1809" t="s">
        <v>2945</v>
      </c>
      <c r="C47" s="1809" t="s">
        <v>2946</v>
      </c>
      <c r="D47" s="1809" t="s">
        <v>2947</v>
      </c>
      <c r="E47" s="816" t="s">
        <v>2948</v>
      </c>
      <c r="F47" s="2882" t="s">
        <v>2949</v>
      </c>
      <c r="G47" s="1809" t="s">
        <v>754</v>
      </c>
      <c r="H47" s="2883" t="s">
        <v>2950</v>
      </c>
      <c r="I47" s="1809"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2952</v>
      </c>
      <c r="B48" s="2884" t="str">
        <f>估价对象房地状况!C4</f>
        <v>估价对象位于XX商圈，周边商业氛围成熟，人流量大，商业繁华度好</v>
      </c>
      <c r="C48" s="2773"/>
      <c r="D48" s="1286">
        <f t="shared" ref="D48:D56" si="10">SUMIF($J$47:$N$47,C48,J48:N48)</f>
        <v>0</v>
      </c>
      <c r="E48" s="818">
        <f>ROUND(SUM(D48:D56),4)</f>
        <v>0</v>
      </c>
      <c r="F48" s="2504"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1" t="s">
        <v>2953</v>
      </c>
      <c r="B49" s="2885" t="str">
        <f>估价对象房地状况!C18</f>
        <v>估价对象周边道路状况、公共交通通达情况、停车便捷程度，综合评价交通便捷度较好</v>
      </c>
      <c r="C49" s="2773"/>
      <c r="D49" s="1286">
        <f t="shared" si="10"/>
        <v>0</v>
      </c>
      <c r="E49" s="819"/>
      <c r="F49" s="2504"/>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1" t="s">
        <v>2954</v>
      </c>
      <c r="B50" s="2885">
        <f>估价对象房地状况!C19</f>
        <v>0</v>
      </c>
      <c r="C50" s="2773"/>
      <c r="D50" s="1286">
        <f t="shared" si="10"/>
        <v>0</v>
      </c>
      <c r="E50" s="819"/>
      <c r="F50" s="2504"/>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1" t="s">
        <v>2955</v>
      </c>
      <c r="B51" s="2886" t="s">
        <v>2956</v>
      </c>
      <c r="C51" s="2773"/>
      <c r="D51" s="1286">
        <f t="shared" si="10"/>
        <v>0</v>
      </c>
      <c r="E51" s="819"/>
      <c r="F51" s="2504"/>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1" t="s">
        <v>2957</v>
      </c>
      <c r="B52" s="2885">
        <f>估价对象房地状况!C24</f>
        <v>0</v>
      </c>
      <c r="C52" s="2773"/>
      <c r="D52" s="1286">
        <f t="shared" si="10"/>
        <v>0</v>
      </c>
      <c r="E52" s="819"/>
      <c r="F52" s="2504"/>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1" t="s">
        <v>2958</v>
      </c>
      <c r="B53" s="2887" t="s">
        <v>2959</v>
      </c>
      <c r="C53" s="2773"/>
      <c r="D53" s="1286">
        <f t="shared" si="10"/>
        <v>0</v>
      </c>
      <c r="E53" s="819"/>
      <c r="F53" s="2504"/>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8" t="s">
        <v>2960</v>
      </c>
      <c r="B54" s="1725" t="str">
        <f>估价对象房地状况!C21</f>
        <v>估价对象所在区域公共配套设施齐备情况</v>
      </c>
      <c r="C54" s="2773"/>
      <c r="D54" s="1286">
        <f t="shared" si="10"/>
        <v>0</v>
      </c>
      <c r="E54" s="819"/>
      <c r="F54" s="2504"/>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8" t="s">
        <v>2961</v>
      </c>
      <c r="B55" s="2885" t="str">
        <f>估价对象房地状况!C22</f>
        <v>估价对象所在区域基础设施水平</v>
      </c>
      <c r="C55" s="2773"/>
      <c r="D55" s="1286">
        <f t="shared" si="10"/>
        <v>0</v>
      </c>
      <c r="E55" s="819"/>
      <c r="F55" s="2504"/>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9" t="s">
        <v>2962</v>
      </c>
      <c r="B56" s="2890" t="str">
        <f>估价对象房地状况!C20</f>
        <v>区域自然环境：；人文环境；综合评价环境状况一般</v>
      </c>
      <c r="C56" s="2773"/>
      <c r="D56" s="1286">
        <f t="shared" si="10"/>
        <v>0</v>
      </c>
      <c r="E56" s="822"/>
      <c r="F56" s="2504"/>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7" t="s">
        <v>2963</v>
      </c>
      <c r="B57" s="2878">
        <f>1+E59</f>
        <v>1.1114999999999999</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2944</v>
      </c>
      <c r="B58" s="1809"/>
      <c r="C58" s="1809" t="s">
        <v>2946</v>
      </c>
      <c r="D58" s="1809" t="s">
        <v>2947</v>
      </c>
      <c r="E58" s="816" t="s">
        <v>2948</v>
      </c>
      <c r="F58" s="2882" t="s">
        <v>2964</v>
      </c>
      <c r="G58" s="1809" t="s">
        <v>754</v>
      </c>
      <c r="H58" s="2883" t="s">
        <v>2950</v>
      </c>
      <c r="I58" s="1809"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2965</v>
      </c>
      <c r="B59" s="2884" t="str">
        <f>估价对象房地状况!C17</f>
        <v>估价对象位于XX商圈，周边办公楼项目较多，入驻率高，办公集聚程度较好</v>
      </c>
      <c r="C59" s="2773" t="s">
        <v>3082</v>
      </c>
      <c r="D59" s="1286">
        <f t="shared" ref="D59:D67" si="15">SUMIF($J$58:$N$58,C59,J59:N59)</f>
        <v>3.0200000000000001E-2</v>
      </c>
      <c r="E59" s="818">
        <f>ROUND(SUM(D59:D67),4)</f>
        <v>0.1115</v>
      </c>
      <c r="F59" s="2504">
        <f>IF(E2="办公",SUMIF(L1:L12,G2,N1:N12),"——")</f>
        <v>0.126</v>
      </c>
      <c r="G59" s="1284">
        <v>1.5100000000000001E-2</v>
      </c>
      <c r="H59" s="1288">
        <f t="shared" ref="G59:H67" si="16">IFERROR(ROUNDDOWN($F$59*I59/2,4),"——")</f>
        <v>1.5100000000000001E-2</v>
      </c>
      <c r="I59" s="817">
        <v>0.24</v>
      </c>
      <c r="J59" s="1285">
        <f t="shared" ref="J59:J67" si="17">K59+$G59</f>
        <v>3.0200000000000001E-2</v>
      </c>
      <c r="K59" s="1285">
        <f t="shared" ref="K59:K67" si="18">$L59+$G59</f>
        <v>1.5100000000000001E-2</v>
      </c>
      <c r="L59" s="1285">
        <v>0</v>
      </c>
      <c r="M59" s="1285">
        <f t="shared" ref="M59:N67" si="19">L59-$G59</f>
        <v>-1.5100000000000001E-2</v>
      </c>
      <c r="N59" s="1285">
        <f t="shared" si="19"/>
        <v>-3.0200000000000001E-2</v>
      </c>
      <c r="AA59" s="1371"/>
      <c r="AB59" s="1371"/>
      <c r="AC59" s="1371"/>
      <c r="AD59" s="1371"/>
      <c r="AE59" s="1371"/>
      <c r="AF59" s="1371"/>
      <c r="AG59" s="1371"/>
      <c r="AH59" s="1371"/>
      <c r="AI59" s="1371"/>
      <c r="AJ59" s="1371"/>
      <c r="AK59" s="1371"/>
    </row>
    <row r="60" spans="1:37" s="1370" customFormat="1" ht="51">
      <c r="A60" s="2881" t="s">
        <v>2953</v>
      </c>
      <c r="B60" s="2885" t="str">
        <f>估价对象房地状况!C18</f>
        <v>估价对象周边道路状况、公共交通通达情况、停车便捷程度，综合评价交通便捷度较好</v>
      </c>
      <c r="C60" s="2773" t="s">
        <v>3082</v>
      </c>
      <c r="D60" s="1286">
        <f t="shared" si="15"/>
        <v>3.78E-2</v>
      </c>
      <c r="E60" s="819"/>
      <c r="F60" s="2504"/>
      <c r="G60" s="1284">
        <v>1.89E-2</v>
      </c>
      <c r="H60" s="1288">
        <f t="shared" si="16"/>
        <v>1.89E-2</v>
      </c>
      <c r="I60" s="817">
        <v>0.3</v>
      </c>
      <c r="J60" s="1285">
        <f t="shared" si="17"/>
        <v>3.78E-2</v>
      </c>
      <c r="K60" s="1285">
        <f t="shared" si="18"/>
        <v>1.89E-2</v>
      </c>
      <c r="L60" s="1285">
        <v>0</v>
      </c>
      <c r="M60" s="1285">
        <f t="shared" si="19"/>
        <v>-1.89E-2</v>
      </c>
      <c r="N60" s="1285">
        <f t="shared" si="19"/>
        <v>-3.78E-2</v>
      </c>
      <c r="AA60" s="1371"/>
      <c r="AB60" s="1371"/>
      <c r="AC60" s="1371"/>
      <c r="AD60" s="1371"/>
      <c r="AE60" s="1371"/>
      <c r="AF60" s="1371"/>
      <c r="AG60" s="1371"/>
      <c r="AH60" s="1371"/>
      <c r="AI60" s="1371"/>
      <c r="AJ60" s="1371"/>
      <c r="AK60" s="1371"/>
    </row>
    <row r="61" spans="1:37" s="1370" customFormat="1" ht="24">
      <c r="A61" s="2881" t="s">
        <v>2954</v>
      </c>
      <c r="B61" s="2885">
        <f>估价对象房地状况!C19</f>
        <v>0</v>
      </c>
      <c r="C61" s="2773" t="s">
        <v>3083</v>
      </c>
      <c r="D61" s="1286">
        <f t="shared" si="15"/>
        <v>5.0000000000000001E-3</v>
      </c>
      <c r="E61" s="819"/>
      <c r="F61" s="2504"/>
      <c r="G61" s="1284">
        <v>5.0000000000000001E-3</v>
      </c>
      <c r="H61" s="1288">
        <f t="shared" si="16"/>
        <v>5.0000000000000001E-3</v>
      </c>
      <c r="I61" s="817">
        <v>0.08</v>
      </c>
      <c r="J61" s="1285">
        <f t="shared" si="17"/>
        <v>0.01</v>
      </c>
      <c r="K61" s="1285">
        <f t="shared" si="18"/>
        <v>5.0000000000000001E-3</v>
      </c>
      <c r="L61" s="1285">
        <v>0</v>
      </c>
      <c r="M61" s="1285">
        <f t="shared" si="19"/>
        <v>-5.0000000000000001E-3</v>
      </c>
      <c r="N61" s="1285">
        <f t="shared" si="19"/>
        <v>-0.01</v>
      </c>
      <c r="AA61" s="1371"/>
      <c r="AB61" s="1371"/>
      <c r="AC61" s="1371"/>
      <c r="AD61" s="1371"/>
      <c r="AE61" s="1371"/>
      <c r="AF61" s="1371"/>
      <c r="AG61" s="1371"/>
      <c r="AH61" s="1371"/>
      <c r="AI61" s="1371"/>
      <c r="AJ61" s="1371"/>
      <c r="AK61" s="1371"/>
    </row>
    <row r="62" spans="1:37" s="1370" customFormat="1" ht="36.75">
      <c r="A62" s="2881" t="s">
        <v>2955</v>
      </c>
      <c r="B62" s="2886" t="s">
        <v>2956</v>
      </c>
      <c r="C62" s="2773" t="s">
        <v>3083</v>
      </c>
      <c r="D62" s="1286">
        <f t="shared" si="15"/>
        <v>2.5000000000000001E-3</v>
      </c>
      <c r="E62" s="819"/>
      <c r="F62" s="2504"/>
      <c r="G62" s="1284">
        <v>2.5000000000000001E-3</v>
      </c>
      <c r="H62" s="1288">
        <f t="shared" si="16"/>
        <v>2.5000000000000001E-3</v>
      </c>
      <c r="I62" s="817">
        <v>0.04</v>
      </c>
      <c r="J62" s="1285">
        <f t="shared" si="17"/>
        <v>5.0000000000000001E-3</v>
      </c>
      <c r="K62" s="1285">
        <f t="shared" si="18"/>
        <v>2.5000000000000001E-3</v>
      </c>
      <c r="L62" s="1285">
        <v>0</v>
      </c>
      <c r="M62" s="1285">
        <f t="shared" si="19"/>
        <v>-2.5000000000000001E-3</v>
      </c>
      <c r="N62" s="1285">
        <f t="shared" si="19"/>
        <v>-5.0000000000000001E-3</v>
      </c>
      <c r="AA62" s="1371"/>
      <c r="AB62" s="1371"/>
      <c r="AC62" s="1371"/>
      <c r="AD62" s="1371"/>
      <c r="AE62" s="1371"/>
      <c r="AF62" s="1371"/>
      <c r="AG62" s="1371"/>
      <c r="AH62" s="1371"/>
      <c r="AI62" s="1371"/>
      <c r="AJ62" s="1371"/>
      <c r="AK62" s="1371"/>
    </row>
    <row r="63" spans="1:37" s="1370" customFormat="1" ht="24">
      <c r="A63" s="2881" t="s">
        <v>2957</v>
      </c>
      <c r="B63" s="2885">
        <f>估价对象房地状况!C24</f>
        <v>0</v>
      </c>
      <c r="C63" s="2773" t="s">
        <v>3084</v>
      </c>
      <c r="D63" s="1286">
        <f t="shared" si="15"/>
        <v>0</v>
      </c>
      <c r="E63" s="819"/>
      <c r="F63" s="2504"/>
      <c r="G63" s="1284">
        <v>3.0999999999999999E-3</v>
      </c>
      <c r="H63" s="1288">
        <f t="shared" si="16"/>
        <v>3.0999999999999999E-3</v>
      </c>
      <c r="I63" s="817">
        <v>0.05</v>
      </c>
      <c r="J63" s="1285">
        <f t="shared" si="17"/>
        <v>6.1999999999999998E-3</v>
      </c>
      <c r="K63" s="1285">
        <f t="shared" si="18"/>
        <v>3.0999999999999999E-3</v>
      </c>
      <c r="L63" s="1285">
        <v>0</v>
      </c>
      <c r="M63" s="1285">
        <f t="shared" si="19"/>
        <v>-3.0999999999999999E-3</v>
      </c>
      <c r="N63" s="1285">
        <f t="shared" si="19"/>
        <v>-6.1999999999999998E-3</v>
      </c>
      <c r="AA63" s="1371"/>
      <c r="AB63" s="1371"/>
      <c r="AC63" s="1371"/>
      <c r="AD63" s="1371"/>
      <c r="AE63" s="1371"/>
      <c r="AF63" s="1371"/>
      <c r="AG63" s="1371"/>
      <c r="AH63" s="1371"/>
      <c r="AI63" s="1371"/>
      <c r="AJ63" s="1371"/>
      <c r="AK63" s="1371"/>
    </row>
    <row r="64" spans="1:37" s="1370" customFormat="1" ht="24">
      <c r="A64" s="2881" t="s">
        <v>2958</v>
      </c>
      <c r="B64" s="2887" t="s">
        <v>2959</v>
      </c>
      <c r="C64" s="2773" t="s">
        <v>3082</v>
      </c>
      <c r="D64" s="1286">
        <f t="shared" si="15"/>
        <v>6.1999999999999998E-3</v>
      </c>
      <c r="E64" s="819"/>
      <c r="F64" s="2504"/>
      <c r="G64" s="1284">
        <v>3.0999999999999999E-3</v>
      </c>
      <c r="H64" s="1288">
        <f t="shared" si="16"/>
        <v>3.0999999999999999E-3</v>
      </c>
      <c r="I64" s="817">
        <v>0.05</v>
      </c>
      <c r="J64" s="1285">
        <f t="shared" si="17"/>
        <v>6.1999999999999998E-3</v>
      </c>
      <c r="K64" s="1285">
        <f t="shared" si="18"/>
        <v>3.0999999999999999E-3</v>
      </c>
      <c r="L64" s="1285">
        <v>0</v>
      </c>
      <c r="M64" s="1285">
        <f t="shared" si="19"/>
        <v>-3.0999999999999999E-3</v>
      </c>
      <c r="N64" s="1285">
        <f t="shared" si="19"/>
        <v>-6.1999999999999998E-3</v>
      </c>
      <c r="AA64" s="1371"/>
      <c r="AB64" s="1371"/>
      <c r="AC64" s="1371"/>
      <c r="AD64" s="1371"/>
      <c r="AE64" s="1371"/>
      <c r="AF64" s="1371"/>
      <c r="AG64" s="1371"/>
      <c r="AH64" s="1371"/>
      <c r="AI64" s="1371"/>
      <c r="AJ64" s="1371"/>
      <c r="AK64" s="1371"/>
    </row>
    <row r="65" spans="1:37" s="1370" customFormat="1" ht="25.5">
      <c r="A65" s="2881" t="s">
        <v>2960</v>
      </c>
      <c r="B65" s="1725" t="str">
        <f>估价对象房地状况!C21</f>
        <v>估价对象所在区域公共配套设施齐备情况</v>
      </c>
      <c r="C65" s="2773" t="s">
        <v>3082</v>
      </c>
      <c r="D65" s="1286">
        <f t="shared" si="15"/>
        <v>7.4000000000000003E-3</v>
      </c>
      <c r="E65" s="819"/>
      <c r="F65" s="2504"/>
      <c r="G65" s="1284">
        <v>3.7000000000000002E-3</v>
      </c>
      <c r="H65" s="1288">
        <f t="shared" si="16"/>
        <v>3.7000000000000002E-3</v>
      </c>
      <c r="I65" s="817">
        <v>0.06</v>
      </c>
      <c r="J65" s="1285">
        <f t="shared" si="17"/>
        <v>7.4000000000000003E-3</v>
      </c>
      <c r="K65" s="1285">
        <f t="shared" si="18"/>
        <v>3.7000000000000002E-3</v>
      </c>
      <c r="L65" s="1285">
        <v>0</v>
      </c>
      <c r="M65" s="1285">
        <f t="shared" si="19"/>
        <v>-3.7000000000000002E-3</v>
      </c>
      <c r="N65" s="1285">
        <f t="shared" si="19"/>
        <v>-7.4000000000000003E-3</v>
      </c>
      <c r="AA65" s="1371"/>
      <c r="AB65" s="1371"/>
      <c r="AC65" s="1371"/>
      <c r="AD65" s="1371"/>
      <c r="AE65" s="1371"/>
      <c r="AF65" s="1371"/>
      <c r="AG65" s="1371"/>
      <c r="AH65" s="1371"/>
      <c r="AI65" s="1371"/>
      <c r="AJ65" s="1371"/>
      <c r="AK65" s="1371"/>
    </row>
    <row r="66" spans="1:37" s="1370" customFormat="1" ht="25.5">
      <c r="A66" s="2881" t="s">
        <v>2961</v>
      </c>
      <c r="B66" s="1725" t="str">
        <f>估价对象房地状况!C22</f>
        <v>估价对象所在区域基础设施水平</v>
      </c>
      <c r="C66" s="2773" t="s">
        <v>3082</v>
      </c>
      <c r="D66" s="1286">
        <f t="shared" si="15"/>
        <v>1.4999999999999999E-2</v>
      </c>
      <c r="E66" s="819"/>
      <c r="F66" s="2504"/>
      <c r="G66" s="1284">
        <v>7.4999999999999997E-3</v>
      </c>
      <c r="H66" s="1288">
        <f t="shared" si="16"/>
        <v>7.4999999999999997E-3</v>
      </c>
      <c r="I66" s="817">
        <v>0.12</v>
      </c>
      <c r="J66" s="1285">
        <f t="shared" si="17"/>
        <v>1.4999999999999999E-2</v>
      </c>
      <c r="K66" s="1285">
        <f t="shared" si="18"/>
        <v>7.4999999999999997E-3</v>
      </c>
      <c r="L66" s="1285">
        <v>0</v>
      </c>
      <c r="M66" s="1285">
        <f t="shared" si="19"/>
        <v>-7.4999999999999997E-3</v>
      </c>
      <c r="N66" s="1285">
        <f t="shared" si="19"/>
        <v>-1.4999999999999999E-2</v>
      </c>
      <c r="AA66" s="1371"/>
      <c r="AB66" s="1371"/>
      <c r="AC66" s="1371"/>
      <c r="AD66" s="1371"/>
      <c r="AE66" s="1371"/>
      <c r="AF66" s="1371"/>
      <c r="AG66" s="1371"/>
      <c r="AH66" s="1371"/>
      <c r="AI66" s="1371"/>
      <c r="AJ66" s="1371"/>
      <c r="AK66" s="1371"/>
    </row>
    <row r="67" spans="1:37" s="1370" customFormat="1" ht="39" thickBot="1">
      <c r="A67" s="2889" t="s">
        <v>2962</v>
      </c>
      <c r="B67" s="2891" t="str">
        <f>估价对象房地状况!C20</f>
        <v>区域自然环境：；人文环境；综合评价环境状况一般</v>
      </c>
      <c r="C67" s="2773" t="s">
        <v>3082</v>
      </c>
      <c r="D67" s="1286">
        <f t="shared" si="15"/>
        <v>7.4000000000000003E-3</v>
      </c>
      <c r="E67" s="822"/>
      <c r="F67" s="2504"/>
      <c r="G67" s="1284">
        <v>3.7000000000000002E-3</v>
      </c>
      <c r="H67" s="1288">
        <f t="shared" si="16"/>
        <v>3.7000000000000002E-3</v>
      </c>
      <c r="I67" s="821">
        <v>0.06</v>
      </c>
      <c r="J67" s="1285">
        <f t="shared" si="17"/>
        <v>7.4000000000000003E-3</v>
      </c>
      <c r="K67" s="1285">
        <f t="shared" si="18"/>
        <v>3.7000000000000002E-3</v>
      </c>
      <c r="L67" s="1285">
        <v>0</v>
      </c>
      <c r="M67" s="1285">
        <f t="shared" si="19"/>
        <v>-3.7000000000000002E-3</v>
      </c>
      <c r="N67" s="1285">
        <f t="shared" si="19"/>
        <v>-7.4000000000000003E-3</v>
      </c>
      <c r="AA67" s="1371"/>
      <c r="AB67" s="1371"/>
      <c r="AC67" s="1371"/>
      <c r="AD67" s="1371"/>
      <c r="AE67" s="1371"/>
      <c r="AF67" s="1371"/>
      <c r="AG67" s="1371"/>
      <c r="AH67" s="1371"/>
      <c r="AI67" s="1371"/>
      <c r="AJ67" s="1371"/>
      <c r="AK67" s="1371"/>
    </row>
    <row r="68" spans="1:37" s="1370" customFormat="1" ht="15">
      <c r="A68" s="2877" t="s">
        <v>2966</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2944</v>
      </c>
      <c r="B69" s="1809"/>
      <c r="C69" s="1809" t="s">
        <v>2946</v>
      </c>
      <c r="D69" s="1809" t="s">
        <v>2947</v>
      </c>
      <c r="E69" s="816" t="s">
        <v>2948</v>
      </c>
      <c r="F69" s="2882" t="s">
        <v>2964</v>
      </c>
      <c r="G69" s="1809" t="s">
        <v>754</v>
      </c>
      <c r="H69" s="2883" t="s">
        <v>2950</v>
      </c>
      <c r="I69" s="1809"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2967</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2953</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2954</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2968</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2960</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2961</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2958</v>
      </c>
      <c r="B76" s="2887" t="s">
        <v>2959</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2962</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2969</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2970</v>
      </c>
      <c r="B79" s="2878">
        <f>1+E81</f>
        <v>1</v>
      </c>
      <c r="C79" s="811"/>
      <c r="D79" s="811"/>
      <c r="E79" s="812"/>
      <c r="F79" s="2880"/>
      <c r="G79" s="6"/>
      <c r="H79" s="6"/>
      <c r="I79" s="6"/>
      <c r="J79" s="7"/>
      <c r="K79" s="7"/>
      <c r="L79" s="7"/>
      <c r="M79" s="7"/>
      <c r="N79" s="7"/>
      <c r="Z79" s="2723"/>
      <c r="AA79" s="2799"/>
      <c r="AG79" s="1372"/>
      <c r="AK79" s="2799"/>
    </row>
    <row r="80" spans="1:37" ht="24.75">
      <c r="A80" s="2881" t="s">
        <v>2944</v>
      </c>
      <c r="B80" s="1809"/>
      <c r="C80" s="1809" t="s">
        <v>2946</v>
      </c>
      <c r="D80" s="1809" t="s">
        <v>2947</v>
      </c>
      <c r="E80" s="816" t="s">
        <v>2948</v>
      </c>
      <c r="F80" s="2882" t="s">
        <v>2964</v>
      </c>
      <c r="G80" s="1809" t="s">
        <v>754</v>
      </c>
      <c r="H80" s="2883" t="s">
        <v>2950</v>
      </c>
      <c r="I80" s="1809" t="s">
        <v>2951</v>
      </c>
      <c r="J80" s="603" t="s">
        <v>2600</v>
      </c>
      <c r="K80" s="603" t="s">
        <v>2601</v>
      </c>
      <c r="L80" s="603" t="s">
        <v>2602</v>
      </c>
      <c r="M80" s="603" t="s">
        <v>2603</v>
      </c>
      <c r="N80" s="603" t="s">
        <v>2604</v>
      </c>
      <c r="Z80" s="2723"/>
      <c r="AA80" s="2799"/>
      <c r="AG80" s="1372"/>
      <c r="AK80" s="2799"/>
    </row>
    <row r="81" spans="1:37" ht="38.25">
      <c r="A81" s="2881" t="s">
        <v>2971</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2953</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2954</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2968</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2960</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2961</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2958</v>
      </c>
      <c r="B87" s="2887" t="s">
        <v>2972</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2973</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251" t="s">
        <v>2974</v>
      </c>
      <c r="B90" s="3251"/>
      <c r="C90" s="3251"/>
      <c r="D90" s="3251"/>
      <c r="E90" s="3251"/>
      <c r="F90" s="3251"/>
      <c r="G90" s="3251"/>
      <c r="H90" s="3251"/>
      <c r="I90" s="3251"/>
      <c r="J90" s="3251"/>
      <c r="K90" s="2895"/>
      <c r="L90" s="2895"/>
      <c r="M90" s="2895"/>
      <c r="N90" s="2895"/>
    </row>
    <row r="91" spans="1:37">
      <c r="A91" s="3253" t="s">
        <v>2975</v>
      </c>
      <c r="B91" s="3253" t="s">
        <v>2976</v>
      </c>
      <c r="C91" s="2849" t="s">
        <v>2977</v>
      </c>
      <c r="D91" s="2850"/>
      <c r="E91" s="2850"/>
      <c r="F91" s="2850"/>
      <c r="G91" s="2850"/>
      <c r="H91" s="2850"/>
      <c r="I91" s="2850"/>
      <c r="J91" s="2896"/>
      <c r="K91" s="2897"/>
      <c r="L91" s="2897"/>
      <c r="M91" s="2897"/>
      <c r="N91" s="2897"/>
    </row>
    <row r="92" spans="1:37">
      <c r="A92" s="3253"/>
      <c r="B92" s="3253"/>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54"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5"/>
      <c r="B99" s="2898" t="s">
        <v>2859</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6"/>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4" t="s">
        <v>2979</v>
      </c>
      <c r="B101" s="2902" t="s">
        <v>2980</v>
      </c>
      <c r="C101" s="2903">
        <f>$G$3</f>
        <v>4.59</v>
      </c>
      <c r="D101" s="2903">
        <f t="shared" ref="D101:N101" si="31">$G$3</f>
        <v>4.59</v>
      </c>
      <c r="E101" s="2903">
        <f t="shared" si="31"/>
        <v>4.59</v>
      </c>
      <c r="F101" s="2903">
        <f t="shared" si="31"/>
        <v>4.59</v>
      </c>
      <c r="G101" s="2903">
        <f t="shared" si="31"/>
        <v>4.59</v>
      </c>
      <c r="H101" s="2903">
        <f t="shared" si="31"/>
        <v>4.59</v>
      </c>
      <c r="I101" s="2903">
        <f t="shared" si="31"/>
        <v>4.59</v>
      </c>
      <c r="J101" s="2903">
        <f t="shared" si="31"/>
        <v>4.59</v>
      </c>
      <c r="K101" s="2903">
        <f t="shared" si="31"/>
        <v>4.59</v>
      </c>
      <c r="L101" s="2903">
        <f t="shared" si="31"/>
        <v>4.59</v>
      </c>
      <c r="M101" s="2903">
        <f t="shared" si="31"/>
        <v>4.59</v>
      </c>
      <c r="N101" s="2903">
        <f t="shared" si="31"/>
        <v>4.59</v>
      </c>
    </row>
    <row r="102" spans="1:14">
      <c r="A102" s="3255"/>
      <c r="B102" s="2898">
        <v>1</v>
      </c>
      <c r="C102" s="2899">
        <f>1.9362/C101</f>
        <v>0.42183006535947715</v>
      </c>
      <c r="D102" s="2899">
        <f>1.9362/D101</f>
        <v>0.42183006535947715</v>
      </c>
      <c r="E102" s="2899">
        <f>1.8629/E101</f>
        <v>0.40586056644880175</v>
      </c>
      <c r="F102" s="2899">
        <f>1.8629/F101</f>
        <v>0.40586056644880175</v>
      </c>
      <c r="G102" s="2899">
        <f>1.8629/G101</f>
        <v>0.40586056644880175</v>
      </c>
      <c r="H102" s="2899">
        <f>1.8629/H101</f>
        <v>0.40586056644880175</v>
      </c>
      <c r="I102" s="2899">
        <f>1.8629/I101</f>
        <v>0.40586056644880175</v>
      </c>
      <c r="J102" s="2899">
        <f>1.942/J101</f>
        <v>0.42309368191721131</v>
      </c>
      <c r="K102" s="2899">
        <f>1.942/K101</f>
        <v>0.42309368191721131</v>
      </c>
      <c r="L102" s="2899">
        <f>1.942/L101</f>
        <v>0.42309368191721131</v>
      </c>
      <c r="M102" s="2899">
        <f>1.942/M101</f>
        <v>0.42309368191721131</v>
      </c>
      <c r="N102" s="2899">
        <f>1.942/N101</f>
        <v>0.42309368191721131</v>
      </c>
    </row>
    <row r="103" spans="1:14">
      <c r="A103" s="3255"/>
      <c r="B103" s="2898">
        <v>2</v>
      </c>
      <c r="C103" s="2899">
        <f>1.4198/C101</f>
        <v>0.30932461873638345</v>
      </c>
      <c r="D103" s="2899">
        <f>1.4198/D101</f>
        <v>0.30932461873638345</v>
      </c>
      <c r="E103" s="2899">
        <f>1.3372/E101</f>
        <v>0.29132897603485841</v>
      </c>
      <c r="F103" s="2899">
        <f>1.3372/F101</f>
        <v>0.29132897603485841</v>
      </c>
      <c r="G103" s="2899">
        <f>1.3372/G101</f>
        <v>0.29132897603485841</v>
      </c>
      <c r="H103" s="2899">
        <f>1.3372/H101</f>
        <v>0.29132897603485841</v>
      </c>
      <c r="I103" s="2899">
        <f>1.3372/I101</f>
        <v>0.29132897603485841</v>
      </c>
      <c r="J103" s="2899">
        <f>1.2799/J101</f>
        <v>0.27884531590413947</v>
      </c>
      <c r="K103" s="2899">
        <f>1.2799/K101</f>
        <v>0.27884531590413947</v>
      </c>
      <c r="L103" s="2899">
        <f>1.2799/L101</f>
        <v>0.27884531590413947</v>
      </c>
      <c r="M103" s="2899">
        <f>1.2799/M101</f>
        <v>0.27884531590413947</v>
      </c>
      <c r="N103" s="2899">
        <f>1.2799/N101</f>
        <v>0.27884531590413947</v>
      </c>
    </row>
    <row r="104" spans="1:14">
      <c r="A104" s="3255"/>
      <c r="B104" s="2898">
        <v>3</v>
      </c>
      <c r="C104" s="2899">
        <f>1.1594/C101</f>
        <v>0.25259259259259259</v>
      </c>
      <c r="D104" s="2899">
        <f>1.1594/D101</f>
        <v>0.25259259259259259</v>
      </c>
      <c r="E104" s="2899">
        <f>1.0788/E101</f>
        <v>0.23503267973856209</v>
      </c>
      <c r="F104" s="2899">
        <f>1.0788/F101</f>
        <v>0.23503267973856209</v>
      </c>
      <c r="G104" s="2899">
        <f>1.0788/G101</f>
        <v>0.23503267973856209</v>
      </c>
      <c r="H104" s="2899">
        <f>1.0788/H101</f>
        <v>0.23503267973856209</v>
      </c>
      <c r="I104" s="2899">
        <f>1.0788/I101</f>
        <v>0.23503267973856209</v>
      </c>
      <c r="J104" s="2899">
        <f>1.0072/J101</f>
        <v>0.21943355119825711</v>
      </c>
      <c r="K104" s="2899">
        <f>1.0072/K101</f>
        <v>0.21943355119825711</v>
      </c>
      <c r="L104" s="2899">
        <f>1.0072/L101</f>
        <v>0.21943355119825711</v>
      </c>
      <c r="M104" s="2899">
        <f>1.0072/M101</f>
        <v>0.21943355119825711</v>
      </c>
      <c r="N104" s="2899">
        <f>1.0072/N101</f>
        <v>0.21943355119825711</v>
      </c>
    </row>
    <row r="105" spans="1:14">
      <c r="A105" s="3255"/>
      <c r="B105" s="2898">
        <v>4</v>
      </c>
      <c r="C105" s="2899">
        <f>0.9622/C101</f>
        <v>0.20962962962962964</v>
      </c>
      <c r="D105" s="2899">
        <f>0.9622/D101</f>
        <v>0.20962962962962964</v>
      </c>
      <c r="E105" s="2899">
        <f>0.8656/E101</f>
        <v>0.18858387799564272</v>
      </c>
      <c r="F105" s="2899">
        <f>0.8656/F101</f>
        <v>0.18858387799564272</v>
      </c>
      <c r="G105" s="2899">
        <f>0.8656/G101</f>
        <v>0.18858387799564272</v>
      </c>
      <c r="H105" s="2899">
        <f>0.8656/H101</f>
        <v>0.18858387799564272</v>
      </c>
      <c r="I105" s="2899">
        <f>0.8656/I101</f>
        <v>0.18858387799564272</v>
      </c>
      <c r="J105" s="2899">
        <f>0.7525/J101</f>
        <v>0.16394335511982569</v>
      </c>
      <c r="K105" s="2899">
        <f>0.7525/K101</f>
        <v>0.16394335511982569</v>
      </c>
      <c r="L105" s="2899">
        <f>0.7525/L101</f>
        <v>0.16394335511982569</v>
      </c>
      <c r="M105" s="2899">
        <f>0.7525/M101</f>
        <v>0.16394335511982569</v>
      </c>
      <c r="N105" s="2899">
        <f>0.7525/N101</f>
        <v>0.16394335511982569</v>
      </c>
    </row>
    <row r="106" spans="1:14">
      <c r="A106" s="3255"/>
      <c r="B106" s="2898">
        <v>5</v>
      </c>
      <c r="C106" s="2899">
        <f>0.8417/C101</f>
        <v>0.18337690631808279</v>
      </c>
      <c r="D106" s="2899">
        <f>0.8417/D101</f>
        <v>0.18337690631808279</v>
      </c>
      <c r="E106" s="2899">
        <f>0.7371/E101</f>
        <v>0.16058823529411764</v>
      </c>
      <c r="F106" s="2899">
        <f>0.7371/F101</f>
        <v>0.16058823529411764</v>
      </c>
      <c r="G106" s="2899">
        <f>0.7371/G101</f>
        <v>0.16058823529411764</v>
      </c>
      <c r="H106" s="2899">
        <f>0.7371/H101</f>
        <v>0.16058823529411764</v>
      </c>
      <c r="I106" s="2899">
        <f>0.7371/I101</f>
        <v>0.16058823529411764</v>
      </c>
      <c r="J106" s="2899">
        <f>0.5659/J101</f>
        <v>0.12328976034858387</v>
      </c>
      <c r="K106" s="2899">
        <f>0.5659/K101</f>
        <v>0.12328976034858387</v>
      </c>
      <c r="L106" s="2899">
        <f>0.5659/L101</f>
        <v>0.12328976034858387</v>
      </c>
      <c r="M106" s="2899">
        <f>0.5659/M101</f>
        <v>0.12328976034858387</v>
      </c>
      <c r="N106" s="2899">
        <f>0.5659/N101</f>
        <v>0.12328976034858387</v>
      </c>
    </row>
    <row r="107" spans="1:14">
      <c r="A107" s="3255"/>
      <c r="B107" s="2898">
        <v>6</v>
      </c>
      <c r="C107" s="2899">
        <f>0.7608/C101</f>
        <v>0.1657516339869281</v>
      </c>
      <c r="D107" s="2899">
        <f>0.7608/D101</f>
        <v>0.1657516339869281</v>
      </c>
      <c r="E107" s="2899">
        <f>0.6482/E101</f>
        <v>0.14122004357298476</v>
      </c>
      <c r="F107" s="2899">
        <f>0.6482/F101</f>
        <v>0.14122004357298476</v>
      </c>
      <c r="G107" s="2899">
        <f>0.6482/G101</f>
        <v>0.14122004357298476</v>
      </c>
      <c r="H107" s="2899">
        <f>0.6482/H101</f>
        <v>0.14122004357298476</v>
      </c>
      <c r="I107" s="2899">
        <f>0.6482/I101</f>
        <v>0.14122004357298476</v>
      </c>
      <c r="J107" s="2899">
        <f>0.4525/J101</f>
        <v>9.8583877995642707E-2</v>
      </c>
      <c r="K107" s="2899">
        <f>0.4525/K101</f>
        <v>9.8583877995642707E-2</v>
      </c>
      <c r="L107" s="2899">
        <f>0.4525/L101</f>
        <v>9.8583877995642707E-2</v>
      </c>
      <c r="M107" s="2899">
        <f>0.4525/M101</f>
        <v>9.8583877995642707E-2</v>
      </c>
      <c r="N107" s="2899">
        <f>0.4525/N101</f>
        <v>9.8583877995642707E-2</v>
      </c>
    </row>
    <row r="108" spans="1:14">
      <c r="A108" s="3255"/>
      <c r="B108" s="3083" t="s">
        <v>2981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6"/>
      <c r="B109" s="3084"/>
      <c r="C109" s="2901">
        <f>(-0.163*(C108^2)-0.59*C108+7617)*(10^(-4))/C101</f>
        <v>0.16594771241830067</v>
      </c>
      <c r="D109" s="2901">
        <f>(-0.163*(D108^2)-0.59*D108+7617)*(10^(-4))/D101</f>
        <v>0.16594771241830067</v>
      </c>
      <c r="E109" s="2901">
        <f>(-0.161*(E108^2)-7.509*E108+6533)*(10^(-4))/E101</f>
        <v>0.14233115468409585</v>
      </c>
      <c r="F109" s="2901">
        <f>(-0.161*(F108^2)-7.509*F108+6533)*(10^(-4))/F101</f>
        <v>0.14233115468409585</v>
      </c>
      <c r="G109" s="2901">
        <f>(-0.161*(G108^2)-7.509*G108+6533)*(10^(-4))/G101</f>
        <v>0.14233115468409585</v>
      </c>
      <c r="H109" s="2901">
        <f>(-0.161*(H108^2)-7.509*H108+6533)*(10^(-4))/H101</f>
        <v>0.14233115468409585</v>
      </c>
      <c r="I109" s="2901">
        <f>(-0.161*(I108^2)-7.509*I108+6533)*(10^(-4))/I101</f>
        <v>0.14233115468409585</v>
      </c>
      <c r="J109" s="2901">
        <f>(-0.214*(J108^2)-21.991*J108+4665)*(10^(-4))/J101</f>
        <v>0.10163398692810459</v>
      </c>
      <c r="K109" s="2901">
        <f>(-0.214*(K108^2)-21.991*K108+4665)*(10^(-4))/K101</f>
        <v>0.10163398692810459</v>
      </c>
      <c r="L109" s="2901">
        <f>(-0.214*(L108^2)-21.991*L108+4665)*(10^(-4))/L101</f>
        <v>0.10163398692810459</v>
      </c>
      <c r="M109" s="2901">
        <f>(-0.214*(M108^2)-21.991*M108+4665)*(10^(-4))/M101</f>
        <v>0.10163398692810459</v>
      </c>
      <c r="N109" s="2901">
        <f>(-0.214*(N108^2)-21.991*N108+4665)*(10^(-4))/N101</f>
        <v>0.10163398692810459</v>
      </c>
    </row>
    <row r="110" spans="1:14">
      <c r="A110" s="3252" t="s">
        <v>2982</v>
      </c>
      <c r="B110" s="3252"/>
      <c r="C110" s="3252"/>
      <c r="D110" s="3252"/>
      <c r="E110" s="3252"/>
      <c r="F110" s="3252"/>
      <c r="G110" s="3252"/>
      <c r="H110" s="3252"/>
      <c r="I110" s="3252"/>
      <c r="J110" s="3252"/>
      <c r="K110" s="2904"/>
      <c r="L110" s="2904"/>
      <c r="M110" s="2904"/>
      <c r="N110" s="2904"/>
    </row>
    <row r="112" spans="1:14" ht="13.5" thickBot="1"/>
    <row r="113" spans="1:13" ht="25.5" thickBot="1">
      <c r="A113" s="900" t="s">
        <v>2983</v>
      </c>
      <c r="B113" s="1287">
        <f>G3</f>
        <v>4.59</v>
      </c>
      <c r="C113" s="901" t="s">
        <v>2984</v>
      </c>
      <c r="D113" s="902">
        <f>SUMPRODUCT((A115:A118=F113)*(B114:M114=H113)*B115:M118)</f>
        <v>0.79700000000000004</v>
      </c>
      <c r="E113" s="2727" t="s">
        <v>2817</v>
      </c>
      <c r="F113" s="2906" t="str">
        <f>E2</f>
        <v>办公</v>
      </c>
      <c r="G113" s="2727" t="s">
        <v>2818</v>
      </c>
      <c r="H113" s="2906" t="str">
        <f>G2</f>
        <v>六级</v>
      </c>
      <c r="I113" s="2727"/>
      <c r="J113" s="2907"/>
      <c r="K113" s="2907"/>
      <c r="L113" s="2907"/>
      <c r="M113" s="2907"/>
    </row>
    <row r="114" spans="1:13">
      <c r="A114" s="905"/>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6" t="s">
        <v>2881</v>
      </c>
      <c r="B115" s="907">
        <f>ROUND(0.9335-0.0094*B113,4)</f>
        <v>0.89039999999999997</v>
      </c>
      <c r="C115" s="907">
        <f>B115</f>
        <v>0.89039999999999997</v>
      </c>
      <c r="D115" s="907">
        <f>ROUND(0.8331-0.0109*B113,4)</f>
        <v>0.78310000000000002</v>
      </c>
      <c r="E115" s="907">
        <f>D115</f>
        <v>0.78310000000000002</v>
      </c>
      <c r="F115" s="907">
        <f>E115</f>
        <v>0.78310000000000002</v>
      </c>
      <c r="G115" s="907">
        <f>F115</f>
        <v>0.78310000000000002</v>
      </c>
      <c r="H115" s="907">
        <f>G115</f>
        <v>0.78310000000000002</v>
      </c>
      <c r="I115" s="907">
        <f>ROUND(0.689-0.0155*B113,4)</f>
        <v>0.6179</v>
      </c>
      <c r="J115" s="907">
        <f t="shared" ref="J115:M118" si="33">I115</f>
        <v>0.6179</v>
      </c>
      <c r="K115" s="907">
        <f t="shared" si="33"/>
        <v>0.6179</v>
      </c>
      <c r="L115" s="907">
        <f t="shared" si="33"/>
        <v>0.6179</v>
      </c>
      <c r="M115" s="908">
        <f t="shared" si="33"/>
        <v>0.6179</v>
      </c>
    </row>
    <row r="116" spans="1:13">
      <c r="A116" s="906" t="s">
        <v>2882</v>
      </c>
      <c r="B116" s="907">
        <f>ROUND(0.949-0.012*B113,4)</f>
        <v>0.89390000000000003</v>
      </c>
      <c r="C116" s="907">
        <f>B116</f>
        <v>0.89390000000000003</v>
      </c>
      <c r="D116" s="907">
        <f>ROUND(0.8567-0.013*B113,4)</f>
        <v>0.79700000000000004</v>
      </c>
      <c r="E116" s="907">
        <f t="shared" ref="E116:H117" si="34">D116</f>
        <v>0.79700000000000004</v>
      </c>
      <c r="F116" s="907">
        <f t="shared" si="34"/>
        <v>0.79700000000000004</v>
      </c>
      <c r="G116" s="907">
        <f t="shared" si="34"/>
        <v>0.79700000000000004</v>
      </c>
      <c r="H116" s="907">
        <f t="shared" si="34"/>
        <v>0.79700000000000004</v>
      </c>
      <c r="I116" s="907">
        <f>ROUND(0.7694-0.014*B113,4)</f>
        <v>0.70509999999999995</v>
      </c>
      <c r="J116" s="907">
        <f t="shared" si="33"/>
        <v>0.70509999999999995</v>
      </c>
      <c r="K116" s="907">
        <f t="shared" si="33"/>
        <v>0.70509999999999995</v>
      </c>
      <c r="L116" s="907">
        <f t="shared" si="33"/>
        <v>0.70509999999999995</v>
      </c>
      <c r="M116" s="908">
        <f t="shared" si="33"/>
        <v>0.70509999999999995</v>
      </c>
    </row>
    <row r="117" spans="1:13">
      <c r="A117" s="906" t="s">
        <v>2883</v>
      </c>
      <c r="B117" s="907">
        <f>ROUND(0.8808-0.006*B113,4)</f>
        <v>0.85329999999999995</v>
      </c>
      <c r="C117" s="907">
        <f>B117</f>
        <v>0.85329999999999995</v>
      </c>
      <c r="D117" s="907">
        <f>ROUND(0.8748-0.008*B113,4)</f>
        <v>0.83809999999999996</v>
      </c>
      <c r="E117" s="907">
        <f t="shared" si="34"/>
        <v>0.83809999999999996</v>
      </c>
      <c r="F117" s="907">
        <f t="shared" si="34"/>
        <v>0.83809999999999996</v>
      </c>
      <c r="G117" s="907">
        <f t="shared" si="34"/>
        <v>0.83809999999999996</v>
      </c>
      <c r="H117" s="907">
        <f t="shared" si="34"/>
        <v>0.83809999999999996</v>
      </c>
      <c r="I117" s="907">
        <f>ROUND(0.7412-0.0095*B113,4)</f>
        <v>0.6976</v>
      </c>
      <c r="J117" s="907">
        <f t="shared" si="33"/>
        <v>0.6976</v>
      </c>
      <c r="K117" s="907">
        <f t="shared" si="33"/>
        <v>0.6976</v>
      </c>
      <c r="L117" s="907">
        <f t="shared" si="33"/>
        <v>0.6976</v>
      </c>
      <c r="M117" s="908">
        <f t="shared" si="33"/>
        <v>0.6976</v>
      </c>
    </row>
    <row r="118" spans="1:13" ht="13.5" thickBot="1">
      <c r="A118" s="714" t="s">
        <v>2884</v>
      </c>
      <c r="B118" s="909">
        <f>ROUND(0.7275-0.01*B113,4)</f>
        <v>0.68159999999999998</v>
      </c>
      <c r="C118" s="909">
        <f>B118</f>
        <v>0.68159999999999998</v>
      </c>
      <c r="D118" s="909">
        <f>ROUND(0.7043-0.012*B113,4)</f>
        <v>0.6492</v>
      </c>
      <c r="E118" s="909">
        <f>D118</f>
        <v>0.6492</v>
      </c>
      <c r="F118" s="909">
        <f>E118</f>
        <v>0.6492</v>
      </c>
      <c r="G118" s="909">
        <f>ROUND(0.6299-0.0122*B113,4)</f>
        <v>0.57389999999999997</v>
      </c>
      <c r="H118" s="909">
        <f>G118</f>
        <v>0.57389999999999997</v>
      </c>
      <c r="I118" s="909">
        <f>ROUND(0.5667-0.0136*B113,4)</f>
        <v>0.50429999999999997</v>
      </c>
      <c r="J118" s="909">
        <f t="shared" si="33"/>
        <v>0.50429999999999997</v>
      </c>
      <c r="K118" s="909">
        <f t="shared" si="33"/>
        <v>0.50429999999999997</v>
      </c>
      <c r="L118" s="909">
        <f t="shared" si="33"/>
        <v>0.50429999999999997</v>
      </c>
      <c r="M118" s="910">
        <f t="shared" si="33"/>
        <v>0.50429999999999997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6" zoomScale="80" zoomScaleNormal="80" zoomScaleSheetLayoutView="96" workbookViewId="0">
      <selection activeCell="V20" sqref="V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2807</v>
      </c>
      <c r="B1" s="241"/>
      <c r="C1" s="245" t="s">
        <v>2808</v>
      </c>
      <c r="D1" s="388">
        <f>SUM(D29:D30,D33:D39)</f>
        <v>5097.05</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2" t="s">
        <v>2810</v>
      </c>
      <c r="S1" s="1602" t="s">
        <v>2811</v>
      </c>
      <c r="T1" s="1602" t="s">
        <v>2812</v>
      </c>
      <c r="U1" s="1602" t="s">
        <v>2813</v>
      </c>
      <c r="V1" s="1602" t="s">
        <v>2814</v>
      </c>
      <c r="W1" s="1606"/>
      <c r="X1" s="1606"/>
      <c r="Y1" s="1606"/>
      <c r="Z1" s="1606"/>
      <c r="AA1" s="1606"/>
      <c r="AB1" s="1606"/>
      <c r="AC1" s="1607"/>
      <c r="AD1" s="1608"/>
      <c r="AE1" s="1608"/>
      <c r="AF1" s="1608"/>
      <c r="AG1" s="1608"/>
      <c r="AH1" s="1608"/>
      <c r="AI1" s="1608"/>
      <c r="AJ1" s="1609"/>
    </row>
    <row r="2" spans="1:36" ht="15.75">
      <c r="A2" s="245" t="s">
        <v>2815</v>
      </c>
      <c r="B2" s="248">
        <f ca="1">C26</f>
        <v>6645</v>
      </c>
      <c r="C2" s="2724" t="s">
        <v>2816</v>
      </c>
      <c r="D2" s="2725" t="s">
        <v>2817</v>
      </c>
      <c r="E2" s="2726" t="s">
        <v>1377</v>
      </c>
      <c r="F2" s="2725" t="s">
        <v>2818</v>
      </c>
      <c r="G2" s="2727" t="str">
        <f>IF(E2="商业",项目基本情况!B37,IF(E2="办公",项目基本情况!C37,IF(E2="住宅",项目基本情况!D37,项目基本情况!E37)))</f>
        <v>六级</v>
      </c>
      <c r="H2" s="2725" t="s">
        <v>2819</v>
      </c>
      <c r="I2" s="2727" t="str">
        <f>IF(E2="商业",项目基本情况!B38,IF(E2="办公",项目基本情况!C38,IF(E2="住宅",项目基本情况!D38,项目基本情况!E38)))</f>
        <v>Ⅵ-亦1</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26425</v>
      </c>
      <c r="U2" s="1603">
        <f>面积表及商业修正表!K3</f>
        <v>1175.17</v>
      </c>
      <c r="V2" s="1602">
        <f ca="1">ROUND(T2*U2/10000,0)</f>
        <v>3105</v>
      </c>
      <c r="W2" s="1606"/>
      <c r="X2" s="1606"/>
      <c r="Y2" s="1606"/>
      <c r="Z2" s="1606"/>
      <c r="AA2" s="1606"/>
      <c r="AB2" s="1606"/>
      <c r="AC2" s="1607"/>
      <c r="AD2" s="1608"/>
      <c r="AE2" s="1608"/>
      <c r="AF2" s="1608"/>
      <c r="AG2" s="1608"/>
      <c r="AH2" s="1608"/>
      <c r="AI2" s="1608"/>
      <c r="AJ2" s="1609"/>
    </row>
    <row r="3" spans="1:36" ht="25.5">
      <c r="A3" s="247" t="s">
        <v>2821</v>
      </c>
      <c r="B3" s="248">
        <f ca="1">ROUND(B2*10000/D1,0)</f>
        <v>13037</v>
      </c>
      <c r="C3" s="2724" t="s">
        <v>2822</v>
      </c>
      <c r="D3" s="2725" t="s">
        <v>2823</v>
      </c>
      <c r="E3" s="2730" t="s">
        <v>3085</v>
      </c>
      <c r="F3" s="2731" t="s">
        <v>3077</v>
      </c>
      <c r="G3" s="913">
        <f>IF(F3="宗地容积率",'数据-汇总表'!I4,IF(F3="估价对象容积率",'数据-汇总表'!I6,'数据-汇总表'!I7))</f>
        <v>4.59</v>
      </c>
      <c r="H3" s="198" t="s">
        <v>2824</v>
      </c>
      <c r="I3" s="944">
        <v>1</v>
      </c>
      <c r="J3" s="2728" t="s">
        <v>2825</v>
      </c>
      <c r="K3" s="1370"/>
      <c r="L3" s="2729"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18968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9"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15302</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2828</v>
      </c>
      <c r="C5" s="914">
        <f>ROUND(IF(E2="商业",IF(F16="增加",C6*C7+C16,C6*C7-C16),IF(E2="住宅",IF(F16="增加",C6*C12+C16,C6*C12-C16),IF(F16="增加",C6+C16,C6-C16))),0)</f>
        <v>9820</v>
      </c>
      <c r="D5" s="1787">
        <f>ROUND(IF(E2="商业",IF(F16="增加",C6+C16,C6-C16)),0)</f>
        <v>9820</v>
      </c>
      <c r="E5" s="2734"/>
      <c r="F5" s="2734"/>
      <c r="G5" s="2735"/>
      <c r="H5" s="2735"/>
      <c r="I5" s="2735"/>
      <c r="J5" s="2736"/>
      <c r="K5" s="2737"/>
      <c r="L5" s="2729"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12278</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2830</v>
      </c>
      <c r="B6" s="2743" t="s">
        <v>2831</v>
      </c>
      <c r="C6" s="915">
        <f>SUMIF(L1:L12,G2,M1:M12)</f>
        <v>9820</v>
      </c>
      <c r="D6" s="2744" t="s">
        <v>2832</v>
      </c>
      <c r="E6" s="2745"/>
      <c r="F6" s="2745"/>
      <c r="G6" s="2746"/>
      <c r="H6" s="2746"/>
      <c r="I6" s="2746"/>
      <c r="J6" s="2747"/>
      <c r="K6" s="1842"/>
      <c r="L6" s="2729" t="s">
        <v>2833</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10455</v>
      </c>
      <c r="U6" s="1603"/>
      <c r="V6" s="1602">
        <f t="shared" ca="1" si="1"/>
        <v>0</v>
      </c>
      <c r="W6" s="1606"/>
      <c r="X6" s="1606"/>
      <c r="Y6" s="1606"/>
      <c r="Z6" s="1606"/>
      <c r="AA6" s="1606"/>
      <c r="AB6" s="1606"/>
      <c r="AC6" s="2738"/>
      <c r="AD6" s="2739"/>
      <c r="AE6" s="2739"/>
      <c r="AF6" s="2739"/>
      <c r="AG6" s="2739"/>
      <c r="AH6" s="2739"/>
      <c r="AI6" s="2739"/>
      <c r="AJ6" s="2740"/>
    </row>
    <row r="7" spans="1:36" ht="24">
      <c r="A7" s="3249" t="str">
        <f>IF(E2="商业",IF(C8="不临58条商业街","",2),"")</f>
        <v/>
      </c>
      <c r="B7" s="2748" t="s">
        <v>2834</v>
      </c>
      <c r="C7" s="916">
        <f>IF(C8="不临58条商业街",1,ROUND(1+(1.6*E8+1.2*E9+0.8*E10+0.4*E11)*C9,4))</f>
        <v>1</v>
      </c>
      <c r="D7" s="2749" t="s">
        <v>2835</v>
      </c>
      <c r="E7" s="945"/>
      <c r="F7" s="2750"/>
      <c r="G7" s="2751"/>
      <c r="H7" s="2751"/>
      <c r="I7" s="2751"/>
      <c r="J7" s="2752"/>
      <c r="K7" s="1842"/>
      <c r="L7" s="2729"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9194</v>
      </c>
      <c r="U7" s="1603"/>
      <c r="V7" s="1602">
        <f t="shared" ca="1" si="1"/>
        <v>0</v>
      </c>
      <c r="W7" s="2959" t="s">
        <v>2837</v>
      </c>
      <c r="X7" s="1604" t="str">
        <f>G2</f>
        <v>六级</v>
      </c>
      <c r="Y7" s="1604" t="s">
        <v>2838</v>
      </c>
      <c r="Z7" s="1605">
        <f>G3</f>
        <v>4.59</v>
      </c>
      <c r="AA7" s="1606"/>
      <c r="AB7" s="1606"/>
      <c r="AC7" s="1607"/>
      <c r="AD7" s="1608"/>
      <c r="AE7" s="1608"/>
      <c r="AF7" s="1608"/>
      <c r="AG7" s="1608"/>
      <c r="AH7" s="1608"/>
      <c r="AI7" s="1608"/>
      <c r="AJ7" s="1609"/>
    </row>
    <row r="8" spans="1:36" ht="25.5">
      <c r="A8" s="3250"/>
      <c r="B8" s="198" t="s">
        <v>2839</v>
      </c>
      <c r="C8" s="2753" t="s">
        <v>3086</v>
      </c>
      <c r="D8" s="917" t="s">
        <v>139</v>
      </c>
      <c r="E8" s="918" t="e">
        <f>ROUND(C11/E7,4)</f>
        <v>#DIV/0!</v>
      </c>
      <c r="F8" s="2754" t="s">
        <v>2840</v>
      </c>
      <c r="G8" s="2755"/>
      <c r="H8" s="2755"/>
      <c r="I8" s="2755"/>
      <c r="J8" s="2756"/>
      <c r="K8" s="1370"/>
      <c r="L8" s="2729" t="s">
        <v>2841</v>
      </c>
      <c r="M8" s="1081">
        <f>SUMPRODUCT((区片价!B206:B244=I2)*(区片价!C3:F3=E2)*(区片价!C206:F244))</f>
        <v>0</v>
      </c>
      <c r="N8" s="1083">
        <f>SUMPRODUCT((因素修正幅度!B206:B244=I2)*(因素修正幅度!C3:F3=E2)*(因素修正幅度!C206:F244))</f>
        <v>0</v>
      </c>
      <c r="O8" s="1370"/>
      <c r="P8" s="1370"/>
      <c r="Q8" s="1370" t="s">
        <v>3695</v>
      </c>
      <c r="R8" s="1602">
        <v>7</v>
      </c>
      <c r="S8" s="1603">
        <v>0.60919999999999996</v>
      </c>
      <c r="T8" s="1602">
        <f t="shared" ca="1" si="0"/>
        <v>8641</v>
      </c>
      <c r="U8" s="1603">
        <f>面积表及商业修正表!K5</f>
        <v>391.97</v>
      </c>
      <c r="V8" s="1602">
        <f t="shared" ca="1" si="1"/>
        <v>339</v>
      </c>
      <c r="W8" s="3260" t="s">
        <v>2842</v>
      </c>
      <c r="X8" s="3261"/>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50"/>
      <c r="B9" s="198" t="s">
        <v>2855</v>
      </c>
      <c r="C9" s="919">
        <f>SUMIF(修正!C59:C119,C8,修正!E59:E119)</f>
        <v>0</v>
      </c>
      <c r="D9" s="200" t="s">
        <v>140</v>
      </c>
      <c r="E9" s="200" t="e">
        <f>ROUND(C11/E7,4)</f>
        <v>#DIV/0!</v>
      </c>
      <c r="F9" s="2754" t="s">
        <v>2856</v>
      </c>
      <c r="G9" s="2755"/>
      <c r="H9" s="2755"/>
      <c r="I9" s="2755"/>
      <c r="J9" s="2756"/>
      <c r="K9" s="1370"/>
      <c r="L9" s="2729" t="s">
        <v>2857</v>
      </c>
      <c r="M9" s="1081">
        <f>SUMPRODUCT((区片价!B245:B289=I2)*(区片价!C3:F3=E2)*(区片价!C245:F289))</f>
        <v>0</v>
      </c>
      <c r="N9" s="1083">
        <f>SUMPRODUCT((因素修正幅度!B245:B289=I2)*(因素修正幅度!C3:F3=E2)*(因素修正幅度!C245:F289))</f>
        <v>0</v>
      </c>
      <c r="O9" s="1370"/>
      <c r="P9" s="1370"/>
      <c r="Q9" s="1370" t="s">
        <v>3696</v>
      </c>
      <c r="R9" s="1602">
        <v>8</v>
      </c>
      <c r="S9" s="1603">
        <v>0.60729999999999995</v>
      </c>
      <c r="T9" s="1602">
        <f t="shared" ca="1" si="0"/>
        <v>8614</v>
      </c>
      <c r="U9" s="1603">
        <f>面积表及商业修正表!K6</f>
        <v>3630.35</v>
      </c>
      <c r="V9" s="1602">
        <f t="shared" ca="1" si="1"/>
        <v>3127</v>
      </c>
      <c r="W9" s="3262" t="s">
        <v>2858</v>
      </c>
      <c r="X9" s="1611" t="s">
        <v>2859</v>
      </c>
      <c r="Y9" s="1772">
        <v>36</v>
      </c>
      <c r="Z9" s="1612">
        <f>$Y$9</f>
        <v>36</v>
      </c>
      <c r="AA9" s="1612">
        <f t="shared" ref="AA9:AJ9" si="2">$Y$9</f>
        <v>36</v>
      </c>
      <c r="AB9" s="1612">
        <f t="shared" si="2"/>
        <v>36</v>
      </c>
      <c r="AC9" s="1612">
        <f t="shared" si="2"/>
        <v>36</v>
      </c>
      <c r="AD9" s="1612">
        <f t="shared" si="2"/>
        <v>36</v>
      </c>
      <c r="AE9" s="1612">
        <f t="shared" si="2"/>
        <v>36</v>
      </c>
      <c r="AF9" s="1612">
        <f t="shared" si="2"/>
        <v>36</v>
      </c>
      <c r="AG9" s="1612">
        <f t="shared" si="2"/>
        <v>36</v>
      </c>
      <c r="AH9" s="1612">
        <f t="shared" si="2"/>
        <v>36</v>
      </c>
      <c r="AI9" s="1612">
        <f t="shared" si="2"/>
        <v>36</v>
      </c>
      <c r="AJ9" s="1612">
        <f t="shared" si="2"/>
        <v>36</v>
      </c>
    </row>
    <row r="10" spans="1:36" ht="15">
      <c r="A10" s="3250"/>
      <c r="B10" s="198" t="s">
        <v>2860</v>
      </c>
      <c r="C10" s="200">
        <f>SUMIF(修正!C59:C119,C8,修正!F59:F119)</f>
        <v>0</v>
      </c>
      <c r="D10" s="200" t="s">
        <v>141</v>
      </c>
      <c r="E10" s="200" t="e">
        <f>ROUND(C11/E7,4)</f>
        <v>#DIV/0!</v>
      </c>
      <c r="F10" s="2754" t="s">
        <v>2861</v>
      </c>
      <c r="G10" s="2755"/>
      <c r="H10" s="2755"/>
      <c r="I10" s="2755"/>
      <c r="J10" s="2756"/>
      <c r="K10" s="1370"/>
      <c r="L10" s="2729"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2"/>
      <c r="X10" s="1611">
        <v>7</v>
      </c>
      <c r="Y10" s="1613">
        <f>(-0.163*(Y9^2)-0.59*Y9+7617)*(10^(-4))</f>
        <v>0.73845119999999997</v>
      </c>
      <c r="Z10" s="1613">
        <f>(-0.163*(Z9^2)-0.59*Z9+7617)*(10^(-4))</f>
        <v>0.73845119999999997</v>
      </c>
      <c r="AA10" s="1613">
        <f>(-0.161*(AA9^2)-7.509*AA9+6533)*(10^(-4))</f>
        <v>0.60540200000000011</v>
      </c>
      <c r="AB10" s="1613">
        <f>(-0.161*(AB9^2)-7.509*AB9+6533)*(10^(-4))</f>
        <v>0.60540200000000011</v>
      </c>
      <c r="AC10" s="1613">
        <f>(-0.161*(AC9^2)-7.509*AC9+6533)*(10^(-4))</f>
        <v>0.60540200000000011</v>
      </c>
      <c r="AD10" s="1613">
        <f>(-0.161*(AD9^2)-7.509*AD9+6533)*(10^(-4))</f>
        <v>0.60540200000000011</v>
      </c>
      <c r="AE10" s="1613">
        <f>(-0.161*(AE9^2)-7.509*AE9+6533)*(10^(-4))</f>
        <v>0.60540200000000011</v>
      </c>
      <c r="AF10" s="1613">
        <f>(-0.214*(AF9^2)-21.991*AF9+4665)*(10^(-4))</f>
        <v>0.35959800000000003</v>
      </c>
      <c r="AG10" s="1613">
        <f>(-0.214*(AG9^2)-21.991*AG9+4665)*(10^(-4))</f>
        <v>0.35959800000000003</v>
      </c>
      <c r="AH10" s="1613">
        <f>(-0.214*(AH9^2)-21.991*AH9+4665)*(10^(-4))</f>
        <v>0.35959800000000003</v>
      </c>
      <c r="AI10" s="1613">
        <f>(-0.214*(AI9^2)-21.991*AI9+4665)*(10^(-4))</f>
        <v>0.35959800000000003</v>
      </c>
      <c r="AJ10" s="1613">
        <f>(-0.214*(AJ9^2)-21.991*AJ9+4665)*(10^(-4))</f>
        <v>0.35959800000000003</v>
      </c>
    </row>
    <row r="11" spans="1:36" ht="15.75" thickBot="1">
      <c r="A11" s="3250"/>
      <c r="B11" s="2757" t="s">
        <v>2863</v>
      </c>
      <c r="C11" s="920">
        <f>C10/4</f>
        <v>0</v>
      </c>
      <c r="D11" s="920" t="s">
        <v>142</v>
      </c>
      <c r="E11" s="920" t="e">
        <f>ROUND(C11/E7,4)</f>
        <v>#DIV/0!</v>
      </c>
      <c r="F11" s="2758" t="s">
        <v>2864</v>
      </c>
      <c r="G11" s="2759"/>
      <c r="H11" s="2759"/>
      <c r="I11" s="2759"/>
      <c r="J11" s="2760"/>
      <c r="K11" s="1370"/>
      <c r="L11" s="2729"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2" t="s">
        <v>2866</v>
      </c>
      <c r="X11" s="1614" t="s">
        <v>2867</v>
      </c>
      <c r="Y11" s="1615">
        <f>$G$3</f>
        <v>4.59</v>
      </c>
      <c r="Z11" s="1615">
        <f t="shared" ref="Z11:AJ11" si="3">$G$3</f>
        <v>4.59</v>
      </c>
      <c r="AA11" s="1615">
        <f t="shared" si="3"/>
        <v>4.59</v>
      </c>
      <c r="AB11" s="1615">
        <f t="shared" si="3"/>
        <v>4.59</v>
      </c>
      <c r="AC11" s="1615">
        <f t="shared" si="3"/>
        <v>4.59</v>
      </c>
      <c r="AD11" s="1615">
        <f t="shared" si="3"/>
        <v>4.59</v>
      </c>
      <c r="AE11" s="1615">
        <f t="shared" si="3"/>
        <v>4.59</v>
      </c>
      <c r="AF11" s="1615">
        <f t="shared" si="3"/>
        <v>4.59</v>
      </c>
      <c r="AG11" s="1615">
        <f t="shared" si="3"/>
        <v>4.59</v>
      </c>
      <c r="AH11" s="1615">
        <f t="shared" si="3"/>
        <v>4.59</v>
      </c>
      <c r="AI11" s="1615">
        <f t="shared" si="3"/>
        <v>4.59</v>
      </c>
      <c r="AJ11" s="1615">
        <f t="shared" si="3"/>
        <v>4.59</v>
      </c>
    </row>
    <row r="12" spans="1:36" ht="25.5" thickBot="1">
      <c r="A12" s="3249" t="s">
        <v>2868</v>
      </c>
      <c r="B12" s="2761" t="s">
        <v>2869</v>
      </c>
      <c r="C12" s="916">
        <f>ROUND(C15*D15*E15*F15*G15*H15*I15*J15,4)</f>
        <v>1</v>
      </c>
      <c r="D12" s="2762" t="s">
        <v>2870</v>
      </c>
      <c r="E12" s="2763"/>
      <c r="F12" s="2763"/>
      <c r="G12" s="2764"/>
      <c r="H12" s="2764"/>
      <c r="I12" s="2764"/>
      <c r="J12" s="2765"/>
      <c r="K12" s="1370"/>
      <c r="L12" s="2766"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2"/>
      <c r="X12" s="1616" t="s">
        <v>2872</v>
      </c>
      <c r="Y12" s="1612">
        <f t="shared" ref="Y12:AJ12" si="4">Y9</f>
        <v>36</v>
      </c>
      <c r="Z12" s="1612">
        <f t="shared" si="4"/>
        <v>36</v>
      </c>
      <c r="AA12" s="1612">
        <f t="shared" si="4"/>
        <v>36</v>
      </c>
      <c r="AB12" s="1612">
        <f t="shared" si="4"/>
        <v>36</v>
      </c>
      <c r="AC12" s="1612">
        <f t="shared" si="4"/>
        <v>36</v>
      </c>
      <c r="AD12" s="1612">
        <f t="shared" si="4"/>
        <v>36</v>
      </c>
      <c r="AE12" s="1612">
        <f t="shared" si="4"/>
        <v>36</v>
      </c>
      <c r="AF12" s="1612">
        <f t="shared" si="4"/>
        <v>36</v>
      </c>
      <c r="AG12" s="1612">
        <f t="shared" si="4"/>
        <v>36</v>
      </c>
      <c r="AH12" s="1612">
        <f t="shared" si="4"/>
        <v>36</v>
      </c>
      <c r="AI12" s="1612">
        <f t="shared" si="4"/>
        <v>36</v>
      </c>
      <c r="AJ12" s="1612">
        <f t="shared" si="4"/>
        <v>36</v>
      </c>
    </row>
    <row r="13" spans="1:36" ht="24">
      <c r="A13" s="3267"/>
      <c r="B13" s="2767" t="s">
        <v>2873</v>
      </c>
      <c r="C13" s="2768" t="s">
        <v>2874</v>
      </c>
      <c r="D13" s="2952" t="s">
        <v>2875</v>
      </c>
      <c r="E13" s="2952" t="s">
        <v>2876</v>
      </c>
      <c r="F13" s="30" t="s">
        <v>2877</v>
      </c>
      <c r="G13" s="2769" t="s">
        <v>2878</v>
      </c>
      <c r="H13" s="2769" t="s">
        <v>2878</v>
      </c>
      <c r="I13" s="2769" t="s">
        <v>2878</v>
      </c>
      <c r="J13" s="2770" t="s">
        <v>2878</v>
      </c>
      <c r="K13" s="1370"/>
      <c r="L13" s="1370"/>
      <c r="M13" s="1370"/>
      <c r="N13" s="1370"/>
      <c r="O13" s="1370"/>
      <c r="P13" s="1370"/>
      <c r="Q13" s="1370"/>
      <c r="R13" s="1602">
        <v>12</v>
      </c>
      <c r="S13" s="1603"/>
      <c r="T13" s="1602">
        <f t="shared" ca="1" si="0"/>
        <v>0</v>
      </c>
      <c r="U13" s="1603"/>
      <c r="V13" s="1602">
        <f t="shared" ca="1" si="1"/>
        <v>0</v>
      </c>
      <c r="W13" s="3262"/>
      <c r="X13" s="1616"/>
      <c r="Y13" s="1613">
        <f>(-0.163*(Y12^2)-0.59*Y12+7617)*(10^(-4))/Y11</f>
        <v>0.16088261437908496</v>
      </c>
      <c r="Z13" s="1613">
        <f t="shared" ref="Z13:AJ13" si="5">(-0.163*(Z12^2)-0.59*Z12+7617)*(10^(-4))/Z11</f>
        <v>0.16088261437908496</v>
      </c>
      <c r="AA13" s="1613">
        <f t="shared" si="5"/>
        <v>0.16088261437908496</v>
      </c>
      <c r="AB13" s="1613">
        <f t="shared" si="5"/>
        <v>0.16088261437908496</v>
      </c>
      <c r="AC13" s="1613">
        <f t="shared" si="5"/>
        <v>0.16088261437908496</v>
      </c>
      <c r="AD13" s="1613">
        <f t="shared" si="5"/>
        <v>0.16088261437908496</v>
      </c>
      <c r="AE13" s="1613">
        <f t="shared" si="5"/>
        <v>0.16088261437908496</v>
      </c>
      <c r="AF13" s="1613">
        <f t="shared" si="5"/>
        <v>0.16088261437908496</v>
      </c>
      <c r="AG13" s="1613">
        <f t="shared" si="5"/>
        <v>0.16088261437908496</v>
      </c>
      <c r="AH13" s="1613">
        <f t="shared" si="5"/>
        <v>0.16088261437908496</v>
      </c>
      <c r="AI13" s="1613">
        <f t="shared" si="5"/>
        <v>0.16088261437908496</v>
      </c>
      <c r="AJ13" s="1613">
        <f t="shared" si="5"/>
        <v>0.16088261437908496</v>
      </c>
    </row>
    <row r="14" spans="1:36" ht="15">
      <c r="A14" s="3267"/>
      <c r="B14" s="2771"/>
      <c r="C14" s="2772"/>
      <c r="D14" s="2773"/>
      <c r="E14" s="2773"/>
      <c r="F14" s="2774"/>
      <c r="G14" s="2775" t="s">
        <v>2879</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8"/>
      <c r="B15" s="2779" t="s">
        <v>2880</v>
      </c>
      <c r="C15" s="229">
        <f>IF(C14="有",1.1,1)</f>
        <v>1</v>
      </c>
      <c r="D15" s="229">
        <f>IF(D14="有",1.1,1)</f>
        <v>1</v>
      </c>
      <c r="E15" s="229">
        <f>IF(E14="有",1.1,1)</f>
        <v>1</v>
      </c>
      <c r="F15" s="229">
        <f>IF(F14="500米范围内",1.2,IF(F14="500-1000米",1.1,1))</f>
        <v>1</v>
      </c>
      <c r="G15" s="946">
        <v>1</v>
      </c>
      <c r="H15" s="946">
        <v>1</v>
      </c>
      <c r="I15" s="946">
        <v>1</v>
      </c>
      <c r="J15" s="947">
        <v>1</v>
      </c>
      <c r="K15" s="1370"/>
      <c r="L15" s="2780" t="s">
        <v>2817</v>
      </c>
      <c r="M15" s="917" t="s">
        <v>2881</v>
      </c>
      <c r="N15" s="917" t="s">
        <v>2882</v>
      </c>
      <c r="O15" s="917" t="s">
        <v>2883</v>
      </c>
      <c r="P15" s="2781" t="s">
        <v>2884</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49" t="s">
        <v>2885</v>
      </c>
      <c r="B16" s="2748" t="s">
        <v>2886</v>
      </c>
      <c r="C16" s="2948">
        <f>ROUND(SUM(G17:J17)/C17,0)</f>
        <v>0</v>
      </c>
      <c r="D16" s="2782" t="s">
        <v>2887</v>
      </c>
      <c r="E16" s="2783" t="s">
        <v>3078</v>
      </c>
      <c r="F16" s="2784" t="s">
        <v>3079</v>
      </c>
      <c r="G16" s="2785"/>
      <c r="H16" s="2785"/>
      <c r="I16" s="2785"/>
      <c r="J16" s="2786"/>
      <c r="K16" s="1370"/>
      <c r="L16" s="2787" t="s">
        <v>2888</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50"/>
      <c r="B17" s="2788" t="s">
        <v>2889</v>
      </c>
      <c r="C17" s="921">
        <f>SUMPRODUCT((修正!A2:A5=E2)*(修正!B1:M1=G2)*(修正!B2:M5))</f>
        <v>2.5</v>
      </c>
      <c r="D17" s="2789" t="s">
        <v>2890</v>
      </c>
      <c r="E17" s="920" t="str">
        <f>IF(OR(G2="八级",G2="九级",G2="十级",G2="十一级",G2="十二级"),"五通一平","七通一平")</f>
        <v>七通一平</v>
      </c>
      <c r="F17" s="921" t="s">
        <v>2891</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2892</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2893</v>
      </c>
      <c r="C18" s="923">
        <f>SUMIF(修正!C18:C39,E3,修正!E18:E39)</f>
        <v>1.1000000000000001</v>
      </c>
      <c r="D18" s="2794"/>
      <c r="E18" s="2795"/>
      <c r="F18" s="2796"/>
      <c r="G18" s="2797"/>
      <c r="H18" s="2797"/>
      <c r="I18" s="2797"/>
      <c r="J18" s="2798"/>
      <c r="K18" s="1377"/>
      <c r="O18" s="1375"/>
      <c r="P18" s="1375"/>
      <c r="Q18" s="1376"/>
      <c r="R18" s="1376"/>
      <c r="S18" s="1376"/>
      <c r="T18" s="1371"/>
      <c r="U18" s="1371" t="s">
        <v>3697</v>
      </c>
      <c r="V18" s="1371">
        <v>3540</v>
      </c>
      <c r="W18" s="1370"/>
      <c r="X18" s="1370"/>
      <c r="Y18" s="1370"/>
      <c r="Z18" s="1377"/>
      <c r="AA18" s="1378"/>
      <c r="AB18" s="1378"/>
      <c r="AC18" s="1378"/>
      <c r="AD18" s="1378"/>
      <c r="AE18" s="1372"/>
      <c r="AF18" s="1372"/>
      <c r="AG18" s="2799"/>
      <c r="AH18" s="2799"/>
      <c r="AI18" s="2799"/>
    </row>
    <row r="19" spans="1:37" s="2741" customFormat="1" ht="29.25" thickBot="1">
      <c r="A19" s="2792" t="s">
        <v>809</v>
      </c>
      <c r="B19" s="2793" t="s">
        <v>2894</v>
      </c>
      <c r="C19" s="924">
        <f>ROUND(IF(H19="按公示增长率计算",SUMPRODUCT((地价!A3:A22=YEAR(G19)&amp;"-"&amp;ROUNDUP(MONTH(G19)/3,0))*(地价!X2:AB2=E2)*(地价!X3:AB22)),IF(H19="地价指数",M20/M19,(1+I19)^O19)),4)</f>
        <v>1.2928999999999999</v>
      </c>
      <c r="D19" s="2800" t="s">
        <v>2895</v>
      </c>
      <c r="E19" s="925">
        <v>41640</v>
      </c>
      <c r="F19" s="2800" t="s">
        <v>2896</v>
      </c>
      <c r="G19" s="926">
        <f>'数据-取费表'!B2</f>
        <v>43273</v>
      </c>
      <c r="H19" s="2801" t="s">
        <v>3080</v>
      </c>
      <c r="I19" s="927" t="str">
        <f>IF(H19="季度增幅（自定义）",SUMIF(N21:N24,E2,O21:O24),"")</f>
        <v/>
      </c>
      <c r="J19" s="2798"/>
      <c r="K19" s="1377"/>
      <c r="L19" s="2802" t="s">
        <v>2897</v>
      </c>
      <c r="M19" s="1734">
        <f>ROUND(SUMIF(地价!B2:F2,E2,地价!B22:F22),0)</f>
        <v>258</v>
      </c>
      <c r="N19" s="2803" t="s">
        <v>2898</v>
      </c>
      <c r="O19" s="928">
        <f>ROUNDDOWN(DATEDIF(E19,G19,"M")/3,0)</f>
        <v>17</v>
      </c>
      <c r="P19" s="1374"/>
      <c r="Q19" s="1376"/>
      <c r="R19" s="1376"/>
      <c r="S19" s="1376"/>
      <c r="T19" s="1371"/>
      <c r="U19" s="1371"/>
      <c r="V19" s="1371">
        <f ca="1">V2+V8+V9+V18</f>
        <v>10111</v>
      </c>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2899</v>
      </c>
      <c r="C20" s="929">
        <f ca="1">ROUND(POWER(1+G20,J20-I20)*(POWER(1+G20,I20)-1)/(POWER(1+G20,J20)-1),4)</f>
        <v>0.91600000000000004</v>
      </c>
      <c r="D20" s="2809" t="s">
        <v>2900</v>
      </c>
      <c r="E20" s="1768">
        <f ca="1">存贷款利率!D4/100</f>
        <v>4.3499999999999997E-2</v>
      </c>
      <c r="F20" s="2809" t="s">
        <v>2892</v>
      </c>
      <c r="G20" s="934">
        <f ca="1">SUMIF(M15:P15,E2,M17:P17)</f>
        <v>5.3999999999999999E-2</v>
      </c>
      <c r="H20" s="2809" t="s">
        <v>2901</v>
      </c>
      <c r="I20" s="935">
        <f>SUMIF('数据-取费表'!C6:C15,E2,'数据-取费表'!F6:F15)/COUNTIF('数据-取费表'!C6:C15,E2)</f>
        <v>31.01</v>
      </c>
      <c r="J20" s="936">
        <f>IF(E2="住宅",70,IF(E2="商业",40,50))</f>
        <v>40</v>
      </c>
      <c r="K20" s="1377"/>
      <c r="L20" s="2810" t="s">
        <v>2902</v>
      </c>
      <c r="M20" s="1735">
        <f>ROUND(SUMPRODUCT((地价!A4:A22=YEAR(G19)&amp;"-"&amp;ROUNDUP(MONTH(G19)/3,0))*(地价!B2:F2=E2)*(地价!B4:F22)),0)</f>
        <v>333</v>
      </c>
      <c r="N20" s="2811" t="s">
        <v>2903</v>
      </c>
      <c r="O20" s="2812" t="s">
        <v>2904</v>
      </c>
      <c r="P20" s="2813" t="s">
        <v>2905</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3087</v>
      </c>
      <c r="C21" s="2958">
        <f>IF(B21="容积率修正",IF(G3&lt;=10,D22,J22),C23)</f>
        <v>1.8629</v>
      </c>
      <c r="D21" s="2816"/>
      <c r="E21" s="2816"/>
      <c r="F21" s="2816"/>
      <c r="G21" s="2816"/>
      <c r="H21" s="2816"/>
      <c r="I21" s="2816"/>
      <c r="J21" s="2817"/>
      <c r="K21" s="1377"/>
      <c r="N21" s="2818" t="s">
        <v>2906</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41" customFormat="1" ht="14.25">
      <c r="A22" s="2667" t="s">
        <v>2907</v>
      </c>
      <c r="B22" s="2819" t="s">
        <v>2908</v>
      </c>
      <c r="C22" s="2957" t="s">
        <v>2909</v>
      </c>
      <c r="D22" s="2957">
        <f>IF(E22=G22,F22,IF(G3&lt;=10,ROUND(F22+(H22-F22)*(G3-E22)/(G22-E22),4),"——"))</f>
        <v>0.83750000000000002</v>
      </c>
      <c r="E22" s="913">
        <f>ROUNDDOWN(G3,1)</f>
        <v>4.5</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913">
        <f>ROUNDUP(G3,1)</f>
        <v>4.5999999999999996</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57" t="s">
        <v>155</v>
      </c>
      <c r="J22" s="938" t="str">
        <f>IF(G3&gt;10,D113,"——")</f>
        <v>——</v>
      </c>
      <c r="K22" s="1377"/>
      <c r="N22" s="2818" t="s">
        <v>2910</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7" t="s">
        <v>2911</v>
      </c>
      <c r="B23" s="2820" t="s">
        <v>2912</v>
      </c>
      <c r="C23" s="1013">
        <f>ROUND(IF(G3&gt;1,IF(I3&lt;7,SUMPRODUCT((B93:B98=I3)*(C92:N92=G2)*(C93:N98)),SUMIF(C92:N92,G2,C100:N100)),IF(I3&lt;7,SUMPRODUCT((B102:B107=I3)*(C92:N92=G2)*(C102:N107)),SUMIF(C92:N92,G2,C109:N109))),4)</f>
        <v>1.8629</v>
      </c>
      <c r="D23" s="2776"/>
      <c r="E23" s="2776"/>
      <c r="F23" s="2821"/>
      <c r="G23" s="2822"/>
      <c r="H23" s="2823"/>
      <c r="I23" s="2824"/>
      <c r="J23" s="2825"/>
      <c r="K23" s="1370"/>
      <c r="N23" s="2818" t="s">
        <v>2913</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2914</v>
      </c>
      <c r="C24" s="924">
        <f>SUMIF(A45:A88,E2,B45:B88)</f>
        <v>1.1088</v>
      </c>
      <c r="D24" s="2796"/>
      <c r="E24" s="2826"/>
      <c r="F24" s="2826"/>
      <c r="G24" s="2826"/>
      <c r="H24" s="2826"/>
      <c r="I24" s="2826"/>
      <c r="J24" s="2827"/>
      <c r="K24" s="1377"/>
      <c r="N24" s="2828" t="s">
        <v>2915</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2916</v>
      </c>
      <c r="C25" s="930"/>
      <c r="D25" s="2751"/>
      <c r="E25" s="2751"/>
      <c r="F25" s="2830"/>
      <c r="G25" s="2751"/>
      <c r="H25" s="2751"/>
      <c r="I25" s="2751"/>
      <c r="J25" s="2752"/>
      <c r="K25" s="1370"/>
      <c r="N25" s="2831" t="s">
        <v>2917</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32"/>
      <c r="B26" s="2819" t="s">
        <v>2918</v>
      </c>
      <c r="C26" s="206">
        <f ca="1">E29+SUM(E33:E39)</f>
        <v>6645</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2919</v>
      </c>
      <c r="C27" s="931" t="e">
        <f ca="1">E30+SUM(I33:I39)</f>
        <v>#DIV/0!</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2920</v>
      </c>
      <c r="C28" s="2843" t="s">
        <v>2921</v>
      </c>
      <c r="D28" s="2843" t="s">
        <v>2922</v>
      </c>
      <c r="E28" s="2844" t="s">
        <v>2923</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2924</v>
      </c>
      <c r="C29" s="206">
        <f ca="1">ROUND(C5*C18*C19*C20*C21*C24,0)</f>
        <v>26425</v>
      </c>
      <c r="D29" s="2848">
        <f>面积表及商业修正表!K3</f>
        <v>1175.17</v>
      </c>
      <c r="E29" s="2962">
        <f ca="1">ROUND(C29*D29/10000,0)</f>
        <v>3105</v>
      </c>
      <c r="F29" s="2849" t="s">
        <v>2925</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2926</v>
      </c>
      <c r="C30" s="229">
        <f ca="1">ROUND(IF(E2="工业",C29*M39,C29*M38),0)</f>
        <v>6606</v>
      </c>
      <c r="D30" s="2854"/>
      <c r="E30" s="2962">
        <f ca="1">ROUND(C30*D30/10000,0)</f>
        <v>0</v>
      </c>
      <c r="F30" s="2855" t="s">
        <v>2927</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257" t="s">
        <v>2932</v>
      </c>
      <c r="B33" s="2864" t="s">
        <v>2933</v>
      </c>
      <c r="C33" s="206">
        <f ca="1">ROUND(D5*C19*C20*C24*F33,0)</f>
        <v>9027</v>
      </c>
      <c r="D33" s="2848">
        <f>'数据-汇总表'!G20</f>
        <v>3921.88</v>
      </c>
      <c r="E33" s="200">
        <f ca="1">ROUND(C33*D33/10000,0)</f>
        <v>3540</v>
      </c>
      <c r="F33" s="200">
        <f>SUMIF(修正!A45:A56,G2,修正!B45:B56)</f>
        <v>0.7</v>
      </c>
      <c r="G33" s="200">
        <f t="shared" ref="G33:G39" ca="1" si="6">ROUND(IF(E2="工业",C33*$M$39,C33*$M$38),0)</f>
        <v>2257</v>
      </c>
      <c r="H33" s="200">
        <f>D33</f>
        <v>3921.88</v>
      </c>
      <c r="I33" s="200">
        <f ca="1">ROUND(G33*H33/10000,0)</f>
        <v>885</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8" t="s">
        <v>2934</v>
      </c>
      <c r="C34" s="206">
        <f ca="1">ROUND(D5*C19*C20*C24*F34,0)</f>
        <v>5158</v>
      </c>
      <c r="D34" s="2848"/>
      <c r="E34" s="200">
        <f t="shared" ref="E34:E39" ca="1" si="7">ROUND(C34*D34/10000,0)</f>
        <v>0</v>
      </c>
      <c r="F34" s="200">
        <f>SUMIF(修正!A45:A56,G2,修正!C45:C56)</f>
        <v>0.4</v>
      </c>
      <c r="G34" s="200">
        <f t="shared" ca="1" si="6"/>
        <v>1290</v>
      </c>
      <c r="H34" s="200">
        <f t="shared" ref="H34:H39" si="8">D34</f>
        <v>0</v>
      </c>
      <c r="I34" s="200">
        <f t="shared" ref="I34:I39" ca="1" si="9">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8" t="s">
        <v>2935</v>
      </c>
      <c r="C35" s="206">
        <f ca="1">ROUND(D5*C19*C20*C24*F35,0)</f>
        <v>3611</v>
      </c>
      <c r="D35" s="2848"/>
      <c r="E35" s="200">
        <f t="shared" ca="1" si="7"/>
        <v>0</v>
      </c>
      <c r="F35" s="200">
        <f>SUMIF(修正!A45:A56,G2,修正!D45:D56)</f>
        <v>0.28000000000000003</v>
      </c>
      <c r="G35" s="200">
        <f t="shared" ca="1" si="6"/>
        <v>903</v>
      </c>
      <c r="H35" s="200">
        <f t="shared" si="8"/>
        <v>0</v>
      </c>
      <c r="I35" s="200">
        <f t="shared" ca="1" si="9"/>
        <v>0</v>
      </c>
      <c r="J35" s="2865"/>
      <c r="K35" s="1370"/>
      <c r="L35" s="1370"/>
      <c r="M35" s="1370"/>
      <c r="N35" s="1370"/>
      <c r="O35" s="1370"/>
      <c r="P35" s="1370"/>
      <c r="Q35" s="1370"/>
      <c r="R35" s="1370"/>
      <c r="S35" s="1370"/>
      <c r="T35" s="1370"/>
      <c r="U35" s="1370"/>
      <c r="V35" s="1370"/>
      <c r="W35" s="1370"/>
      <c r="X35" s="1370"/>
      <c r="Y35" s="1370"/>
      <c r="Z35" s="1371"/>
    </row>
    <row r="36" spans="1:37" ht="13.5" thickBot="1">
      <c r="A36" s="3259"/>
      <c r="B36" s="2768" t="s">
        <v>2936</v>
      </c>
      <c r="C36" s="206">
        <f ca="1">ROUND(D5*C19*C20*C24*F36,0)</f>
        <v>3224</v>
      </c>
      <c r="D36" s="2848"/>
      <c r="E36" s="200">
        <f t="shared" ca="1" si="7"/>
        <v>0</v>
      </c>
      <c r="F36" s="200">
        <f>SUMIF(修正!A45:A56,G2,修正!E45:E56)</f>
        <v>0.25</v>
      </c>
      <c r="G36" s="200">
        <f t="shared" ca="1" si="6"/>
        <v>806</v>
      </c>
      <c r="H36" s="200">
        <f t="shared" si="8"/>
        <v>0</v>
      </c>
      <c r="I36" s="200">
        <f t="shared" ca="1" si="9"/>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2937</v>
      </c>
      <c r="C37" s="200">
        <f ca="1">ROUND(C5*C19*C20*C24*F37,0)</f>
        <v>3224</v>
      </c>
      <c r="D37" s="2848"/>
      <c r="E37" s="200">
        <f t="shared" ca="1" si="7"/>
        <v>0</v>
      </c>
      <c r="F37" s="206">
        <f>SUMIF(修正!A45:A56,G2,修正!F45:F56)</f>
        <v>0.25</v>
      </c>
      <c r="G37" s="200">
        <f t="shared" ca="1" si="6"/>
        <v>806</v>
      </c>
      <c r="H37" s="200">
        <f t="shared" si="8"/>
        <v>0</v>
      </c>
      <c r="I37" s="200">
        <f t="shared" ca="1" si="9"/>
        <v>0</v>
      </c>
      <c r="J37" s="2865"/>
      <c r="K37" s="1370"/>
      <c r="L37" s="2867" t="s">
        <v>2938</v>
      </c>
      <c r="M37" s="2868"/>
      <c r="N37" s="1370"/>
      <c r="O37" s="1370"/>
      <c r="P37" s="1370"/>
      <c r="Q37" s="1370"/>
      <c r="R37" s="1370"/>
      <c r="S37" s="1370"/>
      <c r="T37" s="1370"/>
      <c r="U37" s="1370"/>
      <c r="V37" s="1370"/>
      <c r="W37" s="1370"/>
      <c r="X37" s="1370"/>
      <c r="Y37" s="1370"/>
      <c r="Z37" s="1371"/>
    </row>
    <row r="38" spans="1:37">
      <c r="A38" s="2866"/>
      <c r="B38" s="2768" t="s">
        <v>2939</v>
      </c>
      <c r="C38" s="200">
        <f ca="1">ROUND(C5*C19*C20*C24*F38,0)</f>
        <v>3224</v>
      </c>
      <c r="D38" s="2848"/>
      <c r="E38" s="200">
        <f t="shared" ca="1" si="7"/>
        <v>0</v>
      </c>
      <c r="F38" s="206">
        <f>SUMIF(修正!A45:A56,G2,修正!G45:G56)</f>
        <v>0.25</v>
      </c>
      <c r="G38" s="200">
        <f t="shared" ca="1" si="6"/>
        <v>806</v>
      </c>
      <c r="H38" s="200">
        <f t="shared" si="8"/>
        <v>0</v>
      </c>
      <c r="I38" s="200">
        <f t="shared" ca="1" si="9"/>
        <v>0</v>
      </c>
      <c r="J38" s="2865"/>
      <c r="K38" s="1370"/>
      <c r="L38" s="1887" t="s">
        <v>2940</v>
      </c>
      <c r="M38" s="2869">
        <v>0.25</v>
      </c>
      <c r="N38" s="1370"/>
      <c r="O38" s="1370"/>
      <c r="P38" s="1370"/>
      <c r="Q38" s="1370"/>
      <c r="R38" s="1370"/>
      <c r="S38" s="1370"/>
      <c r="T38" s="1370"/>
      <c r="U38" s="1370"/>
      <c r="V38" s="1370"/>
      <c r="W38" s="1370"/>
      <c r="X38" s="1370"/>
      <c r="Y38" s="1370"/>
      <c r="Z38" s="1371"/>
    </row>
    <row r="39" spans="1:37" ht="13.5" thickBot="1">
      <c r="A39" s="2852"/>
      <c r="B39" s="2870" t="s">
        <v>2941</v>
      </c>
      <c r="C39" s="229">
        <f ca="1">ROUND(C5*C19*C20*C24*F39,0)</f>
        <v>2579</v>
      </c>
      <c r="D39" s="2854"/>
      <c r="E39" s="229">
        <f t="shared" ca="1" si="7"/>
        <v>0</v>
      </c>
      <c r="F39" s="932">
        <f>SUMIF(修正!A45:A56,G2,修正!H45:H56)</f>
        <v>0.2</v>
      </c>
      <c r="G39" s="229" t="e">
        <f t="shared" si="6"/>
        <v>#DIV/0!</v>
      </c>
      <c r="H39" s="229">
        <f t="shared" si="8"/>
        <v>0</v>
      </c>
      <c r="I39" s="229" t="e">
        <f t="shared" si="9"/>
        <v>#DIV/0!</v>
      </c>
      <c r="J39" s="2871"/>
      <c r="K39" s="1370"/>
      <c r="L39" s="2872" t="s">
        <v>2884</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2942</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2943</v>
      </c>
      <c r="B46" s="2878">
        <f>1+E48</f>
        <v>1.1088</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2944</v>
      </c>
      <c r="B47" s="2951" t="s">
        <v>2945</v>
      </c>
      <c r="C47" s="2951" t="s">
        <v>2946</v>
      </c>
      <c r="D47" s="2951" t="s">
        <v>2947</v>
      </c>
      <c r="E47" s="816" t="s">
        <v>2948</v>
      </c>
      <c r="F47" s="2882" t="s">
        <v>2949</v>
      </c>
      <c r="G47" s="2951" t="s">
        <v>754</v>
      </c>
      <c r="H47" s="2883" t="s">
        <v>2950</v>
      </c>
      <c r="I47" s="2951" t="s">
        <v>2951</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2952</v>
      </c>
      <c r="B48" s="2884" t="str">
        <f>估价对象房地状况!C4</f>
        <v>估价对象位于XX商圈，周边商业氛围成熟，人流量大，商业繁华度好</v>
      </c>
      <c r="C48" s="2773" t="s">
        <v>3082</v>
      </c>
      <c r="D48" s="1286">
        <f t="shared" ref="D48:D56" si="10">SUMIF($J$47:$N$47,C48,J48:N48)</f>
        <v>4.1399999999999999E-2</v>
      </c>
      <c r="E48" s="818">
        <f>ROUND(SUM(D48:D56),4)</f>
        <v>0.10879999999999999</v>
      </c>
      <c r="F48" s="2504">
        <f>IF(E2="商业",SUMIF(L1:L12,G2,N1:N12),"——")</f>
        <v>0.126</v>
      </c>
      <c r="G48" s="1284">
        <v>2.07E-2</v>
      </c>
      <c r="H48" s="1288">
        <f t="shared" ref="G48:H56" si="11">IFERROR(ROUNDDOWN($F$48*I48/2,4),"——")</f>
        <v>2.07E-2</v>
      </c>
      <c r="I48" s="817">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81" t="s">
        <v>2953</v>
      </c>
      <c r="B49" s="2885" t="str">
        <f>估价对象房地状况!C18</f>
        <v>估价对象周边道路状况、公共交通通达情况、停车便捷程度，综合评价交通便捷度较好</v>
      </c>
      <c r="C49" s="2773" t="s">
        <v>3082</v>
      </c>
      <c r="D49" s="1286">
        <f t="shared" si="10"/>
        <v>3.1399999999999997E-2</v>
      </c>
      <c r="E49" s="819"/>
      <c r="F49" s="2504"/>
      <c r="G49" s="1284">
        <v>1.5699999999999999E-2</v>
      </c>
      <c r="H49" s="1288">
        <f t="shared" si="11"/>
        <v>1.5699999999999999E-2</v>
      </c>
      <c r="I49" s="817">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81" t="s">
        <v>2954</v>
      </c>
      <c r="B50" s="2885">
        <f>估价对象房地状况!C19</f>
        <v>0</v>
      </c>
      <c r="C50" s="2773" t="s">
        <v>3083</v>
      </c>
      <c r="D50" s="1286">
        <f t="shared" si="10"/>
        <v>3.0999999999999999E-3</v>
      </c>
      <c r="E50" s="819"/>
      <c r="F50" s="2504"/>
      <c r="G50" s="1284">
        <v>3.0999999999999999E-3</v>
      </c>
      <c r="H50" s="1288">
        <f t="shared" si="11"/>
        <v>3.0999999999999999E-3</v>
      </c>
      <c r="I50" s="817">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81" t="s">
        <v>2955</v>
      </c>
      <c r="B51" s="2886" t="s">
        <v>2956</v>
      </c>
      <c r="C51" s="2773" t="s">
        <v>3083</v>
      </c>
      <c r="D51" s="1286">
        <f t="shared" si="10"/>
        <v>3.0999999999999999E-3</v>
      </c>
      <c r="E51" s="819"/>
      <c r="F51" s="2504"/>
      <c r="G51" s="1284">
        <v>3.0999999999999999E-3</v>
      </c>
      <c r="H51" s="1288">
        <f t="shared" si="11"/>
        <v>3.0999999999999999E-3</v>
      </c>
      <c r="I51" s="817">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81" t="s">
        <v>2957</v>
      </c>
      <c r="B52" s="2885">
        <f>估价对象房地状况!C24</f>
        <v>0</v>
      </c>
      <c r="C52" s="2773" t="s">
        <v>3084</v>
      </c>
      <c r="D52" s="1286">
        <f t="shared" si="10"/>
        <v>0</v>
      </c>
      <c r="E52" s="819"/>
      <c r="F52" s="2504"/>
      <c r="G52" s="1284">
        <v>5.0000000000000001E-3</v>
      </c>
      <c r="H52" s="1288">
        <f t="shared" si="11"/>
        <v>5.0000000000000001E-3</v>
      </c>
      <c r="I52" s="817">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81" t="s">
        <v>2958</v>
      </c>
      <c r="B53" s="2887" t="s">
        <v>2959</v>
      </c>
      <c r="C53" s="2773" t="s">
        <v>3082</v>
      </c>
      <c r="D53" s="1286">
        <f t="shared" si="10"/>
        <v>3.5999999999999999E-3</v>
      </c>
      <c r="E53" s="819"/>
      <c r="F53" s="2504"/>
      <c r="G53" s="1284">
        <v>1.8E-3</v>
      </c>
      <c r="H53" s="1288">
        <f t="shared" si="11"/>
        <v>1.8E-3</v>
      </c>
      <c r="I53" s="817">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88" t="s">
        <v>2960</v>
      </c>
      <c r="B54" s="1725" t="str">
        <f>估价对象房地状况!C21</f>
        <v>估价对象所在区域公共配套设施齐备情况</v>
      </c>
      <c r="C54" s="2773" t="s">
        <v>3082</v>
      </c>
      <c r="D54" s="1286">
        <f t="shared" si="10"/>
        <v>6.1999999999999998E-3</v>
      </c>
      <c r="E54" s="819"/>
      <c r="F54" s="2504"/>
      <c r="G54" s="1284">
        <v>3.0999999999999999E-3</v>
      </c>
      <c r="H54" s="1288">
        <f t="shared" si="11"/>
        <v>3.0999999999999999E-3</v>
      </c>
      <c r="I54" s="817">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88" t="s">
        <v>2961</v>
      </c>
      <c r="B55" s="2885" t="str">
        <f>估价对象房地状况!C22</f>
        <v>估价对象所在区域基础设施水平</v>
      </c>
      <c r="C55" s="2773" t="s">
        <v>3082</v>
      </c>
      <c r="D55" s="1286">
        <f t="shared" si="10"/>
        <v>1.26E-2</v>
      </c>
      <c r="E55" s="819"/>
      <c r="F55" s="2504"/>
      <c r="G55" s="1284">
        <v>6.3E-3</v>
      </c>
      <c r="H55" s="1288">
        <f t="shared" si="11"/>
        <v>6.3E-3</v>
      </c>
      <c r="I55" s="817">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89" t="s">
        <v>2962</v>
      </c>
      <c r="B56" s="2890" t="str">
        <f>估价对象房地状况!C20</f>
        <v>区域自然环境：；人文环境；综合评价环境状况一般</v>
      </c>
      <c r="C56" s="2773" t="s">
        <v>3082</v>
      </c>
      <c r="D56" s="1286">
        <f t="shared" si="10"/>
        <v>7.4000000000000003E-3</v>
      </c>
      <c r="E56" s="822"/>
      <c r="F56" s="2504"/>
      <c r="G56" s="1284">
        <v>3.7000000000000002E-3</v>
      </c>
      <c r="H56" s="1288">
        <f t="shared" si="11"/>
        <v>3.7000000000000002E-3</v>
      </c>
      <c r="I56" s="821">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77" t="s">
        <v>2963</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2944</v>
      </c>
      <c r="B58" s="2951"/>
      <c r="C58" s="2951" t="s">
        <v>2946</v>
      </c>
      <c r="D58" s="2951" t="s">
        <v>2947</v>
      </c>
      <c r="E58" s="816" t="s">
        <v>2948</v>
      </c>
      <c r="F58" s="2882" t="s">
        <v>2964</v>
      </c>
      <c r="G58" s="2951" t="s">
        <v>754</v>
      </c>
      <c r="H58" s="2883" t="s">
        <v>2950</v>
      </c>
      <c r="I58" s="2951" t="s">
        <v>2951</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2965</v>
      </c>
      <c r="B59" s="2884" t="str">
        <f>估价对象房地状况!C17</f>
        <v>估价对象位于XX商圈，周边办公楼项目较多，入驻率高，办公集聚程度较好</v>
      </c>
      <c r="C59" s="2773"/>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1" t="s">
        <v>2953</v>
      </c>
      <c r="B60" s="2885" t="str">
        <f>估价对象房地状况!C18</f>
        <v>估价对象周边道路状况、公共交通通达情况、停车便捷程度，综合评价交通便捷度较好</v>
      </c>
      <c r="C60" s="2773"/>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1" t="s">
        <v>2954</v>
      </c>
      <c r="B61" s="2885">
        <f>估价对象房地状况!C19</f>
        <v>0</v>
      </c>
      <c r="C61" s="2773"/>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1" t="s">
        <v>2955</v>
      </c>
      <c r="B62" s="2886" t="s">
        <v>2956</v>
      </c>
      <c r="C62" s="2773"/>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1" t="s">
        <v>2957</v>
      </c>
      <c r="B63" s="2885">
        <f>估价对象房地状况!C24</f>
        <v>0</v>
      </c>
      <c r="C63" s="2773"/>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1" t="s">
        <v>2958</v>
      </c>
      <c r="B64" s="2887" t="s">
        <v>2959</v>
      </c>
      <c r="C64" s="2773"/>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1" t="s">
        <v>2960</v>
      </c>
      <c r="B65" s="1725" t="str">
        <f>估价对象房地状况!C21</f>
        <v>估价对象所在区域公共配套设施齐备情况</v>
      </c>
      <c r="C65" s="2773"/>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1" t="s">
        <v>2961</v>
      </c>
      <c r="B66" s="1725" t="str">
        <f>估价对象房地状况!C22</f>
        <v>估价对象所在区域基础设施水平</v>
      </c>
      <c r="C66" s="2773"/>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9" t="s">
        <v>2962</v>
      </c>
      <c r="B67" s="2891" t="str">
        <f>估价对象房地状况!C20</f>
        <v>区域自然环境：；人文环境；综合评价环境状况一般</v>
      </c>
      <c r="C67" s="2773"/>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7" t="s">
        <v>2966</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2944</v>
      </c>
      <c r="B69" s="2951"/>
      <c r="C69" s="2951" t="s">
        <v>2946</v>
      </c>
      <c r="D69" s="2951" t="s">
        <v>2947</v>
      </c>
      <c r="E69" s="816" t="s">
        <v>2948</v>
      </c>
      <c r="F69" s="2882" t="s">
        <v>2964</v>
      </c>
      <c r="G69" s="2951" t="s">
        <v>754</v>
      </c>
      <c r="H69" s="2883" t="s">
        <v>2950</v>
      </c>
      <c r="I69" s="2951" t="s">
        <v>2951</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2967</v>
      </c>
      <c r="B70" s="2884" t="str">
        <f>估价对象房地状况!C15</f>
        <v>估价对象周边居住用地比例、居住小区规模和社区发展完善程度，综合评价居住社区成熟度一般</v>
      </c>
      <c r="C70" s="2773"/>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1" t="s">
        <v>2953</v>
      </c>
      <c r="B71" s="2885" t="str">
        <f>估价对象房地状况!C18</f>
        <v>估价对象周边道路状况、公共交通通达情况、停车便捷程度，综合评价交通便捷度较好</v>
      </c>
      <c r="C71" s="2773"/>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1" t="s">
        <v>2954</v>
      </c>
      <c r="B72" s="2885">
        <f>估价对象房地状况!C19</f>
        <v>0</v>
      </c>
      <c r="C72" s="2773"/>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1" t="s">
        <v>2968</v>
      </c>
      <c r="B73" s="2885">
        <f>估价对象房地状况!C24</f>
        <v>0</v>
      </c>
      <c r="C73" s="2773"/>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1" t="s">
        <v>2960</v>
      </c>
      <c r="B74" s="1725" t="str">
        <f>估价对象房地状况!C21</f>
        <v>估价对象所在区域公共配套设施齐备情况</v>
      </c>
      <c r="C74" s="2773"/>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1" t="s">
        <v>2961</v>
      </c>
      <c r="B75" s="1725" t="str">
        <f>估价对象房地状况!C22</f>
        <v>估价对象所在区域基础设施水平</v>
      </c>
      <c r="C75" s="2773"/>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1" t="s">
        <v>2958</v>
      </c>
      <c r="B76" s="2887" t="s">
        <v>2959</v>
      </c>
      <c r="C76" s="2773"/>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2"/>
      <c r="AB76" s="1371"/>
      <c r="AC76" s="1371"/>
      <c r="AD76" s="1371"/>
      <c r="AE76" s="1371"/>
      <c r="AF76" s="1371"/>
      <c r="AG76" s="1371"/>
      <c r="AH76" s="2892"/>
      <c r="AI76" s="2892"/>
      <c r="AJ76" s="2892"/>
      <c r="AK76" s="2892"/>
    </row>
    <row r="77" spans="1:37" ht="38.25">
      <c r="A77" s="2881" t="s">
        <v>2962</v>
      </c>
      <c r="B77" s="2884" t="str">
        <f>估价对象房地状况!C20</f>
        <v>区域自然环境：；人文环境；综合评价环境状况一般</v>
      </c>
      <c r="C77" s="2773"/>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9"/>
      <c r="AG77" s="1372"/>
      <c r="AK77" s="2799"/>
    </row>
    <row r="78" spans="1:37" ht="24.75" thickBot="1">
      <c r="A78" s="2889" t="s">
        <v>2969</v>
      </c>
      <c r="B78" s="2893"/>
      <c r="C78" s="2773"/>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9"/>
      <c r="AG78" s="1372"/>
      <c r="AK78" s="2799"/>
    </row>
    <row r="79" spans="1:37" ht="15">
      <c r="A79" s="2877" t="s">
        <v>2970</v>
      </c>
      <c r="B79" s="2878">
        <f>1+E81</f>
        <v>1</v>
      </c>
      <c r="C79" s="811"/>
      <c r="D79" s="811"/>
      <c r="E79" s="812"/>
      <c r="F79" s="2880"/>
      <c r="G79" s="6"/>
      <c r="H79" s="6"/>
      <c r="I79" s="6"/>
      <c r="J79" s="7"/>
      <c r="K79" s="7"/>
      <c r="L79" s="7"/>
      <c r="M79" s="7"/>
      <c r="N79" s="7"/>
      <c r="Z79" s="2723"/>
      <c r="AA79" s="2799"/>
      <c r="AG79" s="1372"/>
      <c r="AK79" s="2799"/>
    </row>
    <row r="80" spans="1:37" ht="24.75">
      <c r="A80" s="2881" t="s">
        <v>2944</v>
      </c>
      <c r="B80" s="2951"/>
      <c r="C80" s="2951" t="s">
        <v>2946</v>
      </c>
      <c r="D80" s="2951" t="s">
        <v>2947</v>
      </c>
      <c r="E80" s="816" t="s">
        <v>2948</v>
      </c>
      <c r="F80" s="2882" t="s">
        <v>2964</v>
      </c>
      <c r="G80" s="2951" t="s">
        <v>754</v>
      </c>
      <c r="H80" s="2883" t="s">
        <v>2950</v>
      </c>
      <c r="I80" s="2951" t="s">
        <v>2951</v>
      </c>
      <c r="J80" s="603" t="s">
        <v>2600</v>
      </c>
      <c r="K80" s="603" t="s">
        <v>2601</v>
      </c>
      <c r="L80" s="603" t="s">
        <v>2602</v>
      </c>
      <c r="M80" s="603" t="s">
        <v>2603</v>
      </c>
      <c r="N80" s="603" t="s">
        <v>2604</v>
      </c>
      <c r="Z80" s="2723"/>
      <c r="AA80" s="2799"/>
      <c r="AG80" s="1372"/>
      <c r="AK80" s="2799"/>
    </row>
    <row r="81" spans="1:37" ht="38.25">
      <c r="A81" s="2881" t="s">
        <v>2971</v>
      </c>
      <c r="B81" s="2885" t="str">
        <f>估价对象房地状况!G15</f>
        <v>估价对象位于XX开发区，园区建设成熟度XX，产业集聚程度XX</v>
      </c>
      <c r="C81" s="2773"/>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9"/>
      <c r="AG81" s="1372"/>
      <c r="AK81" s="2799"/>
    </row>
    <row r="82" spans="1:37" ht="51">
      <c r="A82" s="2881" t="s">
        <v>2953</v>
      </c>
      <c r="B82" s="2885" t="str">
        <f>估价对象房地状况!G16</f>
        <v>估价对象周边道路状况、公共交通通达情况、停车便捷程度，综合评价交通便捷度较好</v>
      </c>
      <c r="C82" s="2773"/>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9"/>
      <c r="AG82" s="1372"/>
      <c r="AK82" s="2799"/>
    </row>
    <row r="83" spans="1:37" ht="24">
      <c r="A83" s="2881" t="s">
        <v>2954</v>
      </c>
      <c r="B83" s="2885">
        <f>估价对象房地状况!G17</f>
        <v>0</v>
      </c>
      <c r="C83" s="2773"/>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9"/>
      <c r="AG83" s="1372"/>
      <c r="AK83" s="2799"/>
    </row>
    <row r="84" spans="1:37" ht="14.25">
      <c r="A84" s="2881" t="s">
        <v>2968</v>
      </c>
      <c r="B84" s="2885">
        <f>估价对象房地状况!G22</f>
        <v>0</v>
      </c>
      <c r="C84" s="2773"/>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9"/>
      <c r="AG84" s="1372"/>
      <c r="AK84" s="2799"/>
    </row>
    <row r="85" spans="1:37" ht="25.5">
      <c r="A85" s="2881" t="s">
        <v>2960</v>
      </c>
      <c r="B85" s="1725" t="str">
        <f>估价对象房地状况!G19</f>
        <v>估价对象所在区域公共配套设施齐备情况</v>
      </c>
      <c r="C85" s="2773"/>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9"/>
      <c r="AG85" s="1372"/>
      <c r="AK85" s="2799"/>
    </row>
    <row r="86" spans="1:37" ht="25.5">
      <c r="A86" s="2881" t="s">
        <v>2961</v>
      </c>
      <c r="B86" s="1725" t="str">
        <f>估价对象房地状况!G20</f>
        <v>估价对象所在区域基础设施水平</v>
      </c>
      <c r="C86" s="2773"/>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9"/>
      <c r="AG86" s="1372"/>
      <c r="AK86" s="2799"/>
    </row>
    <row r="87" spans="1:37" ht="24">
      <c r="A87" s="2881" t="s">
        <v>2958</v>
      </c>
      <c r="B87" s="2887" t="s">
        <v>2972</v>
      </c>
      <c r="C87" s="2773"/>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9"/>
      <c r="AG87" s="1372"/>
      <c r="AK87" s="2799"/>
    </row>
    <row r="88" spans="1:37" ht="39" thickBot="1">
      <c r="A88" s="2889" t="s">
        <v>2973</v>
      </c>
      <c r="B88" s="2894" t="str">
        <f>估价对象房地状况!G18</f>
        <v>该园区内是否有污染型企业，绿化情况，卫生条件，整体环境状况判断</v>
      </c>
      <c r="C88" s="2773"/>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9"/>
      <c r="AG88" s="1372"/>
      <c r="AK88" s="2799"/>
    </row>
    <row r="90" spans="1:37">
      <c r="A90" s="3251" t="s">
        <v>2974</v>
      </c>
      <c r="B90" s="3251"/>
      <c r="C90" s="3251"/>
      <c r="D90" s="3251"/>
      <c r="E90" s="3251"/>
      <c r="F90" s="3251"/>
      <c r="G90" s="3251"/>
      <c r="H90" s="3251"/>
      <c r="I90" s="3251"/>
      <c r="J90" s="3251"/>
      <c r="K90" s="2960"/>
      <c r="L90" s="2960"/>
      <c r="M90" s="2960"/>
      <c r="N90" s="2960"/>
    </row>
    <row r="91" spans="1:37">
      <c r="A91" s="3253" t="s">
        <v>2975</v>
      </c>
      <c r="B91" s="3253" t="s">
        <v>2976</v>
      </c>
      <c r="C91" s="2849" t="s">
        <v>2977</v>
      </c>
      <c r="D91" s="2850"/>
      <c r="E91" s="2850"/>
      <c r="F91" s="2850"/>
      <c r="G91" s="2850"/>
      <c r="H91" s="2850"/>
      <c r="I91" s="2850"/>
      <c r="J91" s="2896"/>
      <c r="K91" s="2897"/>
      <c r="L91" s="2897"/>
      <c r="M91" s="2897"/>
      <c r="N91" s="2897"/>
    </row>
    <row r="92" spans="1:37">
      <c r="A92" s="3253"/>
      <c r="B92" s="3253"/>
      <c r="C92" s="2962" t="s">
        <v>2843</v>
      </c>
      <c r="D92" s="2962" t="s">
        <v>2844</v>
      </c>
      <c r="E92" s="2962" t="s">
        <v>2845</v>
      </c>
      <c r="F92" s="2962" t="s">
        <v>2846</v>
      </c>
      <c r="G92" s="2962" t="s">
        <v>2847</v>
      </c>
      <c r="H92" s="2962" t="s">
        <v>2848</v>
      </c>
      <c r="I92" s="2962" t="s">
        <v>2849</v>
      </c>
      <c r="J92" s="2962" t="s">
        <v>2850</v>
      </c>
      <c r="K92" s="2962" t="s">
        <v>2851</v>
      </c>
      <c r="L92" s="2962" t="s">
        <v>2852</v>
      </c>
      <c r="M92" s="2962" t="s">
        <v>2853</v>
      </c>
      <c r="N92" s="2962" t="s">
        <v>2854</v>
      </c>
    </row>
    <row r="93" spans="1:37">
      <c r="A93" s="3254"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5"/>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5"/>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5"/>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5"/>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5"/>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5"/>
      <c r="B99" s="2898" t="s">
        <v>2859</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256"/>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254" t="s">
        <v>2979</v>
      </c>
      <c r="B101" s="2902" t="s">
        <v>2980</v>
      </c>
      <c r="C101" s="2903">
        <f>$G$3</f>
        <v>4.59</v>
      </c>
      <c r="D101" s="2903">
        <f t="shared" ref="D101:N101" si="31">$G$3</f>
        <v>4.59</v>
      </c>
      <c r="E101" s="2903">
        <f t="shared" si="31"/>
        <v>4.59</v>
      </c>
      <c r="F101" s="2903">
        <f t="shared" si="31"/>
        <v>4.59</v>
      </c>
      <c r="G101" s="2903">
        <f t="shared" si="31"/>
        <v>4.59</v>
      </c>
      <c r="H101" s="2903">
        <f t="shared" si="31"/>
        <v>4.59</v>
      </c>
      <c r="I101" s="2903">
        <f t="shared" si="31"/>
        <v>4.59</v>
      </c>
      <c r="J101" s="2903">
        <f t="shared" si="31"/>
        <v>4.59</v>
      </c>
      <c r="K101" s="2903">
        <f t="shared" si="31"/>
        <v>4.59</v>
      </c>
      <c r="L101" s="2903">
        <f t="shared" si="31"/>
        <v>4.59</v>
      </c>
      <c r="M101" s="2903">
        <f t="shared" si="31"/>
        <v>4.59</v>
      </c>
      <c r="N101" s="2903">
        <f t="shared" si="31"/>
        <v>4.59</v>
      </c>
    </row>
    <row r="102" spans="1:14">
      <c r="A102" s="3255"/>
      <c r="B102" s="2898">
        <v>1</v>
      </c>
      <c r="C102" s="2899">
        <f>1.9362/C101</f>
        <v>0.42183006535947715</v>
      </c>
      <c r="D102" s="2899">
        <f>1.9362/D101</f>
        <v>0.42183006535947715</v>
      </c>
      <c r="E102" s="2899">
        <f>1.8629/E101</f>
        <v>0.40586056644880175</v>
      </c>
      <c r="F102" s="2899">
        <f>1.8629/F101</f>
        <v>0.40586056644880175</v>
      </c>
      <c r="G102" s="2899">
        <f>1.8629/G101</f>
        <v>0.40586056644880175</v>
      </c>
      <c r="H102" s="2899">
        <f>1.8629/H101</f>
        <v>0.40586056644880175</v>
      </c>
      <c r="I102" s="2899">
        <f>1.8629/I101</f>
        <v>0.40586056644880175</v>
      </c>
      <c r="J102" s="2899">
        <f>1.942/J101</f>
        <v>0.42309368191721131</v>
      </c>
      <c r="K102" s="2899">
        <f>1.942/K101</f>
        <v>0.42309368191721131</v>
      </c>
      <c r="L102" s="2899">
        <f>1.942/L101</f>
        <v>0.42309368191721131</v>
      </c>
      <c r="M102" s="2899">
        <f>1.942/M101</f>
        <v>0.42309368191721131</v>
      </c>
      <c r="N102" s="2899">
        <f>1.942/N101</f>
        <v>0.42309368191721131</v>
      </c>
    </row>
    <row r="103" spans="1:14">
      <c r="A103" s="3255"/>
      <c r="B103" s="2898">
        <v>2</v>
      </c>
      <c r="C103" s="2899">
        <f>1.4198/C101</f>
        <v>0.30932461873638345</v>
      </c>
      <c r="D103" s="2899">
        <f>1.4198/D101</f>
        <v>0.30932461873638345</v>
      </c>
      <c r="E103" s="2899">
        <f>1.3372/E101</f>
        <v>0.29132897603485841</v>
      </c>
      <c r="F103" s="2899">
        <f>1.3372/F101</f>
        <v>0.29132897603485841</v>
      </c>
      <c r="G103" s="2899">
        <f>1.3372/G101</f>
        <v>0.29132897603485841</v>
      </c>
      <c r="H103" s="2899">
        <f>1.3372/H101</f>
        <v>0.29132897603485841</v>
      </c>
      <c r="I103" s="2899">
        <f>1.3372/I101</f>
        <v>0.29132897603485841</v>
      </c>
      <c r="J103" s="2899">
        <f>1.2799/J101</f>
        <v>0.27884531590413947</v>
      </c>
      <c r="K103" s="2899">
        <f>1.2799/K101</f>
        <v>0.27884531590413947</v>
      </c>
      <c r="L103" s="2899">
        <f>1.2799/L101</f>
        <v>0.27884531590413947</v>
      </c>
      <c r="M103" s="2899">
        <f>1.2799/M101</f>
        <v>0.27884531590413947</v>
      </c>
      <c r="N103" s="2899">
        <f>1.2799/N101</f>
        <v>0.27884531590413947</v>
      </c>
    </row>
    <row r="104" spans="1:14">
      <c r="A104" s="3255"/>
      <c r="B104" s="2898">
        <v>3</v>
      </c>
      <c r="C104" s="2899">
        <f>1.1594/C101</f>
        <v>0.25259259259259259</v>
      </c>
      <c r="D104" s="2899">
        <f>1.1594/D101</f>
        <v>0.25259259259259259</v>
      </c>
      <c r="E104" s="2899">
        <f>1.0788/E101</f>
        <v>0.23503267973856209</v>
      </c>
      <c r="F104" s="2899">
        <f>1.0788/F101</f>
        <v>0.23503267973856209</v>
      </c>
      <c r="G104" s="2899">
        <f>1.0788/G101</f>
        <v>0.23503267973856209</v>
      </c>
      <c r="H104" s="2899">
        <f>1.0788/H101</f>
        <v>0.23503267973856209</v>
      </c>
      <c r="I104" s="2899">
        <f>1.0788/I101</f>
        <v>0.23503267973856209</v>
      </c>
      <c r="J104" s="2899">
        <f>1.0072/J101</f>
        <v>0.21943355119825711</v>
      </c>
      <c r="K104" s="2899">
        <f>1.0072/K101</f>
        <v>0.21943355119825711</v>
      </c>
      <c r="L104" s="2899">
        <f>1.0072/L101</f>
        <v>0.21943355119825711</v>
      </c>
      <c r="M104" s="2899">
        <f>1.0072/M101</f>
        <v>0.21943355119825711</v>
      </c>
      <c r="N104" s="2899">
        <f>1.0072/N101</f>
        <v>0.21943355119825711</v>
      </c>
    </row>
    <row r="105" spans="1:14">
      <c r="A105" s="3255"/>
      <c r="B105" s="2898">
        <v>4</v>
      </c>
      <c r="C105" s="2899">
        <f>0.9622/C101</f>
        <v>0.20962962962962964</v>
      </c>
      <c r="D105" s="2899">
        <f>0.9622/D101</f>
        <v>0.20962962962962964</v>
      </c>
      <c r="E105" s="2899">
        <f>0.8656/E101</f>
        <v>0.18858387799564272</v>
      </c>
      <c r="F105" s="2899">
        <f>0.8656/F101</f>
        <v>0.18858387799564272</v>
      </c>
      <c r="G105" s="2899">
        <f>0.8656/G101</f>
        <v>0.18858387799564272</v>
      </c>
      <c r="H105" s="2899">
        <f>0.8656/H101</f>
        <v>0.18858387799564272</v>
      </c>
      <c r="I105" s="2899">
        <f>0.8656/I101</f>
        <v>0.18858387799564272</v>
      </c>
      <c r="J105" s="2899">
        <f>0.7525/J101</f>
        <v>0.16394335511982569</v>
      </c>
      <c r="K105" s="2899">
        <f>0.7525/K101</f>
        <v>0.16394335511982569</v>
      </c>
      <c r="L105" s="2899">
        <f>0.7525/L101</f>
        <v>0.16394335511982569</v>
      </c>
      <c r="M105" s="2899">
        <f>0.7525/M101</f>
        <v>0.16394335511982569</v>
      </c>
      <c r="N105" s="2899">
        <f>0.7525/N101</f>
        <v>0.16394335511982569</v>
      </c>
    </row>
    <row r="106" spans="1:14">
      <c r="A106" s="3255"/>
      <c r="B106" s="2898">
        <v>5</v>
      </c>
      <c r="C106" s="2899">
        <f>0.8417/C101</f>
        <v>0.18337690631808279</v>
      </c>
      <c r="D106" s="2899">
        <f>0.8417/D101</f>
        <v>0.18337690631808279</v>
      </c>
      <c r="E106" s="2899">
        <f>0.7371/E101</f>
        <v>0.16058823529411764</v>
      </c>
      <c r="F106" s="2899">
        <f>0.7371/F101</f>
        <v>0.16058823529411764</v>
      </c>
      <c r="G106" s="2899">
        <f>0.7371/G101</f>
        <v>0.16058823529411764</v>
      </c>
      <c r="H106" s="2899">
        <f>0.7371/H101</f>
        <v>0.16058823529411764</v>
      </c>
      <c r="I106" s="2899">
        <f>0.7371/I101</f>
        <v>0.16058823529411764</v>
      </c>
      <c r="J106" s="2899">
        <f>0.5659/J101</f>
        <v>0.12328976034858387</v>
      </c>
      <c r="K106" s="2899">
        <f>0.5659/K101</f>
        <v>0.12328976034858387</v>
      </c>
      <c r="L106" s="2899">
        <f>0.5659/L101</f>
        <v>0.12328976034858387</v>
      </c>
      <c r="M106" s="2899">
        <f>0.5659/M101</f>
        <v>0.12328976034858387</v>
      </c>
      <c r="N106" s="2899">
        <f>0.5659/N101</f>
        <v>0.12328976034858387</v>
      </c>
    </row>
    <row r="107" spans="1:14">
      <c r="A107" s="3255"/>
      <c r="B107" s="2898">
        <v>6</v>
      </c>
      <c r="C107" s="2899">
        <f>0.7608/C101</f>
        <v>0.1657516339869281</v>
      </c>
      <c r="D107" s="2899">
        <f>0.7608/D101</f>
        <v>0.1657516339869281</v>
      </c>
      <c r="E107" s="2899">
        <f>0.6482/E101</f>
        <v>0.14122004357298476</v>
      </c>
      <c r="F107" s="2899">
        <f>0.6482/F101</f>
        <v>0.14122004357298476</v>
      </c>
      <c r="G107" s="2899">
        <f>0.6482/G101</f>
        <v>0.14122004357298476</v>
      </c>
      <c r="H107" s="2899">
        <f>0.6482/H101</f>
        <v>0.14122004357298476</v>
      </c>
      <c r="I107" s="2899">
        <f>0.6482/I101</f>
        <v>0.14122004357298476</v>
      </c>
      <c r="J107" s="2899">
        <f>0.4525/J101</f>
        <v>9.8583877995642707E-2</v>
      </c>
      <c r="K107" s="2899">
        <f>0.4525/K101</f>
        <v>9.8583877995642707E-2</v>
      </c>
      <c r="L107" s="2899">
        <f>0.4525/L101</f>
        <v>9.8583877995642707E-2</v>
      </c>
      <c r="M107" s="2899">
        <f>0.4525/M101</f>
        <v>9.8583877995642707E-2</v>
      </c>
      <c r="N107" s="2899">
        <f>0.4525/N101</f>
        <v>9.8583877995642707E-2</v>
      </c>
    </row>
    <row r="108" spans="1:14">
      <c r="A108" s="3255"/>
      <c r="B108" s="3083" t="s">
        <v>2981</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256"/>
      <c r="B109" s="3084"/>
      <c r="C109" s="2901">
        <f>(-0.163*(C108^2)-0.59*C108+7617)*(10^(-4))/C101</f>
        <v>0.16593130718954249</v>
      </c>
      <c r="D109" s="2901">
        <f>(-0.163*(D108^2)-0.59*D108+7617)*(10^(-4))/D101</f>
        <v>0.16593130718954249</v>
      </c>
      <c r="E109" s="2901">
        <f>(-0.161*(E108^2)-7.509*E108+6533)*(10^(-4))/E101</f>
        <v>0.14216405228758172</v>
      </c>
      <c r="F109" s="2901">
        <f>(-0.161*(F108^2)-7.509*F108+6533)*(10^(-4))/F101</f>
        <v>0.14216405228758172</v>
      </c>
      <c r="G109" s="2901">
        <f>(-0.161*(G108^2)-7.509*G108+6533)*(10^(-4))/G101</f>
        <v>0.14216405228758172</v>
      </c>
      <c r="H109" s="2901">
        <f>(-0.161*(H108^2)-7.509*H108+6533)*(10^(-4))/H101</f>
        <v>0.14216405228758172</v>
      </c>
      <c r="I109" s="2901">
        <f>(-0.161*(I108^2)-7.509*I108+6533)*(10^(-4))/I101</f>
        <v>0.14216405228758172</v>
      </c>
      <c r="J109" s="2901">
        <f>(-0.214*(J108^2)-21.991*J108+4665)*(10^(-4))/J101</f>
        <v>0.10115021786492376</v>
      </c>
      <c r="K109" s="2901">
        <f>(-0.214*(K108^2)-21.991*K108+4665)*(10^(-4))/K101</f>
        <v>0.10115021786492376</v>
      </c>
      <c r="L109" s="2901">
        <f>(-0.214*(L108^2)-21.991*L108+4665)*(10^(-4))/L101</f>
        <v>0.10115021786492376</v>
      </c>
      <c r="M109" s="2901">
        <f>(-0.214*(M108^2)-21.991*M108+4665)*(10^(-4))/M101</f>
        <v>0.10115021786492376</v>
      </c>
      <c r="N109" s="2901">
        <f>(-0.214*(N108^2)-21.991*N108+4665)*(10^(-4))/N101</f>
        <v>0.10115021786492376</v>
      </c>
    </row>
    <row r="110" spans="1:14">
      <c r="A110" s="3252" t="s">
        <v>2982</v>
      </c>
      <c r="B110" s="3252"/>
      <c r="C110" s="3252"/>
      <c r="D110" s="3252"/>
      <c r="E110" s="3252"/>
      <c r="F110" s="3252"/>
      <c r="G110" s="3252"/>
      <c r="H110" s="3252"/>
      <c r="I110" s="3252"/>
      <c r="J110" s="3252"/>
      <c r="K110" s="2961"/>
      <c r="L110" s="2961"/>
      <c r="M110" s="2961"/>
      <c r="N110" s="2961"/>
    </row>
    <row r="112" spans="1:14" ht="13.5" thickBot="1"/>
    <row r="113" spans="1:13" ht="25.5" thickBot="1">
      <c r="A113" s="900" t="s">
        <v>2983</v>
      </c>
      <c r="B113" s="1287">
        <f>G3</f>
        <v>4.59</v>
      </c>
      <c r="C113" s="901" t="s">
        <v>2984</v>
      </c>
      <c r="D113" s="902">
        <f>SUMPRODUCT((A115:A118=F113)*(B114:M114=H113)*B115:M118)</f>
        <v>0.78310000000000002</v>
      </c>
      <c r="E113" s="2727" t="s">
        <v>2817</v>
      </c>
      <c r="F113" s="2906" t="str">
        <f>E2</f>
        <v>商业</v>
      </c>
      <c r="G113" s="2727" t="s">
        <v>2818</v>
      </c>
      <c r="H113" s="2906" t="str">
        <f>G2</f>
        <v>六级</v>
      </c>
      <c r="I113" s="2727"/>
      <c r="J113" s="2907"/>
      <c r="K113" s="2907"/>
      <c r="L113" s="2907"/>
      <c r="M113" s="2907"/>
    </row>
    <row r="114" spans="1:13">
      <c r="A114" s="905"/>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6" t="s">
        <v>2881</v>
      </c>
      <c r="B115" s="907">
        <f>ROUND(0.9335-0.0094*B113,4)</f>
        <v>0.89039999999999997</v>
      </c>
      <c r="C115" s="907">
        <f>B115</f>
        <v>0.89039999999999997</v>
      </c>
      <c r="D115" s="907">
        <f>ROUND(0.8331-0.0109*B113,4)</f>
        <v>0.78310000000000002</v>
      </c>
      <c r="E115" s="907">
        <f>D115</f>
        <v>0.78310000000000002</v>
      </c>
      <c r="F115" s="907">
        <f>E115</f>
        <v>0.78310000000000002</v>
      </c>
      <c r="G115" s="907">
        <f>F115</f>
        <v>0.78310000000000002</v>
      </c>
      <c r="H115" s="907">
        <f>G115</f>
        <v>0.78310000000000002</v>
      </c>
      <c r="I115" s="907">
        <f>ROUND(0.689-0.0155*B113,4)</f>
        <v>0.6179</v>
      </c>
      <c r="J115" s="907">
        <f t="shared" ref="J115:M118" si="33">I115</f>
        <v>0.6179</v>
      </c>
      <c r="K115" s="907">
        <f t="shared" si="33"/>
        <v>0.6179</v>
      </c>
      <c r="L115" s="907">
        <f t="shared" si="33"/>
        <v>0.6179</v>
      </c>
      <c r="M115" s="908">
        <f t="shared" si="33"/>
        <v>0.6179</v>
      </c>
    </row>
    <row r="116" spans="1:13">
      <c r="A116" s="906" t="s">
        <v>2882</v>
      </c>
      <c r="B116" s="907">
        <f>ROUND(0.949-0.012*B113,4)</f>
        <v>0.89390000000000003</v>
      </c>
      <c r="C116" s="907">
        <f>B116</f>
        <v>0.89390000000000003</v>
      </c>
      <c r="D116" s="907">
        <f>ROUND(0.8567-0.013*B113,4)</f>
        <v>0.79700000000000004</v>
      </c>
      <c r="E116" s="907">
        <f t="shared" ref="E116:H117" si="34">D116</f>
        <v>0.79700000000000004</v>
      </c>
      <c r="F116" s="907">
        <f t="shared" si="34"/>
        <v>0.79700000000000004</v>
      </c>
      <c r="G116" s="907">
        <f t="shared" si="34"/>
        <v>0.79700000000000004</v>
      </c>
      <c r="H116" s="907">
        <f t="shared" si="34"/>
        <v>0.79700000000000004</v>
      </c>
      <c r="I116" s="907">
        <f>ROUND(0.7694-0.014*B113,4)</f>
        <v>0.70509999999999995</v>
      </c>
      <c r="J116" s="907">
        <f t="shared" si="33"/>
        <v>0.70509999999999995</v>
      </c>
      <c r="K116" s="907">
        <f t="shared" si="33"/>
        <v>0.70509999999999995</v>
      </c>
      <c r="L116" s="907">
        <f t="shared" si="33"/>
        <v>0.70509999999999995</v>
      </c>
      <c r="M116" s="908">
        <f t="shared" si="33"/>
        <v>0.70509999999999995</v>
      </c>
    </row>
    <row r="117" spans="1:13">
      <c r="A117" s="906" t="s">
        <v>2883</v>
      </c>
      <c r="B117" s="907">
        <f>ROUND(0.8808-0.006*B113,4)</f>
        <v>0.85329999999999995</v>
      </c>
      <c r="C117" s="907">
        <f>B117</f>
        <v>0.85329999999999995</v>
      </c>
      <c r="D117" s="907">
        <f>ROUND(0.8748-0.008*B113,4)</f>
        <v>0.83809999999999996</v>
      </c>
      <c r="E117" s="907">
        <f t="shared" si="34"/>
        <v>0.83809999999999996</v>
      </c>
      <c r="F117" s="907">
        <f t="shared" si="34"/>
        <v>0.83809999999999996</v>
      </c>
      <c r="G117" s="907">
        <f t="shared" si="34"/>
        <v>0.83809999999999996</v>
      </c>
      <c r="H117" s="907">
        <f t="shared" si="34"/>
        <v>0.83809999999999996</v>
      </c>
      <c r="I117" s="907">
        <f>ROUND(0.7412-0.0095*B113,4)</f>
        <v>0.6976</v>
      </c>
      <c r="J117" s="907">
        <f t="shared" si="33"/>
        <v>0.6976</v>
      </c>
      <c r="K117" s="907">
        <f t="shared" si="33"/>
        <v>0.6976</v>
      </c>
      <c r="L117" s="907">
        <f t="shared" si="33"/>
        <v>0.6976</v>
      </c>
      <c r="M117" s="908">
        <f t="shared" si="33"/>
        <v>0.6976</v>
      </c>
    </row>
    <row r="118" spans="1:13" ht="13.5" thickBot="1">
      <c r="A118" s="714" t="s">
        <v>2884</v>
      </c>
      <c r="B118" s="909">
        <f>ROUND(0.7275-0.01*B113,4)</f>
        <v>0.68159999999999998</v>
      </c>
      <c r="C118" s="909">
        <f>B118</f>
        <v>0.68159999999999998</v>
      </c>
      <c r="D118" s="909">
        <f>ROUND(0.7043-0.012*B113,4)</f>
        <v>0.6492</v>
      </c>
      <c r="E118" s="909">
        <f>D118</f>
        <v>0.6492</v>
      </c>
      <c r="F118" s="909">
        <f>E118</f>
        <v>0.6492</v>
      </c>
      <c r="G118" s="909">
        <f>ROUND(0.6299-0.0122*B113,4)</f>
        <v>0.57389999999999997</v>
      </c>
      <c r="H118" s="909">
        <f>G118</f>
        <v>0.57389999999999997</v>
      </c>
      <c r="I118" s="909">
        <f>ROUND(0.5667-0.0136*B113,4)</f>
        <v>0.50429999999999997</v>
      </c>
      <c r="J118" s="909">
        <f t="shared" si="33"/>
        <v>0.50429999999999997</v>
      </c>
      <c r="K118" s="909">
        <f t="shared" si="33"/>
        <v>0.50429999999999997</v>
      </c>
      <c r="L118" s="909">
        <f t="shared" si="33"/>
        <v>0.50429999999999997</v>
      </c>
      <c r="M118" s="910">
        <f t="shared" si="33"/>
        <v>0.50429999999999997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55" priority="5" stopIfTrue="1" operator="notEqual">
      <formula>"——"</formula>
    </cfRule>
  </conditionalFormatting>
  <conditionalFormatting sqref="F59">
    <cfRule type="cellIs" dxfId="154" priority="4" stopIfTrue="1" operator="notEqual">
      <formula>"——"</formula>
    </cfRule>
  </conditionalFormatting>
  <conditionalFormatting sqref="F70">
    <cfRule type="cellIs" dxfId="153" priority="3" stopIfTrue="1" operator="notEqual">
      <formula>"——"</formula>
    </cfRule>
  </conditionalFormatting>
  <conditionalFormatting sqref="F81">
    <cfRule type="cellIs" dxfId="152" priority="2" stopIfTrue="1" operator="notEqual">
      <formula>"——"</formula>
    </cfRule>
  </conditionalFormatting>
  <conditionalFormatting sqref="H48:H56 H59:H67 H70:H78 H81:H88">
    <cfRule type="cellIs" dxfId="151"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9" sqref="D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9</v>
      </c>
    </row>
    <row r="2" spans="1:33" ht="18" customHeight="1">
      <c r="A2" s="245" t="s">
        <v>2333</v>
      </c>
      <c r="B2" s="248">
        <f ca="1">C32</f>
        <v>258004</v>
      </c>
      <c r="C2" s="320" t="s">
        <v>2466</v>
      </c>
      <c r="D2" s="320"/>
      <c r="E2" s="320"/>
      <c r="F2" s="320"/>
      <c r="G2" s="320"/>
      <c r="H2" s="320"/>
      <c r="I2" s="320"/>
      <c r="J2" s="320"/>
      <c r="K2" s="320"/>
    </row>
    <row r="3" spans="1:33" ht="18" customHeight="1" thickBot="1">
      <c r="A3" s="247" t="s">
        <v>2335</v>
      </c>
      <c r="B3" s="248">
        <f ca="1">ROUND(B2*10000/IF(C1="",'数据-汇总表'!E3,INDIRECT("'数据-取费表'!K"&amp;$K$1)),0)</f>
        <v>32325</v>
      </c>
      <c r="C3" s="320" t="s">
        <v>2467</v>
      </c>
      <c r="D3" s="320"/>
      <c r="E3" s="320"/>
      <c r="F3" s="320"/>
      <c r="G3" s="320"/>
      <c r="H3" s="320"/>
      <c r="I3" s="320"/>
      <c r="J3" s="320"/>
      <c r="K3" s="320"/>
    </row>
    <row r="4" spans="1:33" s="956" customFormat="1" ht="16.5" customHeight="1">
      <c r="A4" s="953" t="s">
        <v>2468</v>
      </c>
      <c r="B4" s="954"/>
      <c r="C4" s="996">
        <f ca="1">SUM(C8:K8)</f>
        <v>285254</v>
      </c>
      <c r="D4" s="954"/>
      <c r="E4" s="954"/>
      <c r="F4" s="954"/>
      <c r="G4" s="954"/>
      <c r="H4" s="954"/>
      <c r="I4" s="954"/>
      <c r="J4" s="954"/>
      <c r="K4" s="955"/>
    </row>
    <row r="5" spans="1:33" s="960" customFormat="1" ht="15">
      <c r="A5" s="957" t="s">
        <v>2469</v>
      </c>
      <c r="B5" s="958" t="s">
        <v>2470</v>
      </c>
      <c r="C5" s="2557" t="s">
        <v>27</v>
      </c>
      <c r="D5" s="2557" t="s">
        <v>1377</v>
      </c>
      <c r="E5" s="2557" t="s">
        <v>3070</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'比较法-办公 (2)'!C50</f>
        <v>41615</v>
      </c>
      <c r="D6" s="962">
        <f>面积表及商业修正表!M7</f>
        <v>30341</v>
      </c>
      <c r="E6" s="962">
        <f ca="1">收益法仓储!C43</f>
        <v>6095</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61545.99</v>
      </c>
      <c r="D7" s="321">
        <f>SUMIF('数据-汇总表'!$C19:$C33,假设开发法!D5,'数据-汇总表'!$E19:$E33)</f>
        <v>9119.369999999999</v>
      </c>
      <c r="E7" s="321">
        <f>SUMIF('数据-汇总表'!$C19:$C33,假设开发法!E5,'数据-汇总表'!$E19:$E33)</f>
        <v>2396.8900000000003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ROUND(C6*C7/10000,0)</f>
        <v>256124</v>
      </c>
      <c r="D8" s="997">
        <f>面积表及商业修正表!L7</f>
        <v>27669</v>
      </c>
      <c r="E8" s="997">
        <f ca="1">收益法仓储!C40</f>
        <v>1461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528</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1335</v>
      </c>
      <c r="B12" s="972" t="s">
        <v>2484</v>
      </c>
      <c r="C12" s="24">
        <f ca="1">ROUND(C11*F12,0)</f>
        <v>16</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0.03</v>
      </c>
      <c r="G13" s="8" t="s">
        <v>2487</v>
      </c>
      <c r="H13" s="968"/>
      <c r="I13" s="968"/>
      <c r="J13" s="968"/>
      <c r="K13" s="969"/>
    </row>
    <row r="14" spans="1:33" s="977" customFormat="1" ht="13.5" customHeight="1">
      <c r="A14" s="971" t="s">
        <v>1337</v>
      </c>
      <c r="B14" s="972" t="s">
        <v>2488</v>
      </c>
      <c r="C14" s="24">
        <f ca="1">ROUND(D14*E14*F11/10000,0)</f>
        <v>32</v>
      </c>
      <c r="D14" s="1033">
        <f ca="1">IF(C1="",'数据-汇总表'!E3,INDIRECT("'数据-取费表'!K"&amp;$K$1)+INDIRECT("'数据-取费表'!S"&amp;$K$1))</f>
        <v>79815.240000000005</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8</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584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79815.240000000005</v>
      </c>
      <c r="E17" s="24">
        <f>'数据-取费表'!B32</f>
        <v>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2498</v>
      </c>
      <c r="C20" s="24">
        <f ca="1">ROUND(D20*E20/10000,0)</f>
        <v>0</v>
      </c>
      <c r="D20" s="1033">
        <f ca="1">IF(C1="",'数据-汇总表'!E6,IF(INDIRECT("'数据-取费表'!c"&amp;$K$1)="住宅",INDIRECT("'数据-取费表'!s"&amp;$K$1),INDIRECT("'数据-取费表'!k"&amp;$K$1)+INDIRECT("'数据-取费表'!s"&amp;$K$1)))</f>
        <v>79815.240000000005</v>
      </c>
      <c r="E20" s="24">
        <f>'数据-取费表'!B28</f>
        <v>0</v>
      </c>
      <c r="F20" s="976"/>
      <c r="G20" s="15"/>
      <c r="H20" s="981"/>
      <c r="I20" s="981"/>
      <c r="J20" s="981"/>
      <c r="K20" s="982"/>
    </row>
    <row r="21" spans="1:33" s="975" customFormat="1" ht="13.5" customHeight="1">
      <c r="A21" s="961" t="s">
        <v>802</v>
      </c>
      <c r="B21" s="985" t="s">
        <v>2499</v>
      </c>
      <c r="C21" s="986">
        <f ca="1">C16+C17+C18</f>
        <v>584</v>
      </c>
      <c r="D21" s="987"/>
      <c r="E21" s="325"/>
      <c r="F21" s="325"/>
      <c r="G21" s="140" t="s">
        <v>2500</v>
      </c>
      <c r="H21" s="979"/>
      <c r="I21" s="979"/>
      <c r="J21" s="979"/>
      <c r="K21" s="980"/>
    </row>
    <row r="22" spans="1:33" s="975" customFormat="1" ht="13.5" customHeight="1">
      <c r="A22" s="961" t="s">
        <v>2472</v>
      </c>
      <c r="B22" s="985" t="s">
        <v>2501</v>
      </c>
      <c r="C22" s="986">
        <f ca="1">ROUND(C21*F22,0)</f>
        <v>18</v>
      </c>
      <c r="D22" s="325"/>
      <c r="E22" s="325"/>
      <c r="F22" s="988">
        <f>'数据-取费表'!B37</f>
        <v>0.03</v>
      </c>
      <c r="G22" s="8" t="s">
        <v>2502</v>
      </c>
      <c r="H22" s="968"/>
      <c r="I22" s="968"/>
      <c r="J22" s="968"/>
      <c r="K22" s="969"/>
    </row>
    <row r="23" spans="1:33" s="975" customFormat="1" ht="13.5" customHeight="1">
      <c r="A23" s="961" t="s">
        <v>2474</v>
      </c>
      <c r="B23" s="985" t="s">
        <v>2503</v>
      </c>
      <c r="C23" s="986">
        <f ca="1">ROUND(C4*F23*F11,0)</f>
        <v>171</v>
      </c>
      <c r="D23" s="325"/>
      <c r="E23" s="325"/>
      <c r="F23" s="988">
        <f>'数据-取费表'!B38</f>
        <v>0.03</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4.7999999999999996E-3</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2</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2512</v>
      </c>
      <c r="B28" s="2562" t="s">
        <v>2513</v>
      </c>
      <c r="C28" s="331">
        <f ca="1">C30</f>
        <v>155</v>
      </c>
      <c r="D28" s="324">
        <f ca="1">C29</f>
        <v>1.03E-2</v>
      </c>
      <c r="E28" s="326" t="s">
        <v>15</v>
      </c>
      <c r="F28" s="332">
        <f ca="1">IF(C1="",'数据-取费表'!Q16,INDIRECT("'数据-取费表'!q"&amp;$K$1))</f>
        <v>0.2</v>
      </c>
      <c r="G28" s="989"/>
      <c r="H28" s="990"/>
      <c r="I28" s="990"/>
      <c r="J28" s="990"/>
      <c r="K28" s="991"/>
    </row>
    <row r="29" spans="1:33" s="335" customFormat="1" ht="13.5" customHeight="1">
      <c r="A29" s="971" t="s">
        <v>803</v>
      </c>
      <c r="B29" s="994" t="s">
        <v>2514</v>
      </c>
      <c r="C29" s="328">
        <f ca="1">ROUND((1+C24)*F28*'数据-取费表'!B24/'数据-取费表'!B20,4)</f>
        <v>1.03E-2</v>
      </c>
      <c r="D29" s="328"/>
      <c r="E29" s="329"/>
      <c r="F29" s="334"/>
      <c r="G29" s="140" t="s">
        <v>2515</v>
      </c>
      <c r="H29" s="979"/>
      <c r="I29" s="979"/>
      <c r="J29" s="979"/>
      <c r="K29" s="980"/>
    </row>
    <row r="30" spans="1:33" s="335" customFormat="1" ht="13.5" customHeight="1">
      <c r="A30" s="971" t="s">
        <v>804</v>
      </c>
      <c r="B30" s="994" t="s">
        <v>2516</v>
      </c>
      <c r="C30" s="336">
        <f ca="1">ROUND((C21+C22+C23)*F28,0)</f>
        <v>155</v>
      </c>
      <c r="D30" s="328"/>
      <c r="E30" s="329"/>
      <c r="F30" s="334"/>
      <c r="G30" s="140"/>
      <c r="H30" s="979"/>
      <c r="I30" s="979"/>
      <c r="J30" s="979"/>
      <c r="K30" s="980"/>
    </row>
    <row r="31" spans="1:33" s="975" customFormat="1" ht="13.5" customHeight="1" thickBot="1">
      <c r="A31" s="2563" t="s">
        <v>2517</v>
      </c>
      <c r="B31" s="1005" t="s">
        <v>2518</v>
      </c>
      <c r="C31" s="1006">
        <f ca="1">ROUND(C4*F31/(1+'数据-取费表'!C42),0)</f>
        <v>14942</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258004</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0" zoomScale="90" zoomScaleNormal="90" workbookViewId="0">
      <selection activeCell="D131" sqref="D131"/>
    </sheetView>
  </sheetViews>
  <sheetFormatPr defaultRowHeight="14.25"/>
  <cols>
    <col min="1" max="1" width="10.5" style="3334" customWidth="1"/>
    <col min="2" max="2" width="15.75" style="3334" customWidth="1"/>
    <col min="3" max="3" width="15.625" style="3334" customWidth="1"/>
    <col min="4" max="4" width="12.25" style="3334" customWidth="1"/>
    <col min="5" max="5" width="14.375" style="3334" customWidth="1"/>
    <col min="6" max="6" width="12.25" style="3334" customWidth="1"/>
    <col min="7" max="7" width="14.5" style="3334" customWidth="1"/>
    <col min="8" max="8" width="12.25" style="3334" customWidth="1"/>
    <col min="9" max="9" width="14.5" style="3334" customWidth="1"/>
    <col min="10" max="10" width="12.25" style="3334" customWidth="1"/>
    <col min="11" max="11" width="12.25" style="3668" customWidth="1"/>
    <col min="12" max="12" width="12.25" style="3669" customWidth="1"/>
    <col min="13" max="15" width="12.25" style="3334" customWidth="1"/>
    <col min="16" max="16" width="4.75" style="3524" customWidth="1"/>
    <col min="17" max="17" width="19.5" style="3334" customWidth="1"/>
    <col min="18" max="22" width="6.125" style="3334" customWidth="1"/>
    <col min="23" max="23" width="5.75" style="3334" customWidth="1"/>
    <col min="24" max="24" width="4.25" style="3334" customWidth="1"/>
    <col min="25" max="25" width="3.5" style="3334" customWidth="1"/>
    <col min="26" max="26" width="19.75" style="3334" customWidth="1"/>
    <col min="27" max="28" width="9.375" style="3334" customWidth="1"/>
    <col min="29" max="16384" width="9" style="3334"/>
  </cols>
  <sheetData>
    <row r="1" spans="1:29" s="3302" customFormat="1" ht="28.5" customHeight="1" thickBot="1">
      <c r="A1" s="3291" t="s">
        <v>3090</v>
      </c>
      <c r="B1" s="3292" t="s">
        <v>3091</v>
      </c>
      <c r="C1" s="3293" t="s">
        <v>3092</v>
      </c>
      <c r="D1" s="3294" t="s">
        <v>27</v>
      </c>
      <c r="E1" s="3295"/>
      <c r="F1" s="3296" t="s">
        <v>3093</v>
      </c>
      <c r="G1" s="3297" t="s">
        <v>3094</v>
      </c>
      <c r="H1" s="3295"/>
      <c r="I1" s="3295"/>
      <c r="J1" s="3295"/>
      <c r="K1" s="3298"/>
      <c r="L1" s="3299"/>
      <c r="M1" s="3300"/>
      <c r="N1" s="3300"/>
      <c r="O1" s="3300"/>
      <c r="P1" s="3293"/>
      <c r="Q1" s="3293"/>
      <c r="R1" s="3293"/>
      <c r="S1" s="3293"/>
      <c r="T1" s="3293"/>
      <c r="U1" s="3293"/>
      <c r="V1" s="3293"/>
      <c r="W1" s="3293"/>
      <c r="X1" s="3293"/>
      <c r="Y1" s="3293"/>
      <c r="Z1" s="3293"/>
      <c r="AA1" s="3293"/>
      <c r="AB1" s="3293"/>
      <c r="AC1" s="3301"/>
    </row>
    <row r="2" spans="1:29" s="3310" customFormat="1" ht="28.5" customHeight="1" thickTop="1">
      <c r="A2" s="1617" t="s">
        <v>3095</v>
      </c>
      <c r="B2" s="3303">
        <f>IF(C2="——",ROUND(C50*D3/10000,0),ROUND(C50*D3/10000,0)-D2)</f>
        <v>256124</v>
      </c>
      <c r="C2" s="2589" t="s">
        <v>70</v>
      </c>
      <c r="D2" s="3304" t="e">
        <f ca="1">SUMIF(INDIRECT("'"&amp;F2&amp;"'"&amp;"!A:A"),"承租人权益价值",INDIRECT("'"&amp;F2&amp;"'"&amp;"!c:c"))</f>
        <v>#REF!</v>
      </c>
      <c r="E2" s="2590" t="s">
        <v>3096</v>
      </c>
      <c r="F2" s="2591"/>
      <c r="G2" s="3305"/>
      <c r="H2" s="3305"/>
      <c r="I2" s="3305"/>
      <c r="J2" s="3305"/>
      <c r="K2" s="3305"/>
      <c r="L2" s="3306"/>
      <c r="M2" s="3307"/>
      <c r="N2" s="3307"/>
      <c r="O2" s="3307"/>
      <c r="P2" s="3308"/>
      <c r="Q2" s="3308"/>
      <c r="R2" s="3308"/>
      <c r="S2" s="3308"/>
      <c r="T2" s="3308"/>
      <c r="U2" s="3308"/>
      <c r="V2" s="3308"/>
      <c r="W2" s="3308"/>
      <c r="X2" s="3308"/>
      <c r="Y2" s="3308"/>
      <c r="Z2" s="3308"/>
      <c r="AA2" s="3308"/>
      <c r="AB2" s="3308"/>
      <c r="AC2" s="3309"/>
    </row>
    <row r="3" spans="1:29" s="3310" customFormat="1" ht="28.5" customHeight="1" thickBot="1">
      <c r="A3" s="247" t="s">
        <v>3097</v>
      </c>
      <c r="B3" s="3311">
        <f>IF(C2="——",C50,ROUND(B2*10000/D3,0))</f>
        <v>41615</v>
      </c>
      <c r="C3" s="3312" t="s">
        <v>3098</v>
      </c>
      <c r="D3" s="3313">
        <f>IF(D1="",'[1]数据-汇总表'!E3,SUMIF('[1]数据-汇总表'!$C19:$C33,D1,'[1]数据-汇总表'!$E19:$E33))</f>
        <v>61545.99</v>
      </c>
      <c r="E3" s="3314"/>
      <c r="F3" s="3315"/>
      <c r="G3" s="3305"/>
      <c r="H3" s="3305"/>
      <c r="I3" s="3305"/>
      <c r="J3" s="3305"/>
      <c r="K3" s="3316"/>
      <c r="L3" s="3306"/>
      <c r="M3" s="3307"/>
      <c r="N3" s="3307"/>
      <c r="O3" s="3307"/>
      <c r="P3" s="3308"/>
      <c r="Q3" s="3308"/>
      <c r="R3" s="3308"/>
      <c r="S3" s="3308"/>
      <c r="T3" s="3308"/>
      <c r="U3" s="3308"/>
      <c r="V3" s="3308"/>
      <c r="W3" s="3308"/>
      <c r="X3" s="3308"/>
      <c r="Y3" s="3308"/>
      <c r="Z3" s="3308"/>
      <c r="AA3" s="3308"/>
      <c r="AB3" s="3308"/>
      <c r="AC3" s="3309"/>
    </row>
    <row r="4" spans="1:29" ht="15">
      <c r="A4" s="3317" t="s">
        <v>3099</v>
      </c>
      <c r="B4" s="3318"/>
      <c r="C4" s="3319" t="s">
        <v>3100</v>
      </c>
      <c r="D4" s="3320"/>
      <c r="E4" s="3321" t="s">
        <v>3101</v>
      </c>
      <c r="F4" s="3322"/>
      <c r="G4" s="3319" t="s">
        <v>3102</v>
      </c>
      <c r="H4" s="3320"/>
      <c r="I4" s="3319" t="s">
        <v>3103</v>
      </c>
      <c r="J4" s="3320"/>
      <c r="K4" s="3323" t="s">
        <v>3104</v>
      </c>
      <c r="L4" s="3324"/>
      <c r="M4" s="3325"/>
      <c r="N4" s="3325"/>
      <c r="O4" s="3325"/>
      <c r="P4" s="3326" t="s">
        <v>3105</v>
      </c>
      <c r="Q4" s="3327"/>
      <c r="R4" s="3328" t="s">
        <v>3106</v>
      </c>
      <c r="S4" s="3329"/>
      <c r="T4" s="3328" t="s">
        <v>3107</v>
      </c>
      <c r="U4" s="3329"/>
      <c r="V4" s="3330" t="s">
        <v>3108</v>
      </c>
      <c r="W4" s="3330"/>
      <c r="X4" s="3331"/>
      <c r="Y4" s="3328" t="s">
        <v>3105</v>
      </c>
      <c r="Z4" s="3329"/>
      <c r="AA4" s="3332" t="s">
        <v>3106</v>
      </c>
      <c r="AB4" s="3332" t="s">
        <v>3107</v>
      </c>
      <c r="AC4" s="3333" t="s">
        <v>3108</v>
      </c>
    </row>
    <row r="5" spans="1:29" ht="15">
      <c r="A5" s="3335"/>
      <c r="B5" s="3336"/>
      <c r="C5" s="3337" t="s">
        <v>3109</v>
      </c>
      <c r="D5" s="3338"/>
      <c r="E5" s="3339" t="s">
        <v>3110</v>
      </c>
      <c r="F5" s="3340"/>
      <c r="G5" s="3341" t="s">
        <v>3111</v>
      </c>
      <c r="H5" s="3338"/>
      <c r="I5" s="3341" t="s">
        <v>3112</v>
      </c>
      <c r="J5" s="3338"/>
      <c r="K5" s="3323"/>
      <c r="L5" s="3324"/>
      <c r="M5" s="3325"/>
      <c r="N5" s="3325"/>
      <c r="O5" s="3325"/>
      <c r="P5" s="3342"/>
      <c r="Q5" s="3343"/>
      <c r="R5" s="3344"/>
      <c r="S5" s="3345"/>
      <c r="T5" s="3344"/>
      <c r="U5" s="3345"/>
      <c r="V5" s="3346"/>
      <c r="W5" s="3346"/>
      <c r="X5" s="3347"/>
      <c r="Y5" s="3344"/>
      <c r="Z5" s="3345"/>
      <c r="AA5" s="3348"/>
      <c r="AB5" s="3348"/>
      <c r="AC5" s="3349"/>
    </row>
    <row r="6" spans="1:29" ht="15.75" thickBot="1">
      <c r="A6" s="3350"/>
      <c r="B6" s="3351"/>
      <c r="C6" s="3352" t="s">
        <v>3113</v>
      </c>
      <c r="D6" s="3353"/>
      <c r="E6" s="3354" t="s">
        <v>3113</v>
      </c>
      <c r="F6" s="3355"/>
      <c r="G6" s="3352" t="s">
        <v>3113</v>
      </c>
      <c r="H6" s="3353"/>
      <c r="I6" s="3352" t="s">
        <v>3113</v>
      </c>
      <c r="J6" s="3353"/>
      <c r="K6" s="3323" t="s">
        <v>3114</v>
      </c>
      <c r="L6" s="3324"/>
      <c r="M6" s="3325"/>
      <c r="N6" s="3325"/>
      <c r="O6" s="3325"/>
      <c r="P6" s="3356"/>
      <c r="Q6" s="3357"/>
      <c r="R6" s="3344"/>
      <c r="S6" s="3345"/>
      <c r="T6" s="3358"/>
      <c r="U6" s="3359"/>
      <c r="V6" s="3346"/>
      <c r="W6" s="3346"/>
      <c r="X6" s="3347"/>
      <c r="Y6" s="3358"/>
      <c r="Z6" s="3359"/>
      <c r="AA6" s="3360"/>
      <c r="AB6" s="3360"/>
      <c r="AC6" s="3361"/>
    </row>
    <row r="7" spans="1:29" s="3380" customFormat="1" ht="15.75" thickBot="1">
      <c r="A7" s="3362" t="s">
        <v>3115</v>
      </c>
      <c r="B7" s="3363"/>
      <c r="C7" s="3364">
        <f>'[1]数据-取费表'!B2</f>
        <v>43252</v>
      </c>
      <c r="D7" s="3365">
        <v>100</v>
      </c>
      <c r="E7" s="3366">
        <v>43252</v>
      </c>
      <c r="F7" s="3367">
        <f>SUMIF(59:59,YEAR(E7)&amp;"-"&amp;MONTH(E7),60:60)</f>
        <v>100</v>
      </c>
      <c r="G7" s="3366">
        <v>43252</v>
      </c>
      <c r="H7" s="3365">
        <f>SUMIF(59:59,YEAR(G7)&amp;"-"&amp;MONTH(G7),60:60)</f>
        <v>100</v>
      </c>
      <c r="I7" s="3366">
        <v>43252</v>
      </c>
      <c r="J7" s="3365">
        <f>SUMIF(59:59,YEAR(I7)&amp;"-"&amp;MONTH(I7),60:60)</f>
        <v>100</v>
      </c>
      <c r="K7" s="3368"/>
      <c r="L7" s="3369"/>
      <c r="M7" s="3370"/>
      <c r="N7" s="3370"/>
      <c r="O7" s="3370"/>
      <c r="P7" s="3371" t="s">
        <v>3116</v>
      </c>
      <c r="Q7" s="3372"/>
      <c r="R7" s="3373" t="s">
        <v>3117</v>
      </c>
      <c r="S7" s="3374">
        <f t="shared" ref="S7:S15" si="0">F7</f>
        <v>100</v>
      </c>
      <c r="T7" s="3373" t="s">
        <v>3118</v>
      </c>
      <c r="U7" s="3374">
        <f t="shared" ref="U7:U15" si="1">H7</f>
        <v>100</v>
      </c>
      <c r="V7" s="3373" t="s">
        <v>3119</v>
      </c>
      <c r="W7" s="3374">
        <f t="shared" ref="W7:W15" si="2">J7</f>
        <v>100</v>
      </c>
      <c r="X7" s="3375"/>
      <c r="Y7" s="3376" t="s">
        <v>3116</v>
      </c>
      <c r="Z7" s="3377"/>
      <c r="AA7" s="3378">
        <f>D7/F7</f>
        <v>1</v>
      </c>
      <c r="AB7" s="3378">
        <f>D7/H7</f>
        <v>1</v>
      </c>
      <c r="AC7" s="3379">
        <f>D7/J7</f>
        <v>1</v>
      </c>
    </row>
    <row r="8" spans="1:29" s="3380" customFormat="1" ht="15.75" thickBot="1">
      <c r="A8" s="3362" t="s">
        <v>3120</v>
      </c>
      <c r="B8" s="3363"/>
      <c r="C8" s="3381" t="s">
        <v>3121</v>
      </c>
      <c r="D8" s="3365">
        <v>100</v>
      </c>
      <c r="E8" s="3381" t="s">
        <v>3122</v>
      </c>
      <c r="F8" s="3367">
        <f>SUMIF(62:62,E8,63:63)-SUMIF(62:62,C8,63:63)+100</f>
        <v>100</v>
      </c>
      <c r="G8" s="3381" t="s">
        <v>3122</v>
      </c>
      <c r="H8" s="3365">
        <f>SUMIF(62:62,G8,63:63)-SUMIF(62:62,C8,63:63)+100</f>
        <v>100</v>
      </c>
      <c r="I8" s="3381" t="s">
        <v>3122</v>
      </c>
      <c r="J8" s="3365">
        <f>SUMIF(62:62,I8,63:63)-SUMIF(62:62,C8,63:63)+100</f>
        <v>100</v>
      </c>
      <c r="K8" s="3368"/>
      <c r="L8" s="3369"/>
      <c r="M8" s="3370"/>
      <c r="N8" s="3370"/>
      <c r="O8" s="3370"/>
      <c r="P8" s="3371" t="s">
        <v>3123</v>
      </c>
      <c r="Q8" s="3377"/>
      <c r="R8" s="3373" t="s">
        <v>3119</v>
      </c>
      <c r="S8" s="3374">
        <f t="shared" si="0"/>
        <v>100</v>
      </c>
      <c r="T8" s="3373" t="s">
        <v>3119</v>
      </c>
      <c r="U8" s="3374">
        <f t="shared" si="1"/>
        <v>100</v>
      </c>
      <c r="V8" s="3373" t="s">
        <v>3119</v>
      </c>
      <c r="W8" s="3374">
        <f t="shared" si="2"/>
        <v>100</v>
      </c>
      <c r="X8" s="3375"/>
      <c r="Y8" s="3376" t="s">
        <v>3123</v>
      </c>
      <c r="Z8" s="3377"/>
      <c r="AA8" s="3378">
        <f t="shared" ref="AA8:AA47" si="3">D8/F8</f>
        <v>1</v>
      </c>
      <c r="AB8" s="3378">
        <f t="shared" ref="AB8:AB47" si="4">D8/H8</f>
        <v>1</v>
      </c>
      <c r="AC8" s="3379">
        <f t="shared" ref="AC8:AC47" si="5">D8/J8</f>
        <v>1</v>
      </c>
    </row>
    <row r="9" spans="1:29" s="3380" customFormat="1">
      <c r="A9" s="3382" t="s">
        <v>3124</v>
      </c>
      <c r="B9" s="3383" t="s">
        <v>3125</v>
      </c>
      <c r="C9" s="3384" t="s">
        <v>3126</v>
      </c>
      <c r="D9" s="3385">
        <v>100</v>
      </c>
      <c r="E9" s="3384" t="s">
        <v>3126</v>
      </c>
      <c r="F9" s="3385">
        <f>SUMIF(64:64,E9,65:65)-SUMIF(64:64,C9,65:65)+100</f>
        <v>100</v>
      </c>
      <c r="G9" s="3384" t="s">
        <v>3126</v>
      </c>
      <c r="H9" s="3385">
        <f>SUMIF(64:64,G9,65:65)-SUMIF(64:64,C9,65:65)+100</f>
        <v>100</v>
      </c>
      <c r="I9" s="3384" t="s">
        <v>3126</v>
      </c>
      <c r="J9" s="3385">
        <f>SUMIF(64:64,I9,65:65)-SUMIF(64:64,C9,65:65)+100</f>
        <v>100</v>
      </c>
      <c r="K9" s="3368"/>
      <c r="L9" s="3369"/>
      <c r="M9" s="3370"/>
      <c r="N9" s="3370"/>
      <c r="O9" s="3370"/>
      <c r="P9" s="3386" t="s">
        <v>3127</v>
      </c>
      <c r="Q9" s="3387" t="str">
        <f t="shared" ref="Q9:Q15" si="6">B9</f>
        <v>用途</v>
      </c>
      <c r="R9" s="3373" t="s">
        <v>3119</v>
      </c>
      <c r="S9" s="3374">
        <f t="shared" si="0"/>
        <v>100</v>
      </c>
      <c r="T9" s="3373" t="s">
        <v>3119</v>
      </c>
      <c r="U9" s="3374">
        <f t="shared" si="1"/>
        <v>100</v>
      </c>
      <c r="V9" s="3373" t="s">
        <v>3119</v>
      </c>
      <c r="W9" s="3374">
        <f t="shared" si="2"/>
        <v>100</v>
      </c>
      <c r="X9" s="3375"/>
      <c r="Y9" s="3388" t="s">
        <v>3128</v>
      </c>
      <c r="Z9" s="3389" t="str">
        <f t="shared" ref="Z9:Z15" si="7">Q9</f>
        <v>用途</v>
      </c>
      <c r="AA9" s="3378">
        <f t="shared" si="3"/>
        <v>1</v>
      </c>
      <c r="AB9" s="3378">
        <f t="shared" si="4"/>
        <v>1</v>
      </c>
      <c r="AC9" s="3379">
        <f t="shared" si="5"/>
        <v>1</v>
      </c>
    </row>
    <row r="10" spans="1:29" s="3397" customFormat="1" ht="27">
      <c r="A10" s="3390"/>
      <c r="B10" s="3391" t="s">
        <v>3129</v>
      </c>
      <c r="C10" s="3392" t="s">
        <v>3130</v>
      </c>
      <c r="D10" s="3393">
        <v>100</v>
      </c>
      <c r="E10" s="3392" t="s">
        <v>3130</v>
      </c>
      <c r="F10" s="3393">
        <f>SUMIF(66:66,E10,67:67)-SUMIF(66:66,C10,67:67)+100</f>
        <v>100</v>
      </c>
      <c r="G10" s="3392" t="s">
        <v>3130</v>
      </c>
      <c r="H10" s="3393">
        <f>SUMIF(66:66,G10,67:67)-SUMIF(66:66,C10,67:67)+100</f>
        <v>100</v>
      </c>
      <c r="I10" s="3392" t="s">
        <v>3130</v>
      </c>
      <c r="J10" s="3393">
        <f>SUMIF(66:66,I10,67:67)-SUMIF(66:66,C10,67:67)+100</f>
        <v>100</v>
      </c>
      <c r="K10" s="3394"/>
      <c r="L10" s="3395"/>
      <c r="M10" s="3396"/>
      <c r="N10" s="3396"/>
      <c r="O10" s="3396"/>
      <c r="P10" s="3386"/>
      <c r="Q10" s="3387" t="str">
        <f t="shared" si="6"/>
        <v>土地使用年限（年）</v>
      </c>
      <c r="R10" s="3373" t="s">
        <v>3118</v>
      </c>
      <c r="S10" s="3374">
        <f t="shared" si="0"/>
        <v>100</v>
      </c>
      <c r="T10" s="3373" t="s">
        <v>3118</v>
      </c>
      <c r="U10" s="3374">
        <f t="shared" si="1"/>
        <v>100</v>
      </c>
      <c r="V10" s="3373" t="s">
        <v>3118</v>
      </c>
      <c r="W10" s="3374">
        <f t="shared" si="2"/>
        <v>100</v>
      </c>
      <c r="X10" s="3375"/>
      <c r="Y10" s="3388"/>
      <c r="Z10" s="3389" t="str">
        <f t="shared" si="7"/>
        <v>土地使用年限（年）</v>
      </c>
      <c r="AA10" s="3378">
        <f t="shared" si="3"/>
        <v>1</v>
      </c>
      <c r="AB10" s="3378">
        <f t="shared" si="4"/>
        <v>1</v>
      </c>
      <c r="AC10" s="3379">
        <f t="shared" si="5"/>
        <v>1</v>
      </c>
    </row>
    <row r="11" spans="1:29" ht="15">
      <c r="A11" s="3398"/>
      <c r="B11" s="3391" t="s">
        <v>3132</v>
      </c>
      <c r="C11" s="3399"/>
      <c r="D11" s="3393">
        <v>100</v>
      </c>
      <c r="E11" s="3399"/>
      <c r="F11" s="3393">
        <f>LOOKUP(E11,69:69,70:70)-LOOKUP(C11,69:69,70:70)+100</f>
        <v>100</v>
      </c>
      <c r="G11" s="3400"/>
      <c r="H11" s="3393">
        <f>LOOKUP(G11,69:69,70:70)-LOOKUP(C11,69:69,70:70)+100</f>
        <v>100</v>
      </c>
      <c r="I11" s="3399"/>
      <c r="J11" s="3393">
        <f>LOOKUP(I11,69:69,70:70)-LOOKUP(C11,69:69,70:70)+100</f>
        <v>100</v>
      </c>
      <c r="K11" s="3394"/>
      <c r="L11" s="3401"/>
      <c r="M11" s="3325"/>
      <c r="N11" s="3325"/>
      <c r="O11" s="3325"/>
      <c r="P11" s="3386"/>
      <c r="Q11" s="3387" t="str">
        <f t="shared" si="6"/>
        <v>容积率</v>
      </c>
      <c r="R11" s="3373" t="s">
        <v>3118</v>
      </c>
      <c r="S11" s="3374">
        <f t="shared" si="0"/>
        <v>100</v>
      </c>
      <c r="T11" s="3373" t="s">
        <v>3118</v>
      </c>
      <c r="U11" s="3374">
        <f t="shared" si="1"/>
        <v>100</v>
      </c>
      <c r="V11" s="3373" t="s">
        <v>3118</v>
      </c>
      <c r="W11" s="3374">
        <f t="shared" si="2"/>
        <v>100</v>
      </c>
      <c r="X11" s="3375"/>
      <c r="Y11" s="3388"/>
      <c r="Z11" s="3389" t="str">
        <f t="shared" si="7"/>
        <v>容积率</v>
      </c>
      <c r="AA11" s="3378">
        <f t="shared" si="3"/>
        <v>1</v>
      </c>
      <c r="AB11" s="3378">
        <f t="shared" si="4"/>
        <v>1</v>
      </c>
      <c r="AC11" s="3379">
        <f t="shared" si="5"/>
        <v>1</v>
      </c>
    </row>
    <row r="12" spans="1:29" s="3380" customFormat="1" ht="15">
      <c r="A12" s="3402"/>
      <c r="B12" s="3403">
        <v>111</v>
      </c>
      <c r="C12" s="3404"/>
      <c r="D12" s="3405">
        <v>100</v>
      </c>
      <c r="E12" s="3404"/>
      <c r="F12" s="3393">
        <f>SUMIF(71:71,E12,72:72)-SUMIF(71:71,C12,72:72)+100</f>
        <v>100</v>
      </c>
      <c r="G12" s="3406"/>
      <c r="H12" s="3393">
        <f>SUMIF(71:71,G12,72:72)-SUMIF(71:71,C12,72:72)+100</f>
        <v>100</v>
      </c>
      <c r="I12" s="3404"/>
      <c r="J12" s="3393">
        <f>SUMIF(71:71,I12,72:72)-SUMIF(71:71,C12,72:72)+100</f>
        <v>100</v>
      </c>
      <c r="K12" s="3407"/>
      <c r="L12" s="3369"/>
      <c r="M12" s="3370"/>
      <c r="N12" s="3370"/>
      <c r="O12" s="3370"/>
      <c r="P12" s="3386"/>
      <c r="Q12" s="3387">
        <f t="shared" si="6"/>
        <v>111</v>
      </c>
      <c r="R12" s="3373" t="s">
        <v>3118</v>
      </c>
      <c r="S12" s="3374">
        <f t="shared" si="0"/>
        <v>100</v>
      </c>
      <c r="T12" s="3373" t="s">
        <v>3118</v>
      </c>
      <c r="U12" s="3374">
        <f t="shared" si="1"/>
        <v>100</v>
      </c>
      <c r="V12" s="3373" t="s">
        <v>3118</v>
      </c>
      <c r="W12" s="3374">
        <f t="shared" si="2"/>
        <v>100</v>
      </c>
      <c r="X12" s="3375"/>
      <c r="Y12" s="3388"/>
      <c r="Z12" s="3389">
        <f t="shared" si="7"/>
        <v>111</v>
      </c>
      <c r="AA12" s="3378">
        <f>D12/F12</f>
        <v>1</v>
      </c>
      <c r="AB12" s="3378">
        <f>D12/H12</f>
        <v>1</v>
      </c>
      <c r="AC12" s="3379">
        <f>D12/J12</f>
        <v>1</v>
      </c>
    </row>
    <row r="13" spans="1:29" ht="15">
      <c r="A13" s="3398"/>
      <c r="B13" s="3403">
        <v>111</v>
      </c>
      <c r="C13" s="3408"/>
      <c r="D13" s="3409">
        <v>100</v>
      </c>
      <c r="E13" s="3404"/>
      <c r="F13" s="3393">
        <f>SUMIF(73:73,E13,74:74)-SUMIF(73:73,C13,74:74)+100</f>
        <v>100</v>
      </c>
      <c r="G13" s="3406"/>
      <c r="H13" s="3409">
        <f>SUMIF(73:73,G13,74:74)-SUMIF(73:73,C13,74:74)+100</f>
        <v>100</v>
      </c>
      <c r="I13" s="3404"/>
      <c r="J13" s="3409">
        <f>SUMIF(73:73,I13,74:74)-SUMIF(73:73,C13,74:74)+100</f>
        <v>100</v>
      </c>
      <c r="K13" s="3407"/>
      <c r="L13" s="3410"/>
      <c r="M13" s="3325"/>
      <c r="N13" s="3325"/>
      <c r="O13" s="3325"/>
      <c r="P13" s="3386"/>
      <c r="Q13" s="3387">
        <f t="shared" si="6"/>
        <v>111</v>
      </c>
      <c r="R13" s="3373" t="s">
        <v>3118</v>
      </c>
      <c r="S13" s="3374">
        <f t="shared" si="0"/>
        <v>100</v>
      </c>
      <c r="T13" s="3373" t="s">
        <v>3118</v>
      </c>
      <c r="U13" s="3374">
        <f t="shared" si="1"/>
        <v>100</v>
      </c>
      <c r="V13" s="3373" t="s">
        <v>3118</v>
      </c>
      <c r="W13" s="3374">
        <f t="shared" si="2"/>
        <v>100</v>
      </c>
      <c r="X13" s="3375"/>
      <c r="Y13" s="3388"/>
      <c r="Z13" s="3389">
        <f t="shared" si="7"/>
        <v>111</v>
      </c>
      <c r="AA13" s="3378">
        <f t="shared" si="3"/>
        <v>1</v>
      </c>
      <c r="AB13" s="3378">
        <f t="shared" si="4"/>
        <v>1</v>
      </c>
      <c r="AC13" s="3379">
        <f t="shared" si="5"/>
        <v>1</v>
      </c>
    </row>
    <row r="14" spans="1:29" ht="15.75" thickBot="1">
      <c r="A14" s="3411"/>
      <c r="B14" s="3412">
        <v>111</v>
      </c>
      <c r="C14" s="3413"/>
      <c r="D14" s="3414">
        <v>100</v>
      </c>
      <c r="E14" s="3415"/>
      <c r="F14" s="3414">
        <f>SUMIF(75:75,E14,76:76)-SUMIF(75:75,C14,76:76)+100</f>
        <v>100</v>
      </c>
      <c r="G14" s="3406"/>
      <c r="H14" s="3414">
        <f>SUMIF(75:75,G14,76:76)-SUMIF(75:75,C14,76:76)+100</f>
        <v>100</v>
      </c>
      <c r="I14" s="3404"/>
      <c r="J14" s="3414">
        <f>SUMIF(75:75,I14,76:76)-SUMIF(75:75,C14,76:76)+100</f>
        <v>100</v>
      </c>
      <c r="K14" s="3407"/>
      <c r="L14" s="3410"/>
      <c r="M14" s="3325"/>
      <c r="N14" s="3325"/>
      <c r="O14" s="3325"/>
      <c r="P14" s="3386"/>
      <c r="Q14" s="3387">
        <f t="shared" si="6"/>
        <v>111</v>
      </c>
      <c r="R14" s="3373" t="s">
        <v>3118</v>
      </c>
      <c r="S14" s="3374">
        <f t="shared" si="0"/>
        <v>100</v>
      </c>
      <c r="T14" s="3373" t="s">
        <v>3118</v>
      </c>
      <c r="U14" s="3374">
        <f t="shared" si="1"/>
        <v>100</v>
      </c>
      <c r="V14" s="3373" t="s">
        <v>3118</v>
      </c>
      <c r="W14" s="3374">
        <f t="shared" si="2"/>
        <v>100</v>
      </c>
      <c r="X14" s="3375"/>
      <c r="Y14" s="3388"/>
      <c r="Z14" s="3389">
        <f t="shared" si="7"/>
        <v>111</v>
      </c>
      <c r="AA14" s="3378">
        <f t="shared" si="3"/>
        <v>1</v>
      </c>
      <c r="AB14" s="3378">
        <f t="shared" si="4"/>
        <v>1</v>
      </c>
      <c r="AC14" s="3379">
        <f t="shared" si="5"/>
        <v>1</v>
      </c>
    </row>
    <row r="15" spans="1:29" ht="71.25">
      <c r="A15" s="3416" t="s">
        <v>3133</v>
      </c>
      <c r="B15" s="3417" t="s">
        <v>3134</v>
      </c>
      <c r="C15" s="3418" t="str">
        <f>[1]估价对象房地状况!C5</f>
        <v>估价对象位于XX商圈，周边办公楼项目较多，入驻率高，办公集聚程度较好</v>
      </c>
      <c r="D15" s="3419">
        <v>100</v>
      </c>
      <c r="E15" s="3420"/>
      <c r="F15" s="3419">
        <f>SUMIF(77:77,E16,78:78)-SUMIF(77:77,C16,78:78)+100</f>
        <v>100</v>
      </c>
      <c r="G15" s="3421"/>
      <c r="H15" s="3419">
        <f>SUMIF(77:77,G16,78:78)-SUMIF(77:77,C16,78:78)+100</f>
        <v>100</v>
      </c>
      <c r="I15" s="3421"/>
      <c r="J15" s="3419">
        <f>SUMIF(77:77,I16,78:78)-SUMIF(77:77,C16,78:78)+100</f>
        <v>100</v>
      </c>
      <c r="K15" s="3422">
        <v>3</v>
      </c>
      <c r="L15" s="3410"/>
      <c r="M15" s="3325"/>
      <c r="N15" s="3325"/>
      <c r="O15" s="3325"/>
      <c r="P15" s="3423" t="s">
        <v>3135</v>
      </c>
      <c r="Q15" s="3424" t="str">
        <f t="shared" si="6"/>
        <v>办公集聚程度</v>
      </c>
      <c r="R15" s="3425" t="s">
        <v>3118</v>
      </c>
      <c r="S15" s="3426">
        <f t="shared" si="0"/>
        <v>100</v>
      </c>
      <c r="T15" s="3425" t="s">
        <v>3118</v>
      </c>
      <c r="U15" s="3426">
        <f t="shared" si="1"/>
        <v>100</v>
      </c>
      <c r="V15" s="3425" t="s">
        <v>3118</v>
      </c>
      <c r="W15" s="3426">
        <f t="shared" si="2"/>
        <v>100</v>
      </c>
      <c r="X15" s="3347"/>
      <c r="Y15" s="3427" t="s">
        <v>3136</v>
      </c>
      <c r="Z15" s="3428" t="str">
        <f t="shared" si="7"/>
        <v>办公集聚程度</v>
      </c>
      <c r="AA15" s="3429">
        <f t="shared" si="3"/>
        <v>1</v>
      </c>
      <c r="AB15" s="3429">
        <f t="shared" si="4"/>
        <v>1</v>
      </c>
      <c r="AC15" s="3430">
        <f t="shared" si="5"/>
        <v>1</v>
      </c>
    </row>
    <row r="16" spans="1:29" ht="15">
      <c r="A16" s="3398"/>
      <c r="B16" s="3431"/>
      <c r="C16" s="3432" t="s">
        <v>3082</v>
      </c>
      <c r="D16" s="3433"/>
      <c r="E16" s="3434" t="s">
        <v>3082</v>
      </c>
      <c r="F16" s="3433"/>
      <c r="G16" s="3434" t="s">
        <v>3082</v>
      </c>
      <c r="H16" s="3435"/>
      <c r="I16" s="3434" t="s">
        <v>3082</v>
      </c>
      <c r="J16" s="3433"/>
      <c r="K16" s="3436"/>
      <c r="L16" s="3410"/>
      <c r="M16" s="3325"/>
      <c r="N16" s="3325"/>
      <c r="O16" s="3325"/>
      <c r="P16" s="3437"/>
      <c r="Q16" s="3424"/>
      <c r="R16" s="3425"/>
      <c r="S16" s="3426"/>
      <c r="T16" s="3425"/>
      <c r="U16" s="3426"/>
      <c r="V16" s="3425"/>
      <c r="W16" s="3426"/>
      <c r="X16" s="3347"/>
      <c r="Y16" s="3438"/>
      <c r="Z16" s="3428"/>
      <c r="AA16" s="3429">
        <v>1</v>
      </c>
      <c r="AB16" s="3429">
        <v>1</v>
      </c>
      <c r="AC16" s="3430">
        <v>1</v>
      </c>
    </row>
    <row r="17" spans="1:29" ht="71.25">
      <c r="A17" s="3398"/>
      <c r="B17" s="3439" t="s">
        <v>2101</v>
      </c>
      <c r="C17" s="3440" t="str">
        <f>[1]估价对象房地状况!C6</f>
        <v>估价对象周边道路状况、公共交通通达情况、停车便捷程度，综合评价交通便捷度较好</v>
      </c>
      <c r="D17" s="3435">
        <v>100</v>
      </c>
      <c r="E17" s="3441"/>
      <c r="F17" s="3435">
        <f>SUMIF(79:79,E18,80:80)-SUMIF(79:79,C18,80:80)+100</f>
        <v>100</v>
      </c>
      <c r="G17" s="3442"/>
      <c r="H17" s="3443">
        <f>SUMIF(79:79,G18,80:80)-SUMIF(79:79,C18,80:80)+100</f>
        <v>100</v>
      </c>
      <c r="I17" s="3442"/>
      <c r="J17" s="3443">
        <f>SUMIF(79:79,I18,80:80)-SUMIF(79:79,C18,80:80)+100</f>
        <v>100</v>
      </c>
      <c r="K17" s="3422">
        <v>3</v>
      </c>
      <c r="L17" s="3410"/>
      <c r="M17" s="3325"/>
      <c r="N17" s="3325"/>
      <c r="O17" s="3325"/>
      <c r="P17" s="3437"/>
      <c r="Q17" s="3424" t="str">
        <f>B17</f>
        <v>交通便捷度</v>
      </c>
      <c r="R17" s="3425" t="s">
        <v>3137</v>
      </c>
      <c r="S17" s="3426">
        <f>F17</f>
        <v>100</v>
      </c>
      <c r="T17" s="3425" t="s">
        <v>3137</v>
      </c>
      <c r="U17" s="3426">
        <f>H17</f>
        <v>100</v>
      </c>
      <c r="V17" s="3425" t="s">
        <v>3137</v>
      </c>
      <c r="W17" s="3426">
        <f>J17</f>
        <v>100</v>
      </c>
      <c r="X17" s="3347"/>
      <c r="Y17" s="3438"/>
      <c r="Z17" s="3428" t="str">
        <f>Q17</f>
        <v>交通便捷度</v>
      </c>
      <c r="AA17" s="3429">
        <f t="shared" si="3"/>
        <v>1</v>
      </c>
      <c r="AB17" s="3429">
        <f t="shared" si="4"/>
        <v>1</v>
      </c>
      <c r="AC17" s="3430">
        <f t="shared" si="5"/>
        <v>1</v>
      </c>
    </row>
    <row r="18" spans="1:29" ht="15">
      <c r="A18" s="3398"/>
      <c r="B18" s="3444"/>
      <c r="C18" s="3432" t="s">
        <v>3082</v>
      </c>
      <c r="D18" s="3435"/>
      <c r="E18" s="3434" t="s">
        <v>3082</v>
      </c>
      <c r="F18" s="3435"/>
      <c r="G18" s="3434" t="s">
        <v>3082</v>
      </c>
      <c r="H18" s="3433"/>
      <c r="I18" s="3434" t="s">
        <v>3082</v>
      </c>
      <c r="J18" s="3433"/>
      <c r="K18" s="3436"/>
      <c r="L18" s="3410"/>
      <c r="M18" s="3325"/>
      <c r="N18" s="3325"/>
      <c r="O18" s="3325"/>
      <c r="P18" s="3437"/>
      <c r="Q18" s="3424"/>
      <c r="R18" s="3425"/>
      <c r="S18" s="3426"/>
      <c r="T18" s="3425"/>
      <c r="U18" s="3426"/>
      <c r="V18" s="3425"/>
      <c r="W18" s="3426"/>
      <c r="X18" s="3347"/>
      <c r="Y18" s="3438"/>
      <c r="Z18" s="3428"/>
      <c r="AA18" s="3429">
        <v>1</v>
      </c>
      <c r="AB18" s="3429">
        <v>1</v>
      </c>
      <c r="AC18" s="3430">
        <v>1</v>
      </c>
    </row>
    <row r="19" spans="1:29" ht="42.75">
      <c r="A19" s="3398"/>
      <c r="B19" s="3439" t="s">
        <v>3138</v>
      </c>
      <c r="C19" s="3440" t="str">
        <f>[1]估价对象房地状况!C7</f>
        <v>估价对象所在区域公共配套设施齐备情况</v>
      </c>
      <c r="D19" s="3443">
        <v>100</v>
      </c>
      <c r="E19" s="3445"/>
      <c r="F19" s="3443">
        <f>SUMIF(81:81,E20,82:82)-SUMIF(81:81,C20,82:82)+100</f>
        <v>100</v>
      </c>
      <c r="G19" s="3446"/>
      <c r="H19" s="3435">
        <f>SUMIF(81:81,G20,82:82)-SUMIF(81:81,C20,82:82)+100</f>
        <v>100</v>
      </c>
      <c r="I19" s="3446"/>
      <c r="J19" s="3435">
        <f>SUMIF(81:81,I20,82:82)-SUMIF(81:81,C20,82:82)+100</f>
        <v>100</v>
      </c>
      <c r="K19" s="3422"/>
      <c r="L19" s="3410"/>
      <c r="M19" s="3325"/>
      <c r="N19" s="3325"/>
      <c r="O19" s="3325"/>
      <c r="P19" s="3437"/>
      <c r="Q19" s="3424" t="str">
        <f>B19</f>
        <v>公共配套设施</v>
      </c>
      <c r="R19" s="3425" t="s">
        <v>3137</v>
      </c>
      <c r="S19" s="3426">
        <f>F19</f>
        <v>100</v>
      </c>
      <c r="T19" s="3425" t="s">
        <v>3137</v>
      </c>
      <c r="U19" s="3426">
        <f>H19</f>
        <v>100</v>
      </c>
      <c r="V19" s="3425" t="s">
        <v>3119</v>
      </c>
      <c r="W19" s="3426">
        <f>J19</f>
        <v>100</v>
      </c>
      <c r="X19" s="3347"/>
      <c r="Y19" s="3438"/>
      <c r="Z19" s="3428" t="str">
        <f>Q19</f>
        <v>公共配套设施</v>
      </c>
      <c r="AA19" s="3429">
        <f t="shared" si="3"/>
        <v>1</v>
      </c>
      <c r="AB19" s="3429">
        <f t="shared" si="4"/>
        <v>1</v>
      </c>
      <c r="AC19" s="3430">
        <f t="shared" si="5"/>
        <v>1</v>
      </c>
    </row>
    <row r="20" spans="1:29" ht="15">
      <c r="A20" s="3398"/>
      <c r="B20" s="3444"/>
      <c r="C20" s="3432" t="s">
        <v>3082</v>
      </c>
      <c r="D20" s="3433"/>
      <c r="E20" s="3432" t="s">
        <v>3082</v>
      </c>
      <c r="F20" s="3433"/>
      <c r="G20" s="3432" t="s">
        <v>3082</v>
      </c>
      <c r="H20" s="3433"/>
      <c r="I20" s="3432" t="s">
        <v>3082</v>
      </c>
      <c r="J20" s="3433"/>
      <c r="K20" s="3436"/>
      <c r="L20" s="3410"/>
      <c r="M20" s="3325"/>
      <c r="N20" s="3325"/>
      <c r="O20" s="3325"/>
      <c r="P20" s="3437"/>
      <c r="Q20" s="3424"/>
      <c r="R20" s="3425"/>
      <c r="S20" s="3426"/>
      <c r="T20" s="3425"/>
      <c r="U20" s="3426"/>
      <c r="V20" s="3425"/>
      <c r="W20" s="3426"/>
      <c r="X20" s="3347"/>
      <c r="Y20" s="3438"/>
      <c r="Z20" s="3428"/>
      <c r="AA20" s="3429">
        <v>1</v>
      </c>
      <c r="AB20" s="3429">
        <v>1</v>
      </c>
      <c r="AC20" s="3430">
        <v>1</v>
      </c>
    </row>
    <row r="21" spans="1:29" ht="28.5">
      <c r="A21" s="3398"/>
      <c r="B21" s="3447" t="s">
        <v>3139</v>
      </c>
      <c r="C21" s="3440" t="str">
        <f>[1]估价对象房地状况!C8</f>
        <v>估价对象所在区域基础设施水平</v>
      </c>
      <c r="D21" s="3435">
        <v>100</v>
      </c>
      <c r="E21" s="3445"/>
      <c r="F21" s="3443">
        <f>SUMIF(83:83,E22,84:84)-SUMIF(83:83,C22,84:84)+100</f>
        <v>100</v>
      </c>
      <c r="G21" s="3446"/>
      <c r="H21" s="3435">
        <f>SUMIF(83:83,G22,84:84)-SUMIF(83:83,C22,84:84)+100</f>
        <v>100</v>
      </c>
      <c r="I21" s="3446"/>
      <c r="J21" s="3435">
        <f>SUMIF(83:83,I22,84:84)-SUMIF(83:83,C22,84:84)+100</f>
        <v>100</v>
      </c>
      <c r="K21" s="3422">
        <v>2</v>
      </c>
      <c r="L21" s="3410"/>
      <c r="M21" s="3325"/>
      <c r="N21" s="3325"/>
      <c r="O21" s="3325"/>
      <c r="P21" s="3437"/>
      <c r="Q21" s="3424" t="str">
        <f>B21</f>
        <v>基础设施水平</v>
      </c>
      <c r="R21" s="3425" t="s">
        <v>3140</v>
      </c>
      <c r="S21" s="3426">
        <f>F21</f>
        <v>100</v>
      </c>
      <c r="T21" s="3425" t="s">
        <v>3140</v>
      </c>
      <c r="U21" s="3426">
        <f>H21</f>
        <v>100</v>
      </c>
      <c r="V21" s="3425" t="s">
        <v>3140</v>
      </c>
      <c r="W21" s="3426">
        <f>J21</f>
        <v>100</v>
      </c>
      <c r="X21" s="3347"/>
      <c r="Y21" s="3438"/>
      <c r="Z21" s="3428" t="str">
        <f>Q21</f>
        <v>基础设施水平</v>
      </c>
      <c r="AA21" s="3429">
        <f t="shared" ref="AA21" si="8">D21/F21</f>
        <v>1</v>
      </c>
      <c r="AB21" s="3429">
        <f t="shared" ref="AB21" si="9">D21/H21</f>
        <v>1</v>
      </c>
      <c r="AC21" s="3430">
        <f t="shared" ref="AC21" si="10">D21/J21</f>
        <v>1</v>
      </c>
    </row>
    <row r="22" spans="1:29" ht="15">
      <c r="A22" s="3398"/>
      <c r="B22" s="3447"/>
      <c r="C22" s="3448" t="s">
        <v>3141</v>
      </c>
      <c r="D22" s="3433"/>
      <c r="E22" s="3448" t="s">
        <v>3141</v>
      </c>
      <c r="F22" s="3433"/>
      <c r="G22" s="3448" t="s">
        <v>3141</v>
      </c>
      <c r="H22" s="3433"/>
      <c r="I22" s="3448" t="s">
        <v>3141</v>
      </c>
      <c r="J22" s="3433"/>
      <c r="K22" s="3449"/>
      <c r="L22" s="3410"/>
      <c r="M22" s="3325"/>
      <c r="N22" s="3325"/>
      <c r="O22" s="3325"/>
      <c r="P22" s="3437"/>
      <c r="Q22" s="3424"/>
      <c r="R22" s="3425"/>
      <c r="S22" s="3426"/>
      <c r="T22" s="3425"/>
      <c r="U22" s="3426"/>
      <c r="V22" s="3425"/>
      <c r="W22" s="3426"/>
      <c r="X22" s="3347"/>
      <c r="Y22" s="3438"/>
      <c r="Z22" s="3428"/>
      <c r="AA22" s="3429">
        <v>1</v>
      </c>
      <c r="AB22" s="3429">
        <v>1</v>
      </c>
      <c r="AC22" s="3430">
        <v>1</v>
      </c>
    </row>
    <row r="23" spans="1:29" ht="42.75">
      <c r="A23" s="3398"/>
      <c r="B23" s="3439" t="s">
        <v>3142</v>
      </c>
      <c r="C23" s="3440" t="str">
        <f>[1]估价对象房地状况!C9</f>
        <v>区域自然环境：；人文环境；综合评价环境状况一般</v>
      </c>
      <c r="D23" s="3435">
        <v>100</v>
      </c>
      <c r="E23" s="3441"/>
      <c r="F23" s="3435">
        <f>SUMIF(85:85,E24,86:86)-SUMIF(85:85,C24,86:86)+100</f>
        <v>100</v>
      </c>
      <c r="G23" s="3442"/>
      <c r="H23" s="3435">
        <f>SUMIF(85:85,G24,86:86)-SUMIF(85:85,C24,86:86)+100</f>
        <v>100</v>
      </c>
      <c r="I23" s="3442"/>
      <c r="J23" s="3435">
        <f>SUMIF(85:85,I24,86:86)-SUMIF(85:85,C24,86:86)+100</f>
        <v>100</v>
      </c>
      <c r="K23" s="3422">
        <v>3</v>
      </c>
      <c r="L23" s="3410"/>
      <c r="M23" s="3325"/>
      <c r="N23" s="3325"/>
      <c r="O23" s="3325"/>
      <c r="P23" s="3437"/>
      <c r="Q23" s="3424" t="str">
        <f>B23</f>
        <v>环境质量</v>
      </c>
      <c r="R23" s="3425" t="s">
        <v>3140</v>
      </c>
      <c r="S23" s="3426">
        <f>F23</f>
        <v>100</v>
      </c>
      <c r="T23" s="3425" t="s">
        <v>3140</v>
      </c>
      <c r="U23" s="3426">
        <f>H23</f>
        <v>100</v>
      </c>
      <c r="V23" s="3425" t="s">
        <v>3140</v>
      </c>
      <c r="W23" s="3426">
        <f>J23</f>
        <v>100</v>
      </c>
      <c r="X23" s="3347"/>
      <c r="Y23" s="3438"/>
      <c r="Z23" s="3428" t="str">
        <f>Q23</f>
        <v>环境质量</v>
      </c>
      <c r="AA23" s="3429">
        <f t="shared" si="3"/>
        <v>1</v>
      </c>
      <c r="AB23" s="3429">
        <f t="shared" si="4"/>
        <v>1</v>
      </c>
      <c r="AC23" s="3430">
        <f t="shared" si="5"/>
        <v>1</v>
      </c>
    </row>
    <row r="24" spans="1:29" ht="15">
      <c r="A24" s="3398"/>
      <c r="B24" s="3447"/>
      <c r="C24" s="3432" t="s">
        <v>3082</v>
      </c>
      <c r="D24" s="3433"/>
      <c r="E24" s="3432" t="s">
        <v>3082</v>
      </c>
      <c r="F24" s="3433"/>
      <c r="G24" s="3432" t="s">
        <v>3082</v>
      </c>
      <c r="H24" s="3433"/>
      <c r="I24" s="3432" t="s">
        <v>3082</v>
      </c>
      <c r="J24" s="3433"/>
      <c r="K24" s="3436"/>
      <c r="L24" s="3410"/>
      <c r="M24" s="3325"/>
      <c r="N24" s="3325"/>
      <c r="O24" s="3325"/>
      <c r="P24" s="3437"/>
      <c r="Q24" s="3424"/>
      <c r="R24" s="3425"/>
      <c r="S24" s="3426"/>
      <c r="T24" s="3425"/>
      <c r="U24" s="3426"/>
      <c r="V24" s="3425"/>
      <c r="W24" s="3426"/>
      <c r="X24" s="3347"/>
      <c r="Y24" s="3438"/>
      <c r="Z24" s="3428"/>
      <c r="AA24" s="3429">
        <v>1</v>
      </c>
      <c r="AB24" s="3429">
        <v>1</v>
      </c>
      <c r="AC24" s="3430">
        <v>1</v>
      </c>
    </row>
    <row r="25" spans="1:29" ht="28.5">
      <c r="A25" s="3335"/>
      <c r="B25" s="3439" t="s">
        <v>3143</v>
      </c>
      <c r="C25" s="3450" t="s">
        <v>3144</v>
      </c>
      <c r="D25" s="3409">
        <v>100</v>
      </c>
      <c r="E25" s="3450" t="s">
        <v>3145</v>
      </c>
      <c r="F25" s="3409">
        <f>SUMIF(87:87,E26,88:88)-SUMIF(87:87,C26,88:88)+100</f>
        <v>100</v>
      </c>
      <c r="G25" s="3450" t="s">
        <v>3146</v>
      </c>
      <c r="H25" s="3409">
        <f>SUMIF(87:87,G26,88:88)-SUMIF(87:87,C26,88:88)+100</f>
        <v>100</v>
      </c>
      <c r="I25" s="3450" t="s">
        <v>3147</v>
      </c>
      <c r="J25" s="3409">
        <f>SUMIF(87:87,I26,88:88)-SUMIF(87:87,C26,88:88)+100</f>
        <v>100</v>
      </c>
      <c r="K25" s="3422">
        <v>2</v>
      </c>
      <c r="L25" s="3410"/>
      <c r="M25" s="3325"/>
      <c r="N25" s="3325"/>
      <c r="O25" s="3325"/>
      <c r="P25" s="3437"/>
      <c r="Q25" s="3424" t="str">
        <f>B25</f>
        <v>毗邻道路的类型与等级</v>
      </c>
      <c r="R25" s="3425" t="s">
        <v>3140</v>
      </c>
      <c r="S25" s="3426">
        <f>F25</f>
        <v>100</v>
      </c>
      <c r="T25" s="3425" t="s">
        <v>3140</v>
      </c>
      <c r="U25" s="3426">
        <f>H25</f>
        <v>100</v>
      </c>
      <c r="V25" s="3425" t="s">
        <v>3140</v>
      </c>
      <c r="W25" s="3426">
        <f>J25</f>
        <v>100</v>
      </c>
      <c r="X25" s="3347"/>
      <c r="Y25" s="3438"/>
      <c r="Z25" s="3428" t="str">
        <f>Q25</f>
        <v>毗邻道路的类型与等级</v>
      </c>
      <c r="AA25" s="3429">
        <f t="shared" si="3"/>
        <v>1</v>
      </c>
      <c r="AB25" s="3429">
        <f t="shared" si="4"/>
        <v>1</v>
      </c>
      <c r="AC25" s="3430">
        <f t="shared" si="5"/>
        <v>1</v>
      </c>
    </row>
    <row r="26" spans="1:29" ht="15">
      <c r="A26" s="3335"/>
      <c r="B26" s="3444"/>
      <c r="C26" s="3451" t="s">
        <v>3148</v>
      </c>
      <c r="D26" s="3409"/>
      <c r="E26" s="3451" t="s">
        <v>3148</v>
      </c>
      <c r="F26" s="3409"/>
      <c r="G26" s="3451" t="s">
        <v>3148</v>
      </c>
      <c r="H26" s="3409"/>
      <c r="I26" s="3451" t="s">
        <v>3148</v>
      </c>
      <c r="J26" s="3409"/>
      <c r="K26" s="3436"/>
      <c r="L26" s="3410"/>
      <c r="M26" s="3325"/>
      <c r="N26" s="3325"/>
      <c r="O26" s="3325"/>
      <c r="P26" s="3437"/>
      <c r="Q26" s="3424"/>
      <c r="R26" s="3425"/>
      <c r="S26" s="3426"/>
      <c r="T26" s="3425"/>
      <c r="U26" s="3426"/>
      <c r="V26" s="3425"/>
      <c r="W26" s="3426"/>
      <c r="X26" s="3347"/>
      <c r="Y26" s="3438"/>
      <c r="Z26" s="3428"/>
      <c r="AA26" s="3429">
        <v>1</v>
      </c>
      <c r="AB26" s="3429">
        <v>1</v>
      </c>
      <c r="AC26" s="3430">
        <v>1</v>
      </c>
    </row>
    <row r="27" spans="1:29" ht="15">
      <c r="A27" s="3398"/>
      <c r="B27" s="3444" t="s">
        <v>3149</v>
      </c>
      <c r="C27" s="3451" t="s">
        <v>3150</v>
      </c>
      <c r="D27" s="3409">
        <v>100</v>
      </c>
      <c r="E27" s="3452" t="s">
        <v>3151</v>
      </c>
      <c r="F27" s="3409">
        <f>SUMIF(89:89,E27,90:90)-SUMIF(89:89,C27,90:90)+100</f>
        <v>103</v>
      </c>
      <c r="G27" s="3451" t="s">
        <v>3152</v>
      </c>
      <c r="H27" s="3409">
        <f>SUMIF(89:89,G27,90:90)-SUMIF(89:89,C27,90:90)+100</f>
        <v>97</v>
      </c>
      <c r="I27" s="3452" t="s">
        <v>3151</v>
      </c>
      <c r="J27" s="3409">
        <f>SUMIF(89:89,I27,90:90)-SUMIF(89:89,C27,90:90)+100</f>
        <v>103</v>
      </c>
      <c r="K27" s="3394">
        <v>3</v>
      </c>
      <c r="L27" s="3410"/>
      <c r="M27" s="3325"/>
      <c r="N27" s="3325"/>
      <c r="O27" s="3325"/>
      <c r="P27" s="3437"/>
      <c r="Q27" s="3424" t="str">
        <f t="shared" ref="Q27:Q47" si="11">B27</f>
        <v>楼层</v>
      </c>
      <c r="R27" s="3425" t="s">
        <v>3119</v>
      </c>
      <c r="S27" s="3426">
        <f>F27</f>
        <v>103</v>
      </c>
      <c r="T27" s="3425" t="s">
        <v>3140</v>
      </c>
      <c r="U27" s="3426">
        <f>H27</f>
        <v>97</v>
      </c>
      <c r="V27" s="3425" t="s">
        <v>3140</v>
      </c>
      <c r="W27" s="3426">
        <f>J27</f>
        <v>103</v>
      </c>
      <c r="X27" s="3347"/>
      <c r="Y27" s="3438"/>
      <c r="Z27" s="3428" t="str">
        <f>Q27</f>
        <v>楼层</v>
      </c>
      <c r="AA27" s="3429">
        <f t="shared" si="3"/>
        <v>0.970873786407767</v>
      </c>
      <c r="AB27" s="3429">
        <f t="shared" si="4"/>
        <v>1.0309278350515463</v>
      </c>
      <c r="AC27" s="3430">
        <f t="shared" si="5"/>
        <v>0.970873786407767</v>
      </c>
    </row>
    <row r="28" spans="1:29" s="3380" customFormat="1" ht="15">
      <c r="A28" s="3402"/>
      <c r="B28" s="3439" t="s">
        <v>3153</v>
      </c>
      <c r="C28" s="3453"/>
      <c r="D28" s="3454">
        <v>100</v>
      </c>
      <c r="E28" s="3455"/>
      <c r="F28" s="3454">
        <f>SUMIF(91:91,E28,92:92)-SUMIF(91:91,C28,92:92)+100</f>
        <v>100</v>
      </c>
      <c r="G28" s="3453"/>
      <c r="H28" s="3454">
        <f>SUMIF(91:91,G28,92:92)-SUMIF(91:91,C28,92:92)+100</f>
        <v>100</v>
      </c>
      <c r="I28" s="3455"/>
      <c r="J28" s="3454">
        <f>SUMIF(91:91,I28,92:92)-SUMIF(91:91,C28,92:92)+100</f>
        <v>100</v>
      </c>
      <c r="K28" s="3394">
        <v>2</v>
      </c>
      <c r="L28" s="3369"/>
      <c r="M28" s="3370"/>
      <c r="N28" s="3370"/>
      <c r="O28" s="3370"/>
      <c r="P28" s="3437"/>
      <c r="Q28" s="3387" t="str">
        <f t="shared" si="11"/>
        <v>朝向</v>
      </c>
      <c r="R28" s="3373" t="s">
        <v>3119</v>
      </c>
      <c r="S28" s="3374">
        <f>F28</f>
        <v>100</v>
      </c>
      <c r="T28" s="3373" t="s">
        <v>3140</v>
      </c>
      <c r="U28" s="3374">
        <f>H28</f>
        <v>100</v>
      </c>
      <c r="V28" s="3373" t="s">
        <v>3140</v>
      </c>
      <c r="W28" s="3374">
        <f>J28</f>
        <v>100</v>
      </c>
      <c r="X28" s="3375"/>
      <c r="Y28" s="3438"/>
      <c r="Z28" s="3389" t="str">
        <f>Q28</f>
        <v>朝向</v>
      </c>
      <c r="AA28" s="3429">
        <f>D28/F28</f>
        <v>1</v>
      </c>
      <c r="AB28" s="3429">
        <f>D28/H28</f>
        <v>1</v>
      </c>
      <c r="AC28" s="3430">
        <f>D28/J28</f>
        <v>1</v>
      </c>
    </row>
    <row r="29" spans="1:29" ht="15">
      <c r="A29" s="3398"/>
      <c r="B29" s="3456">
        <v>111</v>
      </c>
      <c r="C29" s="3450"/>
      <c r="D29" s="3409">
        <v>100</v>
      </c>
      <c r="E29" s="3404"/>
      <c r="F29" s="3409">
        <f>SUMIF(93:93,E29,94:94)-SUMIF(93:93,C29,94:94)+100</f>
        <v>100</v>
      </c>
      <c r="G29" s="3406"/>
      <c r="H29" s="3409">
        <f>SUMIF(93:93,G29,94:94)-SUMIF(93:93,C29,94:94)+100</f>
        <v>100</v>
      </c>
      <c r="I29" s="3404"/>
      <c r="J29" s="3409">
        <f>SUMIF(93:93,I29,94:94)-SUMIF(93:93,C29,94:94)+100</f>
        <v>100</v>
      </c>
      <c r="K29" s="3407"/>
      <c r="L29" s="3410"/>
      <c r="M29" s="3325"/>
      <c r="N29" s="3325"/>
      <c r="O29" s="3325"/>
      <c r="P29" s="3437"/>
      <c r="Q29" s="3424">
        <f t="shared" si="11"/>
        <v>111</v>
      </c>
      <c r="R29" s="3425" t="s">
        <v>3140</v>
      </c>
      <c r="S29" s="3426">
        <f t="shared" ref="S29:S47" si="12">F29</f>
        <v>100</v>
      </c>
      <c r="T29" s="3425" t="s">
        <v>3140</v>
      </c>
      <c r="U29" s="3426">
        <f t="shared" ref="U29:U47" si="13">H29</f>
        <v>100</v>
      </c>
      <c r="V29" s="3425" t="s">
        <v>3140</v>
      </c>
      <c r="W29" s="3426">
        <f t="shared" ref="W29:W47" si="14">J29</f>
        <v>100</v>
      </c>
      <c r="X29" s="3347"/>
      <c r="Y29" s="3438"/>
      <c r="Z29" s="3428">
        <f t="shared" ref="Z29:Z47" si="15">Q29</f>
        <v>111</v>
      </c>
      <c r="AA29" s="3429">
        <f t="shared" si="3"/>
        <v>1</v>
      </c>
      <c r="AB29" s="3429">
        <f t="shared" si="4"/>
        <v>1</v>
      </c>
      <c r="AC29" s="3430">
        <f t="shared" si="5"/>
        <v>1</v>
      </c>
    </row>
    <row r="30" spans="1:29" ht="15">
      <c r="A30" s="3398"/>
      <c r="B30" s="3456">
        <v>111</v>
      </c>
      <c r="C30" s="3450"/>
      <c r="D30" s="3409">
        <v>100</v>
      </c>
      <c r="E30" s="3404"/>
      <c r="F30" s="3409">
        <f>SUMIF(95:95,E30,96:96)-SUMIF(95:95,C30,96:96)+100</f>
        <v>100</v>
      </c>
      <c r="G30" s="3406"/>
      <c r="H30" s="3409">
        <f>SUMIF(95:95,G30,96:96)-SUMIF(95:95,C30,96:96)+100</f>
        <v>100</v>
      </c>
      <c r="I30" s="3404"/>
      <c r="J30" s="3409">
        <f>SUMIF(95:95,I30,96:96)-SUMIF(95:95,C30,96:96)+100</f>
        <v>100</v>
      </c>
      <c r="K30" s="3407"/>
      <c r="L30" s="3410"/>
      <c r="M30" s="3325"/>
      <c r="N30" s="3325"/>
      <c r="O30" s="3325"/>
      <c r="P30" s="3437"/>
      <c r="Q30" s="3424">
        <f t="shared" si="11"/>
        <v>111</v>
      </c>
      <c r="R30" s="3425" t="s">
        <v>3140</v>
      </c>
      <c r="S30" s="3426">
        <f t="shared" si="12"/>
        <v>100</v>
      </c>
      <c r="T30" s="3425" t="s">
        <v>3140</v>
      </c>
      <c r="U30" s="3426">
        <f t="shared" si="13"/>
        <v>100</v>
      </c>
      <c r="V30" s="3425" t="s">
        <v>3140</v>
      </c>
      <c r="W30" s="3426">
        <f t="shared" si="14"/>
        <v>100</v>
      </c>
      <c r="X30" s="3347"/>
      <c r="Y30" s="3438"/>
      <c r="Z30" s="3428">
        <f t="shared" si="15"/>
        <v>111</v>
      </c>
      <c r="AA30" s="3429">
        <f t="shared" si="3"/>
        <v>1</v>
      </c>
      <c r="AB30" s="3429">
        <f t="shared" si="4"/>
        <v>1</v>
      </c>
      <c r="AC30" s="3430">
        <f t="shared" si="5"/>
        <v>1</v>
      </c>
    </row>
    <row r="31" spans="1:29" ht="15">
      <c r="A31" s="3398"/>
      <c r="B31" s="3456">
        <v>111</v>
      </c>
      <c r="C31" s="3450"/>
      <c r="D31" s="3409">
        <v>100</v>
      </c>
      <c r="E31" s="3404"/>
      <c r="F31" s="3409">
        <f>SUMIF(97:97,E31,98:98)-SUMIF(97:97,C31,98:98)+100</f>
        <v>100</v>
      </c>
      <c r="G31" s="3406"/>
      <c r="H31" s="3409">
        <f>SUMIF(97:97,G31,98:98)-SUMIF(97:97,C31,98:98)+100</f>
        <v>100</v>
      </c>
      <c r="I31" s="3404"/>
      <c r="J31" s="3409">
        <f>SUMIF(97:97,I31,98:98)-SUMIF(97:97,C31,98:98)+100</f>
        <v>100</v>
      </c>
      <c r="K31" s="3407"/>
      <c r="L31" s="3410"/>
      <c r="M31" s="3325"/>
      <c r="N31" s="3325"/>
      <c r="O31" s="3325"/>
      <c r="P31" s="3437"/>
      <c r="Q31" s="3424">
        <f t="shared" si="11"/>
        <v>111</v>
      </c>
      <c r="R31" s="3425" t="s">
        <v>3140</v>
      </c>
      <c r="S31" s="3426">
        <f t="shared" si="12"/>
        <v>100</v>
      </c>
      <c r="T31" s="3425" t="s">
        <v>3140</v>
      </c>
      <c r="U31" s="3426">
        <f t="shared" si="13"/>
        <v>100</v>
      </c>
      <c r="V31" s="3425" t="s">
        <v>3140</v>
      </c>
      <c r="W31" s="3426">
        <f t="shared" si="14"/>
        <v>100</v>
      </c>
      <c r="X31" s="3347"/>
      <c r="Y31" s="3438"/>
      <c r="Z31" s="3428">
        <f t="shared" si="15"/>
        <v>111</v>
      </c>
      <c r="AA31" s="3429">
        <f t="shared" si="3"/>
        <v>1</v>
      </c>
      <c r="AB31" s="3429">
        <f t="shared" si="4"/>
        <v>1</v>
      </c>
      <c r="AC31" s="3430">
        <f t="shared" si="5"/>
        <v>1</v>
      </c>
    </row>
    <row r="32" spans="1:29" ht="15.75" thickBot="1">
      <c r="A32" s="3411"/>
      <c r="B32" s="3457">
        <v>111</v>
      </c>
      <c r="C32" s="3458"/>
      <c r="D32" s="3414">
        <v>100</v>
      </c>
      <c r="E32" s="3415"/>
      <c r="F32" s="3414">
        <f>SUMIF(99:99,E32,100:100)-SUMIF(99:99,C32,100:100)+100</f>
        <v>100</v>
      </c>
      <c r="G32" s="3406"/>
      <c r="H32" s="3414">
        <f>SUMIF(99:99,G32,100:100)-SUMIF(99:99,C32,100:100)+100</f>
        <v>100</v>
      </c>
      <c r="I32" s="3404"/>
      <c r="J32" s="3414">
        <f>SUMIF(99:99,I32,100:100)-SUMIF(99:99,C32,100:100)+100</f>
        <v>100</v>
      </c>
      <c r="K32" s="3407"/>
      <c r="L32" s="3410"/>
      <c r="M32" s="3325"/>
      <c r="N32" s="3325"/>
      <c r="O32" s="3325"/>
      <c r="P32" s="3437"/>
      <c r="Q32" s="3424">
        <f t="shared" si="11"/>
        <v>111</v>
      </c>
      <c r="R32" s="3425" t="s">
        <v>3140</v>
      </c>
      <c r="S32" s="3426">
        <f t="shared" si="12"/>
        <v>100</v>
      </c>
      <c r="T32" s="3425" t="s">
        <v>3140</v>
      </c>
      <c r="U32" s="3426">
        <f t="shared" si="13"/>
        <v>100</v>
      </c>
      <c r="V32" s="3425" t="s">
        <v>3140</v>
      </c>
      <c r="W32" s="3426">
        <f t="shared" si="14"/>
        <v>100</v>
      </c>
      <c r="X32" s="3347"/>
      <c r="Y32" s="3438"/>
      <c r="Z32" s="3428">
        <f t="shared" si="15"/>
        <v>111</v>
      </c>
      <c r="AA32" s="3429">
        <f t="shared" si="3"/>
        <v>1</v>
      </c>
      <c r="AB32" s="3429">
        <f t="shared" si="4"/>
        <v>1</v>
      </c>
      <c r="AC32" s="3430">
        <f t="shared" si="5"/>
        <v>1</v>
      </c>
    </row>
    <row r="33" spans="1:29" ht="15">
      <c r="A33" s="3416" t="s">
        <v>3154</v>
      </c>
      <c r="B33" s="3383" t="s">
        <v>3155</v>
      </c>
      <c r="C33" s="3459" t="s">
        <v>3156</v>
      </c>
      <c r="D33" s="3460">
        <v>100</v>
      </c>
      <c r="E33" s="3459" t="s">
        <v>3156</v>
      </c>
      <c r="F33" s="3461">
        <f>SUMIF(101:101,E33,102:102)-SUMIF(101:101,C33,102:102)+100</f>
        <v>100</v>
      </c>
      <c r="G33" s="3459" t="s">
        <v>3156</v>
      </c>
      <c r="H33" s="3409">
        <f>SUMIF(101:101,G33,102:102)-SUMIF(101:101,C33,102:102)+100</f>
        <v>100</v>
      </c>
      <c r="I33" s="3459" t="s">
        <v>3156</v>
      </c>
      <c r="J33" s="3460">
        <f>SUMIF(101:101,I33,102:102)-SUMIF(101:101,C33,102:102)+100</f>
        <v>100</v>
      </c>
      <c r="K33" s="3394">
        <v>1</v>
      </c>
      <c r="L33" s="3410"/>
      <c r="M33" s="3325"/>
      <c r="N33" s="3325"/>
      <c r="O33" s="3325"/>
      <c r="P33" s="3462" t="s">
        <v>3158</v>
      </c>
      <c r="Q33" s="3424" t="str">
        <f t="shared" si="11"/>
        <v>建筑类型</v>
      </c>
      <c r="R33" s="3425" t="s">
        <v>3140</v>
      </c>
      <c r="S33" s="3426">
        <f t="shared" si="12"/>
        <v>100</v>
      </c>
      <c r="T33" s="3425" t="s">
        <v>3140</v>
      </c>
      <c r="U33" s="3426">
        <f t="shared" si="13"/>
        <v>100</v>
      </c>
      <c r="V33" s="3425" t="s">
        <v>3140</v>
      </c>
      <c r="W33" s="3426">
        <f t="shared" si="14"/>
        <v>100</v>
      </c>
      <c r="X33" s="3347"/>
      <c r="Y33" s="3463" t="s">
        <v>3159</v>
      </c>
      <c r="Z33" s="3428" t="str">
        <f t="shared" si="15"/>
        <v>建筑类型</v>
      </c>
      <c r="AA33" s="3429">
        <f t="shared" si="3"/>
        <v>1</v>
      </c>
      <c r="AB33" s="3429">
        <f t="shared" si="4"/>
        <v>1</v>
      </c>
      <c r="AC33" s="3430">
        <f t="shared" si="5"/>
        <v>1</v>
      </c>
    </row>
    <row r="34" spans="1:29" s="3475" customFormat="1" ht="15">
      <c r="A34" s="3464"/>
      <c r="B34" s="3465" t="s">
        <v>2569</v>
      </c>
      <c r="C34" s="3466">
        <v>462.36</v>
      </c>
      <c r="D34" s="3393">
        <v>100</v>
      </c>
      <c r="E34" s="3466">
        <v>220</v>
      </c>
      <c r="F34" s="3467">
        <f>LOOKUP(E34,104:104,105:105)-LOOKUP(C34,104:104,105:105)+100</f>
        <v>99</v>
      </c>
      <c r="G34" s="3466">
        <v>1300</v>
      </c>
      <c r="H34" s="3393">
        <f>LOOKUP(G34,104:104,105:105)-LOOKUP(C34,104:104,105:105)+100</f>
        <v>97</v>
      </c>
      <c r="I34" s="3466">
        <v>147</v>
      </c>
      <c r="J34" s="3393">
        <f>LOOKUP(I34,104:104,105:105)-LOOKUP(C34,104:104,105:105)+100</f>
        <v>98</v>
      </c>
      <c r="K34" s="3407"/>
      <c r="L34" s="3401"/>
      <c r="M34" s="3468"/>
      <c r="N34" s="3468"/>
      <c r="O34" s="3468"/>
      <c r="P34" s="3469"/>
      <c r="Q34" s="3470" t="str">
        <f t="shared" si="11"/>
        <v>项目建筑规模</v>
      </c>
      <c r="R34" s="3471" t="s">
        <v>3140</v>
      </c>
      <c r="S34" s="3472">
        <f t="shared" si="12"/>
        <v>99</v>
      </c>
      <c r="T34" s="3471" t="s">
        <v>3140</v>
      </c>
      <c r="U34" s="3472">
        <f t="shared" si="13"/>
        <v>97</v>
      </c>
      <c r="V34" s="3471" t="s">
        <v>3140</v>
      </c>
      <c r="W34" s="3472">
        <f t="shared" si="14"/>
        <v>98</v>
      </c>
      <c r="X34" s="3473"/>
      <c r="Y34" s="3463"/>
      <c r="Z34" s="3474" t="str">
        <f t="shared" si="15"/>
        <v>项目建筑规模</v>
      </c>
      <c r="AA34" s="3429">
        <f t="shared" si="3"/>
        <v>1.0101010101010102</v>
      </c>
      <c r="AB34" s="3429">
        <f t="shared" si="4"/>
        <v>1.0309278350515463</v>
      </c>
      <c r="AC34" s="3430">
        <f t="shared" si="5"/>
        <v>1.0204081632653061</v>
      </c>
    </row>
    <row r="35" spans="1:29" ht="15">
      <c r="A35" s="3476"/>
      <c r="B35" s="3391" t="s">
        <v>2570</v>
      </c>
      <c r="C35" s="3477" t="s">
        <v>3160</v>
      </c>
      <c r="D35" s="3409">
        <v>100</v>
      </c>
      <c r="E35" s="3477" t="s">
        <v>3160</v>
      </c>
      <c r="F35" s="3461">
        <f>SUMIF(106:106,E35,107:107)-SUMIF(106:106,C35,107:107)+100</f>
        <v>100</v>
      </c>
      <c r="G35" s="3477" t="s">
        <v>3160</v>
      </c>
      <c r="H35" s="3409">
        <f>SUMIF(106:106,G35,107:107)-SUMIF(106:106,C35,107:107)+100</f>
        <v>100</v>
      </c>
      <c r="I35" s="3477" t="s">
        <v>3160</v>
      </c>
      <c r="J35" s="3409">
        <f>SUMIF(106:106,I35,107:107)-SUMIF(106:106,C35,107:107)+100</f>
        <v>100</v>
      </c>
      <c r="K35" s="3394">
        <v>2</v>
      </c>
      <c r="L35" s="3410"/>
      <c r="M35" s="3325"/>
      <c r="N35" s="3325"/>
      <c r="O35" s="3325"/>
      <c r="P35" s="3469"/>
      <c r="Q35" s="3424" t="str">
        <f t="shared" si="11"/>
        <v>建筑结构</v>
      </c>
      <c r="R35" s="3425" t="s">
        <v>3140</v>
      </c>
      <c r="S35" s="3426">
        <f t="shared" si="12"/>
        <v>100</v>
      </c>
      <c r="T35" s="3425" t="s">
        <v>3140</v>
      </c>
      <c r="U35" s="3426">
        <f t="shared" si="13"/>
        <v>100</v>
      </c>
      <c r="V35" s="3425" t="s">
        <v>3140</v>
      </c>
      <c r="W35" s="3426">
        <f t="shared" si="14"/>
        <v>100</v>
      </c>
      <c r="X35" s="3347"/>
      <c r="Y35" s="3463"/>
      <c r="Z35" s="3428" t="str">
        <f t="shared" si="15"/>
        <v>建筑结构</v>
      </c>
      <c r="AA35" s="3429">
        <f t="shared" si="3"/>
        <v>1</v>
      </c>
      <c r="AB35" s="3429">
        <f t="shared" si="4"/>
        <v>1</v>
      </c>
      <c r="AC35" s="3430">
        <f t="shared" si="5"/>
        <v>1</v>
      </c>
    </row>
    <row r="36" spans="1:29" ht="15">
      <c r="A36" s="3476"/>
      <c r="B36" s="3391" t="s">
        <v>3161</v>
      </c>
      <c r="C36" s="3477" t="s">
        <v>3162</v>
      </c>
      <c r="D36" s="3409">
        <v>100</v>
      </c>
      <c r="E36" s="3477" t="s">
        <v>3162</v>
      </c>
      <c r="F36" s="3461">
        <f>SUMIF(108:108,E36,109:109)-SUMIF(108:108,C36,109:109)+100</f>
        <v>100</v>
      </c>
      <c r="G36" s="3477" t="s">
        <v>3162</v>
      </c>
      <c r="H36" s="3409">
        <f>SUMIF(108:108,G36,109:109)-SUMIF(108:108,C36,109:109)+100</f>
        <v>100</v>
      </c>
      <c r="I36" s="3477" t="s">
        <v>3162</v>
      </c>
      <c r="J36" s="3409">
        <f>SUMIF(108:108,I36,109:109)-SUMIF(108:108,C36,109:109)+100</f>
        <v>100</v>
      </c>
      <c r="K36" s="3394">
        <v>3</v>
      </c>
      <c r="L36" s="3410"/>
      <c r="M36" s="3325"/>
      <c r="N36" s="3325"/>
      <c r="O36" s="3325"/>
      <c r="P36" s="3469"/>
      <c r="Q36" s="3424" t="str">
        <f t="shared" si="11"/>
        <v>公共部分装修</v>
      </c>
      <c r="R36" s="3425" t="s">
        <v>3140</v>
      </c>
      <c r="S36" s="3426">
        <f t="shared" si="12"/>
        <v>100</v>
      </c>
      <c r="T36" s="3425" t="s">
        <v>3140</v>
      </c>
      <c r="U36" s="3426">
        <f t="shared" si="13"/>
        <v>100</v>
      </c>
      <c r="V36" s="3425" t="s">
        <v>3140</v>
      </c>
      <c r="W36" s="3426">
        <f t="shared" si="14"/>
        <v>100</v>
      </c>
      <c r="X36" s="3347"/>
      <c r="Y36" s="3463"/>
      <c r="Z36" s="3428" t="str">
        <f t="shared" si="15"/>
        <v>公共部分装修</v>
      </c>
      <c r="AA36" s="3429">
        <f t="shared" si="3"/>
        <v>1</v>
      </c>
      <c r="AB36" s="3429">
        <f t="shared" si="4"/>
        <v>1</v>
      </c>
      <c r="AC36" s="3430">
        <f t="shared" si="5"/>
        <v>1</v>
      </c>
    </row>
    <row r="37" spans="1:29" ht="15">
      <c r="A37" s="3476"/>
      <c r="B37" s="3391" t="s">
        <v>3163</v>
      </c>
      <c r="C37" s="3478">
        <v>1</v>
      </c>
      <c r="D37" s="3409">
        <v>100</v>
      </c>
      <c r="E37" s="3478">
        <v>0.92</v>
      </c>
      <c r="F37" s="3461">
        <f>LOOKUP(E37,111:111,112:112)-LOOKUP(C37,111:111,112:112)+100</f>
        <v>100</v>
      </c>
      <c r="G37" s="3478">
        <v>0.9</v>
      </c>
      <c r="H37" s="3461">
        <f>LOOKUP(G37,111:111,112:112)-LOOKUP(C37,111:111,112:112)+100</f>
        <v>100</v>
      </c>
      <c r="I37" s="3478">
        <v>0.9</v>
      </c>
      <c r="J37" s="3409">
        <f>LOOKUP(I37,111:111,112:112)-LOOKUP(C37,111:111,112:112)+100</f>
        <v>100</v>
      </c>
      <c r="K37" s="3394">
        <v>2</v>
      </c>
      <c r="L37" s="3410"/>
      <c r="M37" s="3325"/>
      <c r="N37" s="3325"/>
      <c r="O37" s="3325"/>
      <c r="P37" s="3469"/>
      <c r="Q37" s="3424" t="str">
        <f t="shared" si="11"/>
        <v>成新度</v>
      </c>
      <c r="R37" s="3425" t="s">
        <v>3119</v>
      </c>
      <c r="S37" s="3426">
        <f t="shared" si="12"/>
        <v>100</v>
      </c>
      <c r="T37" s="3425" t="s">
        <v>3119</v>
      </c>
      <c r="U37" s="3426">
        <f t="shared" si="13"/>
        <v>100</v>
      </c>
      <c r="V37" s="3425" t="s">
        <v>3119</v>
      </c>
      <c r="W37" s="3426">
        <f t="shared" si="14"/>
        <v>100</v>
      </c>
      <c r="X37" s="3347"/>
      <c r="Y37" s="3463"/>
      <c r="Z37" s="3428" t="str">
        <f t="shared" si="15"/>
        <v>成新度</v>
      </c>
      <c r="AA37" s="3429">
        <f t="shared" si="3"/>
        <v>1</v>
      </c>
      <c r="AB37" s="3429">
        <f t="shared" si="4"/>
        <v>1</v>
      </c>
      <c r="AC37" s="3430">
        <f t="shared" si="5"/>
        <v>1</v>
      </c>
    </row>
    <row r="38" spans="1:29" s="3380" customFormat="1" ht="15">
      <c r="A38" s="3479"/>
      <c r="B38" s="3391" t="s">
        <v>3164</v>
      </c>
      <c r="C38" s="3477" t="s">
        <v>3165</v>
      </c>
      <c r="D38" s="3393">
        <v>100</v>
      </c>
      <c r="E38" s="3477" t="s">
        <v>3165</v>
      </c>
      <c r="F38" s="3461">
        <f>SUMIF(113:113,E38,114:114)-SUMIF(113:113,C38,114:114)+100</f>
        <v>100</v>
      </c>
      <c r="G38" s="3477" t="s">
        <v>3165</v>
      </c>
      <c r="H38" s="3409">
        <f>SUMIF(113:113,G38,114:114)-SUMIF(113:113,C38,114:114)+100</f>
        <v>100</v>
      </c>
      <c r="I38" s="3477" t="s">
        <v>3165</v>
      </c>
      <c r="J38" s="3409">
        <f>SUMIF(113:113,I38,114:114)-SUMIF(113:113,C38,114:114)+100</f>
        <v>100</v>
      </c>
      <c r="K38" s="3394">
        <v>3</v>
      </c>
      <c r="L38" s="3369"/>
      <c r="M38" s="3370"/>
      <c r="N38" s="3370"/>
      <c r="O38" s="3370"/>
      <c r="P38" s="3469"/>
      <c r="Q38" s="3387" t="str">
        <f t="shared" si="11"/>
        <v>写字楼等级</v>
      </c>
      <c r="R38" s="3373" t="s">
        <v>3140</v>
      </c>
      <c r="S38" s="3374">
        <f t="shared" si="12"/>
        <v>100</v>
      </c>
      <c r="T38" s="3373" t="s">
        <v>3140</v>
      </c>
      <c r="U38" s="3374">
        <f t="shared" si="13"/>
        <v>100</v>
      </c>
      <c r="V38" s="3373" t="s">
        <v>3140</v>
      </c>
      <c r="W38" s="3374">
        <f t="shared" si="14"/>
        <v>100</v>
      </c>
      <c r="X38" s="3375"/>
      <c r="Y38" s="3463"/>
      <c r="Z38" s="3389" t="str">
        <f t="shared" si="15"/>
        <v>写字楼等级</v>
      </c>
      <c r="AA38" s="3378">
        <f t="shared" si="3"/>
        <v>1</v>
      </c>
      <c r="AB38" s="3378">
        <f t="shared" si="4"/>
        <v>1</v>
      </c>
      <c r="AC38" s="3379">
        <f t="shared" si="5"/>
        <v>1</v>
      </c>
    </row>
    <row r="39" spans="1:29" ht="15">
      <c r="A39" s="3476"/>
      <c r="B39" s="3391" t="s">
        <v>3166</v>
      </c>
      <c r="C39" s="3477" t="s">
        <v>3167</v>
      </c>
      <c r="D39" s="3409">
        <v>100</v>
      </c>
      <c r="E39" s="3477" t="s">
        <v>3167</v>
      </c>
      <c r="F39" s="3461">
        <f>SUMIF(115:115,E39,116:116)-SUMIF(115:115,C39,116:116)+100</f>
        <v>100</v>
      </c>
      <c r="G39" s="3477" t="s">
        <v>3167</v>
      </c>
      <c r="H39" s="3409">
        <f>SUMIF(115:115,G39,116:116)-SUMIF(115:115,C39,116:116)+100</f>
        <v>100</v>
      </c>
      <c r="I39" s="3477" t="s">
        <v>3167</v>
      </c>
      <c r="J39" s="3409">
        <f>SUMIF(115:115,I39,116:116)-SUMIF(115:115,C39,116:116)+100</f>
        <v>100</v>
      </c>
      <c r="K39" s="3394">
        <v>3</v>
      </c>
      <c r="L39" s="3410"/>
      <c r="M39" s="3325"/>
      <c r="N39" s="3325"/>
      <c r="O39" s="3325"/>
      <c r="P39" s="3469" t="s">
        <v>3159</v>
      </c>
      <c r="Q39" s="3424" t="str">
        <f t="shared" si="11"/>
        <v>物业管理</v>
      </c>
      <c r="R39" s="3425" t="s">
        <v>3140</v>
      </c>
      <c r="S39" s="3426">
        <f t="shared" si="12"/>
        <v>100</v>
      </c>
      <c r="T39" s="3425" t="s">
        <v>3140</v>
      </c>
      <c r="U39" s="3426">
        <f t="shared" si="13"/>
        <v>100</v>
      </c>
      <c r="V39" s="3425" t="s">
        <v>3140</v>
      </c>
      <c r="W39" s="3426">
        <f t="shared" si="14"/>
        <v>100</v>
      </c>
      <c r="X39" s="3347"/>
      <c r="Y39" s="3463" t="s">
        <v>3159</v>
      </c>
      <c r="Z39" s="3428" t="str">
        <f t="shared" si="15"/>
        <v>物业管理</v>
      </c>
      <c r="AA39" s="3429">
        <f t="shared" si="3"/>
        <v>1</v>
      </c>
      <c r="AB39" s="3429">
        <f t="shared" si="4"/>
        <v>1</v>
      </c>
      <c r="AC39" s="3430">
        <f t="shared" si="5"/>
        <v>1</v>
      </c>
    </row>
    <row r="40" spans="1:29" ht="15">
      <c r="A40" s="3476"/>
      <c r="B40" s="3391" t="s">
        <v>2621</v>
      </c>
      <c r="C40" s="3477" t="s">
        <v>3141</v>
      </c>
      <c r="D40" s="3409">
        <v>100</v>
      </c>
      <c r="E40" s="3477" t="s">
        <v>3168</v>
      </c>
      <c r="F40" s="3461">
        <f>SUMIF(117:117,E40,118:118)-SUMIF(117:117,C40,118:118)+100</f>
        <v>98</v>
      </c>
      <c r="G40" s="3477" t="s">
        <v>3168</v>
      </c>
      <c r="H40" s="3409">
        <f>SUMIF(117:117,G40,118:118)-SUMIF(117:117,C40,118:118)+100</f>
        <v>98</v>
      </c>
      <c r="I40" s="3477" t="s">
        <v>3168</v>
      </c>
      <c r="J40" s="3409">
        <f>SUMIF(117:117,I40,118:118)-SUMIF(117:117,C40,118:118)+100</f>
        <v>98</v>
      </c>
      <c r="K40" s="3394">
        <v>2</v>
      </c>
      <c r="L40" s="3410"/>
      <c r="M40" s="3325"/>
      <c r="N40" s="3325"/>
      <c r="O40" s="3325"/>
      <c r="P40" s="3469"/>
      <c r="Q40" s="3424" t="str">
        <f t="shared" si="11"/>
        <v>市政基础设施</v>
      </c>
      <c r="R40" s="3425" t="s">
        <v>3119</v>
      </c>
      <c r="S40" s="3426">
        <f t="shared" si="12"/>
        <v>98</v>
      </c>
      <c r="T40" s="3425" t="s">
        <v>3119</v>
      </c>
      <c r="U40" s="3426">
        <f t="shared" si="13"/>
        <v>98</v>
      </c>
      <c r="V40" s="3425" t="s">
        <v>3119</v>
      </c>
      <c r="W40" s="3426">
        <f t="shared" si="14"/>
        <v>98</v>
      </c>
      <c r="X40" s="3347"/>
      <c r="Y40" s="3463"/>
      <c r="Z40" s="3428" t="str">
        <f t="shared" si="15"/>
        <v>市政基础设施</v>
      </c>
      <c r="AA40" s="3429">
        <f t="shared" si="3"/>
        <v>1.0204081632653061</v>
      </c>
      <c r="AB40" s="3429">
        <f t="shared" si="4"/>
        <v>1.0204081632653061</v>
      </c>
      <c r="AC40" s="3430">
        <f t="shared" si="5"/>
        <v>1.0204081632653061</v>
      </c>
    </row>
    <row r="41" spans="1:29" ht="15">
      <c r="A41" s="3476"/>
      <c r="B41" s="3391" t="s">
        <v>3169</v>
      </c>
      <c r="C41" s="3452" t="s">
        <v>3170</v>
      </c>
      <c r="D41" s="3409">
        <v>100</v>
      </c>
      <c r="E41" s="3452" t="s">
        <v>3170</v>
      </c>
      <c r="F41" s="3461">
        <f>SUMIF(119:119,E41,120:120)-SUMIF(119:119,C41,120:120)+100</f>
        <v>100</v>
      </c>
      <c r="G41" s="3452" t="s">
        <v>3170</v>
      </c>
      <c r="H41" s="3409">
        <f>SUMIF(119:119,G41,120:120)-SUMIF(119:119,C41,120:120)+100</f>
        <v>100</v>
      </c>
      <c r="I41" s="3452" t="s">
        <v>3170</v>
      </c>
      <c r="J41" s="3409">
        <f>SUMIF(119:119,I41,120:120)-SUMIF(119:119,C41,120:120)+100</f>
        <v>100</v>
      </c>
      <c r="K41" s="3394">
        <v>2</v>
      </c>
      <c r="L41" s="3410"/>
      <c r="M41" s="3325"/>
      <c r="N41" s="3325"/>
      <c r="O41" s="3325"/>
      <c r="P41" s="3469"/>
      <c r="Q41" s="3424" t="str">
        <f t="shared" si="11"/>
        <v>层高</v>
      </c>
      <c r="R41" s="3425" t="s">
        <v>3140</v>
      </c>
      <c r="S41" s="3426">
        <f t="shared" si="12"/>
        <v>100</v>
      </c>
      <c r="T41" s="3425" t="s">
        <v>3140</v>
      </c>
      <c r="U41" s="3426">
        <f t="shared" si="13"/>
        <v>100</v>
      </c>
      <c r="V41" s="3425" t="s">
        <v>3140</v>
      </c>
      <c r="W41" s="3426">
        <f t="shared" si="14"/>
        <v>100</v>
      </c>
      <c r="X41" s="3347"/>
      <c r="Y41" s="3463"/>
      <c r="Z41" s="3428" t="str">
        <f t="shared" si="15"/>
        <v>层高</v>
      </c>
      <c r="AA41" s="3429">
        <f t="shared" si="3"/>
        <v>1</v>
      </c>
      <c r="AB41" s="3429">
        <f t="shared" si="4"/>
        <v>1</v>
      </c>
      <c r="AC41" s="3430">
        <f t="shared" si="5"/>
        <v>1</v>
      </c>
    </row>
    <row r="42" spans="1:29" s="3475" customFormat="1" ht="15">
      <c r="A42" s="3464"/>
      <c r="B42" s="3480" t="s">
        <v>3171</v>
      </c>
      <c r="C42" s="3408"/>
      <c r="D42" s="3409">
        <v>100</v>
      </c>
      <c r="E42" s="3408"/>
      <c r="F42" s="3461">
        <f>SUMIF(121:121,E42,122:122)-SUMIF(121:121,C42,122:122)+100</f>
        <v>100</v>
      </c>
      <c r="G42" s="3408"/>
      <c r="H42" s="3409">
        <f>SUMIF(121:121,G42,122:122)-SUMIF(121:121,C42,122:122)+100</f>
        <v>100</v>
      </c>
      <c r="I42" s="3408"/>
      <c r="J42" s="3409">
        <f>SUMIF(121:121,I42,122:122)-SUMIF(121:121,C42,122:122)+100</f>
        <v>100</v>
      </c>
      <c r="K42" s="3407"/>
      <c r="L42" s="3401"/>
      <c r="M42" s="3468"/>
      <c r="N42" s="3468"/>
      <c r="O42" s="3468"/>
      <c r="P42" s="3469"/>
      <c r="Q42" s="3470" t="str">
        <f t="shared" si="11"/>
        <v>单套建筑面积</v>
      </c>
      <c r="R42" s="3471" t="s">
        <v>3140</v>
      </c>
      <c r="S42" s="3472">
        <f t="shared" si="12"/>
        <v>100</v>
      </c>
      <c r="T42" s="3471" t="s">
        <v>3140</v>
      </c>
      <c r="U42" s="3472">
        <f t="shared" si="13"/>
        <v>100</v>
      </c>
      <c r="V42" s="3471" t="s">
        <v>3140</v>
      </c>
      <c r="W42" s="3472">
        <f t="shared" si="14"/>
        <v>100</v>
      </c>
      <c r="X42" s="3473"/>
      <c r="Y42" s="3463"/>
      <c r="Z42" s="3474" t="str">
        <f t="shared" si="15"/>
        <v>单套建筑面积</v>
      </c>
      <c r="AA42" s="3429">
        <f t="shared" si="3"/>
        <v>1</v>
      </c>
      <c r="AB42" s="3429">
        <f t="shared" si="4"/>
        <v>1</v>
      </c>
      <c r="AC42" s="3430">
        <f t="shared" si="5"/>
        <v>1</v>
      </c>
    </row>
    <row r="43" spans="1:29" ht="15">
      <c r="A43" s="3476"/>
      <c r="B43" s="3391" t="s">
        <v>3172</v>
      </c>
      <c r="C43" s="3477" t="s">
        <v>3173</v>
      </c>
      <c r="D43" s="3409">
        <v>100</v>
      </c>
      <c r="E43" s="3477" t="s">
        <v>3174</v>
      </c>
      <c r="F43" s="3461">
        <f>SUMIF(123:123,E43,124:124)-SUMIF(123:123,C43,124:124)+100</f>
        <v>101</v>
      </c>
      <c r="G43" s="3477" t="s">
        <v>3174</v>
      </c>
      <c r="H43" s="3409">
        <f>SUMIF(123:123,G43,124:124)-SUMIF(123:123,C43,124:124)+100</f>
        <v>101</v>
      </c>
      <c r="I43" s="3477" t="s">
        <v>3174</v>
      </c>
      <c r="J43" s="3409">
        <f>SUMIF(123:123,I43,124:124)-SUMIF(123:123,C43,124:124)+100</f>
        <v>101</v>
      </c>
      <c r="K43" s="3394">
        <v>1</v>
      </c>
      <c r="L43" s="3410"/>
      <c r="M43" s="3325"/>
      <c r="N43" s="3325"/>
      <c r="O43" s="3325"/>
      <c r="P43" s="3469"/>
      <c r="Q43" s="3424" t="str">
        <f t="shared" si="11"/>
        <v>内部装修</v>
      </c>
      <c r="R43" s="3425" t="s">
        <v>3140</v>
      </c>
      <c r="S43" s="3426">
        <f t="shared" si="12"/>
        <v>101</v>
      </c>
      <c r="T43" s="3425" t="s">
        <v>3140</v>
      </c>
      <c r="U43" s="3426">
        <f t="shared" si="13"/>
        <v>101</v>
      </c>
      <c r="V43" s="3425" t="s">
        <v>3140</v>
      </c>
      <c r="W43" s="3426">
        <f t="shared" si="14"/>
        <v>101</v>
      </c>
      <c r="X43" s="3347"/>
      <c r="Y43" s="3463"/>
      <c r="Z43" s="3428" t="str">
        <f t="shared" si="15"/>
        <v>内部装修</v>
      </c>
      <c r="AA43" s="3429">
        <f t="shared" si="3"/>
        <v>0.99009900990099009</v>
      </c>
      <c r="AB43" s="3429">
        <f t="shared" si="4"/>
        <v>0.99009900990099009</v>
      </c>
      <c r="AC43" s="3430">
        <f t="shared" si="5"/>
        <v>0.99009900990099009</v>
      </c>
    </row>
    <row r="44" spans="1:29" ht="15">
      <c r="A44" s="3476"/>
      <c r="B44" s="3391" t="s">
        <v>2579</v>
      </c>
      <c r="C44" s="3477" t="s">
        <v>3083</v>
      </c>
      <c r="D44" s="3409">
        <v>100</v>
      </c>
      <c r="E44" s="3477" t="s">
        <v>3083</v>
      </c>
      <c r="F44" s="3461">
        <f>SUMIF(125:125,E44,126:126)-SUMIF(125:125,C44,126:126)+100</f>
        <v>100</v>
      </c>
      <c r="G44" s="3477" t="s">
        <v>3083</v>
      </c>
      <c r="H44" s="3409">
        <f>SUMIF(125:125,G44,126:126)-SUMIF(125:125,C44,126:126)+100</f>
        <v>100</v>
      </c>
      <c r="I44" s="3477" t="s">
        <v>3083</v>
      </c>
      <c r="J44" s="3409">
        <f>SUMIF(125:125,I44,126:126)-SUMIF(125:125,C44,126:126)+100</f>
        <v>100</v>
      </c>
      <c r="K44" s="3394">
        <v>2</v>
      </c>
      <c r="L44" s="3410"/>
      <c r="M44" s="3325"/>
      <c r="N44" s="3325"/>
      <c r="O44" s="3325"/>
      <c r="P44" s="3469"/>
      <c r="Q44" s="3424" t="str">
        <f t="shared" si="11"/>
        <v>内部装修维护情况</v>
      </c>
      <c r="R44" s="3425" t="s">
        <v>3140</v>
      </c>
      <c r="S44" s="3426">
        <f t="shared" si="12"/>
        <v>100</v>
      </c>
      <c r="T44" s="3425" t="s">
        <v>3140</v>
      </c>
      <c r="U44" s="3426">
        <f t="shared" si="13"/>
        <v>100</v>
      </c>
      <c r="V44" s="3425" t="s">
        <v>3140</v>
      </c>
      <c r="W44" s="3426">
        <f t="shared" si="14"/>
        <v>100</v>
      </c>
      <c r="X44" s="3347"/>
      <c r="Y44" s="3463"/>
      <c r="Z44" s="3428" t="str">
        <f t="shared" si="15"/>
        <v>内部装修维护情况</v>
      </c>
      <c r="AA44" s="3429">
        <f t="shared" si="3"/>
        <v>1</v>
      </c>
      <c r="AB44" s="3429">
        <f t="shared" si="4"/>
        <v>1</v>
      </c>
      <c r="AC44" s="3430">
        <f t="shared" si="5"/>
        <v>1</v>
      </c>
    </row>
    <row r="45" spans="1:29" s="3380" customFormat="1" ht="15">
      <c r="A45" s="3479"/>
      <c r="B45" s="3481" t="s">
        <v>3175</v>
      </c>
      <c r="C45" s="3466" t="s">
        <v>3176</v>
      </c>
      <c r="D45" s="3393">
        <v>100</v>
      </c>
      <c r="E45" s="3482" t="s">
        <v>3177</v>
      </c>
      <c r="F45" s="3467">
        <f>SUMIF(127:127,E45,128:128)-SUMIF(127:127,C45,128:128)+100</f>
        <v>97</v>
      </c>
      <c r="G45" s="3482" t="s">
        <v>3178</v>
      </c>
      <c r="H45" s="3393">
        <f>SUMIF(127:127,G45,128:128)-SUMIF(127:127,C45,128:128)+100</f>
        <v>97</v>
      </c>
      <c r="I45" s="3482" t="s">
        <v>3178</v>
      </c>
      <c r="J45" s="3393">
        <f>SUMIF(127:127,I45,128:128)-SUMIF(127:127,C45,128:128)+100</f>
        <v>97</v>
      </c>
      <c r="K45" s="3407"/>
      <c r="L45" s="3369"/>
      <c r="M45" s="3370"/>
      <c r="N45" s="3370"/>
      <c r="O45" s="3370"/>
      <c r="P45" s="3469"/>
      <c r="Q45" s="3387" t="str">
        <f t="shared" si="11"/>
        <v>智能环保系统</v>
      </c>
      <c r="R45" s="3373" t="s">
        <v>3140</v>
      </c>
      <c r="S45" s="3374">
        <f t="shared" si="12"/>
        <v>97</v>
      </c>
      <c r="T45" s="3373" t="s">
        <v>3140</v>
      </c>
      <c r="U45" s="3374">
        <f t="shared" si="13"/>
        <v>97</v>
      </c>
      <c r="V45" s="3373" t="s">
        <v>3140</v>
      </c>
      <c r="W45" s="3374">
        <f t="shared" si="14"/>
        <v>97</v>
      </c>
      <c r="X45" s="3375"/>
      <c r="Y45" s="3463"/>
      <c r="Z45" s="3389" t="str">
        <f t="shared" si="15"/>
        <v>智能环保系统</v>
      </c>
      <c r="AA45" s="3378">
        <f t="shared" si="3"/>
        <v>1.0309278350515463</v>
      </c>
      <c r="AB45" s="3378">
        <f t="shared" si="4"/>
        <v>1.0309278350515463</v>
      </c>
      <c r="AC45" s="3379">
        <f t="shared" si="5"/>
        <v>1.0309278350515463</v>
      </c>
    </row>
    <row r="46" spans="1:29" ht="15">
      <c r="A46" s="3476"/>
      <c r="B46" s="3481" t="s">
        <v>3179</v>
      </c>
      <c r="C46" s="3483" t="s">
        <v>3180</v>
      </c>
      <c r="D46" s="3409">
        <v>100</v>
      </c>
      <c r="E46" s="3483" t="s">
        <v>3181</v>
      </c>
      <c r="F46" s="3461">
        <f>SUMIF(129:129,E46,130:130)-SUMIF(129:129,C46,130:130)+100</f>
        <v>97</v>
      </c>
      <c r="G46" s="3483" t="s">
        <v>3181</v>
      </c>
      <c r="H46" s="3409">
        <f>SUMIF(129:129,G46,130:130)-SUMIF(129:129,C46,130:130)+100</f>
        <v>97</v>
      </c>
      <c r="I46" s="3483" t="s">
        <v>3181</v>
      </c>
      <c r="J46" s="3409">
        <f>SUMIF(129:129,I46,130:130)-SUMIF(129:129,C46,130:130)+100</f>
        <v>97</v>
      </c>
      <c r="K46" s="3407"/>
      <c r="L46" s="3410"/>
      <c r="M46" s="3325"/>
      <c r="N46" s="3325"/>
      <c r="O46" s="3325"/>
      <c r="P46" s="3469"/>
      <c r="Q46" s="3424" t="str">
        <f t="shared" si="11"/>
        <v>建筑品质</v>
      </c>
      <c r="R46" s="3425" t="s">
        <v>3140</v>
      </c>
      <c r="S46" s="3426">
        <f t="shared" si="12"/>
        <v>97</v>
      </c>
      <c r="T46" s="3425" t="s">
        <v>3140</v>
      </c>
      <c r="U46" s="3426">
        <f t="shared" si="13"/>
        <v>97</v>
      </c>
      <c r="V46" s="3425" t="s">
        <v>3140</v>
      </c>
      <c r="W46" s="3426">
        <f t="shared" si="14"/>
        <v>97</v>
      </c>
      <c r="X46" s="3347"/>
      <c r="Y46" s="3463"/>
      <c r="Z46" s="3428" t="str">
        <f t="shared" si="15"/>
        <v>建筑品质</v>
      </c>
      <c r="AA46" s="3429">
        <f t="shared" si="3"/>
        <v>1.0309278350515463</v>
      </c>
      <c r="AB46" s="3429">
        <f t="shared" si="4"/>
        <v>1.0309278350515463</v>
      </c>
      <c r="AC46" s="3430">
        <f t="shared" si="5"/>
        <v>1.0309278350515463</v>
      </c>
    </row>
    <row r="47" spans="1:29" ht="15.75" thickBot="1">
      <c r="A47" s="3484"/>
      <c r="B47" s="3412">
        <v>111</v>
      </c>
      <c r="C47" s="3413"/>
      <c r="D47" s="3414">
        <v>100</v>
      </c>
      <c r="E47" s="3404"/>
      <c r="F47" s="3485">
        <f>SUMIF(131:131,E47,132:132)-SUMIF(131:131,C47,132:132)+100</f>
        <v>100</v>
      </c>
      <c r="G47" s="3404"/>
      <c r="H47" s="3414">
        <f>SUMIF(131:131,G47,132:132)-SUMIF(131:131,C47,132:132)+100</f>
        <v>100</v>
      </c>
      <c r="I47" s="3404"/>
      <c r="J47" s="3414">
        <f>SUMIF(131:131,I47,132:132)-SUMIF(131:131,C47,132:132)+100</f>
        <v>100</v>
      </c>
      <c r="K47" s="3407"/>
      <c r="L47" s="3410"/>
      <c r="M47" s="3325"/>
      <c r="N47" s="3325"/>
      <c r="O47" s="3325"/>
      <c r="P47" s="3486"/>
      <c r="Q47" s="3424">
        <f t="shared" si="11"/>
        <v>111</v>
      </c>
      <c r="R47" s="3425" t="s">
        <v>3140</v>
      </c>
      <c r="S47" s="3426">
        <f t="shared" si="12"/>
        <v>100</v>
      </c>
      <c r="T47" s="3425" t="s">
        <v>3140</v>
      </c>
      <c r="U47" s="3426">
        <f t="shared" si="13"/>
        <v>100</v>
      </c>
      <c r="V47" s="3425" t="s">
        <v>3140</v>
      </c>
      <c r="W47" s="3426">
        <f t="shared" si="14"/>
        <v>100</v>
      </c>
      <c r="X47" s="3347"/>
      <c r="Y47" s="3487"/>
      <c r="Z47" s="3428">
        <f t="shared" si="15"/>
        <v>111</v>
      </c>
      <c r="AA47" s="3429">
        <f t="shared" si="3"/>
        <v>1</v>
      </c>
      <c r="AB47" s="3429">
        <f t="shared" si="4"/>
        <v>1</v>
      </c>
      <c r="AC47" s="3430">
        <f t="shared" si="5"/>
        <v>1</v>
      </c>
    </row>
    <row r="48" spans="1:29" ht="15">
      <c r="A48" s="3488" t="s">
        <v>3182</v>
      </c>
      <c r="B48" s="3489"/>
      <c r="C48" s="3490" t="s">
        <v>3183</v>
      </c>
      <c r="D48" s="3491"/>
      <c r="E48" s="3492">
        <v>40000</v>
      </c>
      <c r="F48" s="3493"/>
      <c r="G48" s="3494">
        <v>38000</v>
      </c>
      <c r="H48" s="3495"/>
      <c r="I48" s="3492">
        <v>37000</v>
      </c>
      <c r="J48" s="3496"/>
      <c r="K48" s="3497"/>
      <c r="L48" s="3498"/>
      <c r="M48" s="3325"/>
      <c r="N48" s="3325"/>
      <c r="O48" s="3325"/>
      <c r="P48" s="3386" t="str">
        <f>A48</f>
        <v>成交单价（元/平方米）</v>
      </c>
      <c r="Q48" s="3499"/>
      <c r="R48" s="3500">
        <f>E48</f>
        <v>40000</v>
      </c>
      <c r="S48" s="3500"/>
      <c r="T48" s="3500">
        <f>G48</f>
        <v>38000</v>
      </c>
      <c r="U48" s="3500"/>
      <c r="V48" s="3500">
        <f>I48</f>
        <v>37000</v>
      </c>
      <c r="W48" s="3500"/>
      <c r="X48" s="3501"/>
      <c r="Y48" s="3502"/>
      <c r="Z48" s="3501"/>
      <c r="AA48" s="3501"/>
      <c r="AB48" s="3501"/>
      <c r="AC48" s="3431"/>
    </row>
    <row r="49" spans="1:29" ht="15.75" thickBot="1">
      <c r="A49" s="3503" t="s">
        <v>3184</v>
      </c>
      <c r="B49" s="3504"/>
      <c r="C49" s="3505">
        <f>R50</f>
        <v>41615</v>
      </c>
      <c r="D49" s="3506"/>
      <c r="E49" s="3507">
        <f>R49</f>
        <v>42121</v>
      </c>
      <c r="F49" s="3507"/>
      <c r="G49" s="3505">
        <f>T49</f>
        <v>43366</v>
      </c>
      <c r="H49" s="3506"/>
      <c r="I49" s="3507">
        <f>V49</f>
        <v>39359</v>
      </c>
      <c r="J49" s="3508"/>
      <c r="K49" s="3509"/>
      <c r="L49" s="3498"/>
      <c r="M49" s="3325"/>
      <c r="N49" s="3325"/>
      <c r="O49" s="3325"/>
      <c r="P49" s="3386" t="str">
        <f>A49</f>
        <v>比较价值（元/平方米）</v>
      </c>
      <c r="Q49" s="3499"/>
      <c r="R49" s="3500">
        <f>IF(F1="售价",ROUND(PRODUCT(R48,AA7:AA47),0),ROUND(PRODUCT(R48,AA7:AA47),1))</f>
        <v>42121</v>
      </c>
      <c r="S49" s="3500"/>
      <c r="T49" s="3500">
        <f>IF(F1="售价",ROUND(PRODUCT(T48,AB7:AB47),0),ROUND(PRODUCT(T48,AB7:AB47),1))</f>
        <v>43366</v>
      </c>
      <c r="U49" s="3500"/>
      <c r="V49" s="3500">
        <f>IF(F1="售价",ROUND(PRODUCT(V48,AC7:AC47),0),ROUND(PRODUCT(V48,AC7:AC47),1))</f>
        <v>39359</v>
      </c>
      <c r="W49" s="3500"/>
      <c r="X49" s="3501"/>
      <c r="Y49" s="3501"/>
      <c r="Z49" s="3501"/>
      <c r="AA49" s="3501"/>
      <c r="AB49" s="3501"/>
      <c r="AC49" s="3431"/>
    </row>
    <row r="50" spans="1:29" ht="15.75" thickBot="1">
      <c r="A50" s="3510" t="s">
        <v>3185</v>
      </c>
      <c r="B50" s="3511"/>
      <c r="C50" s="3512">
        <f>R50</f>
        <v>41615</v>
      </c>
      <c r="D50" s="3512"/>
      <c r="E50" s="3512"/>
      <c r="F50" s="3512"/>
      <c r="G50" s="3512"/>
      <c r="H50" s="3512"/>
      <c r="I50" s="3512"/>
      <c r="J50" s="3513"/>
      <c r="K50" s="3514"/>
      <c r="L50" s="3498"/>
      <c r="M50" s="3325"/>
      <c r="N50" s="3325"/>
      <c r="O50" s="3325"/>
      <c r="P50" s="3515" t="str">
        <f>A50</f>
        <v>估价对象XX用房的比较价值（楼面单价，元/平方米）</v>
      </c>
      <c r="Q50" s="3516"/>
      <c r="R50" s="3517">
        <f>IF(F1="售价",ROUND(AVERAGE(R49:V49),0),ROUND(AVERAGE(R49:V49),1))</f>
        <v>41615</v>
      </c>
      <c r="S50" s="3517"/>
      <c r="T50" s="3517"/>
      <c r="U50" s="3517"/>
      <c r="V50" s="3517"/>
      <c r="W50" s="3517"/>
      <c r="X50" s="3518"/>
      <c r="Y50" s="3518"/>
      <c r="Z50" s="3518"/>
      <c r="AA50" s="3518"/>
      <c r="AB50" s="3518"/>
      <c r="AC50" s="3519"/>
    </row>
    <row r="51" spans="1:29">
      <c r="A51" s="3520"/>
      <c r="B51" s="3520"/>
      <c r="C51" s="3520"/>
      <c r="D51" s="3520"/>
      <c r="E51" s="3520"/>
      <c r="F51" s="3520"/>
      <c r="G51" s="3521"/>
      <c r="H51" s="3520"/>
      <c r="I51" s="3520"/>
      <c r="J51" s="3520"/>
      <c r="K51" s="3522"/>
      <c r="L51" s="3523"/>
      <c r="M51" s="3520"/>
      <c r="N51" s="3520"/>
      <c r="O51" s="3520"/>
    </row>
    <row r="52" spans="1:29">
      <c r="A52" s="3520"/>
      <c r="B52" s="3520"/>
      <c r="C52" s="3520"/>
      <c r="D52" s="3520"/>
      <c r="E52" s="3520"/>
      <c r="F52" s="3520"/>
      <c r="G52" s="3520"/>
      <c r="H52" s="3520"/>
      <c r="I52" s="3520"/>
      <c r="J52" s="3520"/>
      <c r="K52" s="3522"/>
      <c r="L52" s="3523"/>
      <c r="M52" s="3520"/>
      <c r="N52" s="3520"/>
      <c r="O52" s="3520"/>
    </row>
    <row r="53" spans="1:29" ht="13.5" customHeight="1">
      <c r="A53" s="3520"/>
      <c r="B53" s="3520"/>
      <c r="C53" s="3525" t="s">
        <v>3186</v>
      </c>
      <c r="D53" s="3526"/>
      <c r="E53" s="3527">
        <f>IF(E48&lt;E49,E49/E48-1,E48/E49-1)</f>
        <v>5.30250000000001E-2</v>
      </c>
      <c r="F53" s="3528" t="str">
        <f>IF(OR(E53&gt;=0.3,E53&lt;=-0.3),"超过30%","")</f>
        <v/>
      </c>
      <c r="G53" s="3527">
        <f>IF(G48&lt;G49,G49/G48-1,G48/G49-1)</f>
        <v>0.14121052631578945</v>
      </c>
      <c r="H53" s="3528" t="str">
        <f>IF(OR(G53&gt;=0.3,G53&lt;=-0.3),"超过30%","")</f>
        <v/>
      </c>
      <c r="I53" s="3527">
        <f>IF(I48&lt;I49,I49/I48-1,I48/I49-1)</f>
        <v>6.3756756756756738E-2</v>
      </c>
      <c r="J53" s="3528" t="str">
        <f>IF(OR(I53&gt;=0.3,I53&lt;=-0.3),"超过30%","")</f>
        <v/>
      </c>
      <c r="K53" s="3522"/>
      <c r="L53" s="3523"/>
      <c r="M53" s="3520"/>
      <c r="N53" s="3520"/>
      <c r="O53" s="3520"/>
    </row>
    <row r="54" spans="1:29" ht="13.5" customHeight="1">
      <c r="A54" s="3520"/>
      <c r="B54" s="3520"/>
      <c r="C54" s="3525" t="s">
        <v>3187</v>
      </c>
      <c r="D54" s="3529"/>
      <c r="E54" s="3527">
        <f>IF(E49&lt;G49,G49/E49-1,E49/G49-1)</f>
        <v>2.9557702808575392E-2</v>
      </c>
      <c r="F54" s="3528" t="str">
        <f>IF(OR(E54&gt;=0.2,E54&lt;=-0.2),"超过20%","")</f>
        <v/>
      </c>
      <c r="G54" s="3527">
        <f>IF(G49&lt;I49,I49/G49-1,G49/I49-1)</f>
        <v>0.10180644833456132</v>
      </c>
      <c r="H54" s="3528" t="str">
        <f>IF(OR(G54&gt;=0.2,G54&lt;=-0.2),"超过20%","")</f>
        <v/>
      </c>
      <c r="I54" s="3527">
        <f>IF(I49&lt;E49,E49/I49-1,I49/E49-1)</f>
        <v>7.0174547117558772E-2</v>
      </c>
      <c r="J54" s="3528" t="str">
        <f>IF(OR(I54&gt;=0.2,I54&lt;=-0.2),"超过20%","")</f>
        <v/>
      </c>
      <c r="K54" s="3522"/>
      <c r="L54" s="3523"/>
      <c r="M54" s="3520"/>
      <c r="N54" s="3520"/>
      <c r="O54" s="3520"/>
    </row>
    <row r="55" spans="1:29" s="3534" customFormat="1" ht="13.5" customHeight="1">
      <c r="A55" s="3530"/>
      <c r="B55" s="3530"/>
      <c r="C55" s="3525" t="s">
        <v>3188</v>
      </c>
      <c r="D55" s="3529"/>
      <c r="E55" s="3527">
        <f>IF(E48&lt;G48,G48/E48-1,E48/G48-1)</f>
        <v>5.2631578947368363E-2</v>
      </c>
      <c r="F55" s="3528" t="str">
        <f>IF(OR(E55&gt;=0.3,E55&lt;=-0.3),"超过30%","")</f>
        <v/>
      </c>
      <c r="G55" s="3527">
        <f>IF(G48&lt;I48,I48/G48-1,G48/I48-1)</f>
        <v>2.7027027027026973E-2</v>
      </c>
      <c r="H55" s="3528" t="str">
        <f>IF(OR(G55&gt;=0.3,G55&lt;=-0.3),"超过30%","")</f>
        <v/>
      </c>
      <c r="I55" s="3527">
        <f>IF(I48&lt;E48,E48/I48-1,I48/E48-1)</f>
        <v>8.1081081081081141E-2</v>
      </c>
      <c r="J55" s="3528" t="str">
        <f>IF(OR(I55&gt;=0.3,I55&lt;=-0.3),"超过30%","")</f>
        <v/>
      </c>
      <c r="K55" s="3531"/>
      <c r="L55" s="3532"/>
      <c r="M55" s="3530"/>
      <c r="N55" s="3530"/>
      <c r="O55" s="3530"/>
      <c r="P55" s="3533"/>
    </row>
    <row r="56" spans="1:29" s="3534" customFormat="1">
      <c r="A56" s="3530"/>
      <c r="B56" s="3535"/>
      <c r="C56" s="3536"/>
      <c r="D56" s="3530"/>
      <c r="E56" s="3530"/>
      <c r="F56" s="3530"/>
      <c r="G56" s="3530"/>
      <c r="H56" s="3530"/>
      <c r="I56" s="3530"/>
      <c r="J56" s="3530"/>
      <c r="K56" s="3531"/>
      <c r="L56" s="3532"/>
      <c r="M56" s="3530"/>
      <c r="N56" s="3530"/>
      <c r="O56" s="3530"/>
      <c r="P56" s="3533"/>
    </row>
    <row r="57" spans="1:29">
      <c r="A57" s="3520"/>
      <c r="B57" s="3535"/>
      <c r="C57" s="3536"/>
      <c r="D57" s="3520"/>
      <c r="E57" s="3520"/>
      <c r="F57" s="3520"/>
      <c r="G57" s="3520"/>
      <c r="H57" s="3520"/>
      <c r="I57" s="3520"/>
      <c r="J57" s="3520"/>
      <c r="K57" s="3522"/>
      <c r="L57" s="3523"/>
      <c r="M57" s="3520"/>
      <c r="N57" s="3520"/>
      <c r="O57" s="3520"/>
    </row>
    <row r="58" spans="1:29" ht="21.75" thickBot="1">
      <c r="A58" s="3537" t="s">
        <v>3189</v>
      </c>
      <c r="B58" s="3538"/>
      <c r="C58" s="3539"/>
      <c r="D58" s="3539"/>
      <c r="E58" s="3539"/>
      <c r="F58" s="3540"/>
      <c r="G58" s="3540"/>
      <c r="H58" s="3539"/>
      <c r="I58" s="3539"/>
      <c r="J58" s="3539"/>
      <c r="K58" s="3541"/>
      <c r="L58" s="3542"/>
      <c r="M58" s="3543"/>
      <c r="N58" s="3543"/>
      <c r="O58" s="3543"/>
      <c r="P58" s="3544"/>
      <c r="Q58" s="3545"/>
    </row>
    <row r="59" spans="1:29" s="3551" customFormat="1" ht="15">
      <c r="A59" s="3546" t="s">
        <v>3190</v>
      </c>
      <c r="B59" s="3547"/>
      <c r="C59" s="3548" t="str">
        <f>YEAR(C7)&amp;"-"&amp;MONTH(C7)</f>
        <v>2018-6</v>
      </c>
      <c r="D59" s="3549">
        <f>EDATE(C59,-1)</f>
        <v>43221</v>
      </c>
      <c r="E59" s="3549">
        <f>EDATE(D59,-1)</f>
        <v>43191</v>
      </c>
      <c r="F59" s="3549">
        <f t="shared" ref="F59:O59" si="16">EDATE(E59,-1)</f>
        <v>43160</v>
      </c>
      <c r="G59" s="3549">
        <f t="shared" si="16"/>
        <v>43132</v>
      </c>
      <c r="H59" s="3549">
        <f t="shared" si="16"/>
        <v>43101</v>
      </c>
      <c r="I59" s="3549">
        <f t="shared" si="16"/>
        <v>43070</v>
      </c>
      <c r="J59" s="3549">
        <f t="shared" si="16"/>
        <v>43040</v>
      </c>
      <c r="K59" s="3549">
        <f t="shared" si="16"/>
        <v>43009</v>
      </c>
      <c r="L59" s="3549">
        <f t="shared" si="16"/>
        <v>42979</v>
      </c>
      <c r="M59" s="3549">
        <f t="shared" si="16"/>
        <v>42948</v>
      </c>
      <c r="N59" s="3549">
        <f t="shared" si="16"/>
        <v>42917</v>
      </c>
      <c r="O59" s="3549">
        <f t="shared" si="16"/>
        <v>42887</v>
      </c>
      <c r="P59" s="3550"/>
    </row>
    <row r="60" spans="1:29" s="3380" customFormat="1" ht="15">
      <c r="A60" s="3552"/>
      <c r="B60" s="3553"/>
      <c r="C60" s="3554">
        <v>100</v>
      </c>
      <c r="D60" s="3555"/>
      <c r="E60" s="3555"/>
      <c r="F60" s="3555"/>
      <c r="G60" s="3555"/>
      <c r="H60" s="3555"/>
      <c r="I60" s="3555"/>
      <c r="J60" s="3555"/>
      <c r="K60" s="3555"/>
      <c r="L60" s="3555"/>
      <c r="M60" s="3556"/>
      <c r="N60" s="3555"/>
      <c r="O60" s="3556"/>
      <c r="P60" s="3557"/>
    </row>
    <row r="61" spans="1:29" s="3380" customFormat="1" ht="15.75" thickBot="1">
      <c r="A61" s="3558" t="s">
        <v>3191</v>
      </c>
      <c r="B61" s="3559"/>
      <c r="C61" s="3560"/>
      <c r="D61" s="3561"/>
      <c r="E61" s="3561"/>
      <c r="F61" s="3561"/>
      <c r="G61" s="3561"/>
      <c r="H61" s="3561"/>
      <c r="I61" s="3561"/>
      <c r="J61" s="3561"/>
      <c r="K61" s="3561"/>
      <c r="L61" s="3561"/>
      <c r="M61" s="3562"/>
      <c r="N61" s="3561"/>
      <c r="O61" s="3562"/>
      <c r="P61" s="3557"/>
      <c r="Q61" s="3545"/>
    </row>
    <row r="62" spans="1:29" s="3380" customFormat="1" ht="15">
      <c r="A62" s="3563" t="s">
        <v>3192</v>
      </c>
      <c r="B62" s="3553"/>
      <c r="C62" s="3564" t="s">
        <v>3193</v>
      </c>
      <c r="D62" s="3565"/>
      <c r="E62" s="3565"/>
      <c r="F62" s="3565"/>
      <c r="G62" s="3565"/>
      <c r="H62" s="3565"/>
      <c r="I62" s="3565"/>
      <c r="J62" s="3565"/>
      <c r="K62" s="3565"/>
      <c r="L62" s="3566"/>
      <c r="M62" s="3567"/>
      <c r="N62" s="3568"/>
      <c r="O62" s="3568"/>
      <c r="P62" s="3569"/>
      <c r="Q62" s="3545"/>
    </row>
    <row r="63" spans="1:29" s="3380" customFormat="1" ht="15.75" thickBot="1">
      <c r="A63" s="3563"/>
      <c r="B63" s="3553"/>
      <c r="C63" s="3570">
        <v>100</v>
      </c>
      <c r="D63" s="3555"/>
      <c r="E63" s="3555"/>
      <c r="F63" s="3555"/>
      <c r="G63" s="3555"/>
      <c r="H63" s="3555"/>
      <c r="I63" s="3555"/>
      <c r="J63" s="3555"/>
      <c r="K63" s="3555"/>
      <c r="L63" s="3555"/>
      <c r="M63" s="3571"/>
      <c r="N63" s="3568"/>
      <c r="O63" s="3568"/>
      <c r="P63" s="3557"/>
      <c r="Q63" s="3545"/>
    </row>
    <row r="64" spans="1:29">
      <c r="A64" s="3572" t="s">
        <v>3194</v>
      </c>
      <c r="B64" s="3573" t="s">
        <v>3195</v>
      </c>
      <c r="C64" s="3574" t="str">
        <f>C9</f>
        <v>办公</v>
      </c>
      <c r="D64" s="3575"/>
      <c r="E64" s="3575"/>
      <c r="F64" s="3575"/>
      <c r="G64" s="3575"/>
      <c r="H64" s="3575"/>
      <c r="I64" s="3575"/>
      <c r="J64" s="3575"/>
      <c r="K64" s="3576"/>
      <c r="L64" s="3577"/>
      <c r="M64" s="3578"/>
      <c r="N64" s="3579"/>
      <c r="O64" s="3579"/>
      <c r="P64" s="3580"/>
      <c r="Q64" s="3545"/>
    </row>
    <row r="65" spans="1:17" ht="15.75" thickBot="1">
      <c r="A65" s="3581"/>
      <c r="B65" s="3582"/>
      <c r="C65" s="3583">
        <v>100</v>
      </c>
      <c r="D65" s="3583"/>
      <c r="E65" s="3583"/>
      <c r="F65" s="3583"/>
      <c r="G65" s="3583"/>
      <c r="H65" s="3583"/>
      <c r="I65" s="3583"/>
      <c r="J65" s="3583"/>
      <c r="K65" s="3583"/>
      <c r="L65" s="3583"/>
      <c r="M65" s="3584"/>
      <c r="N65" s="3585"/>
      <c r="O65" s="3585"/>
      <c r="P65" s="3580"/>
      <c r="Q65" s="3545"/>
    </row>
    <row r="66" spans="1:17" ht="27.75" thickTop="1">
      <c r="A66" s="3581"/>
      <c r="B66" s="3586" t="s">
        <v>3196</v>
      </c>
      <c r="C66" s="3587" t="s">
        <v>3197</v>
      </c>
      <c r="D66" s="3587" t="s">
        <v>3198</v>
      </c>
      <c r="E66" s="3587" t="s">
        <v>3199</v>
      </c>
      <c r="F66" s="3587" t="s">
        <v>3200</v>
      </c>
      <c r="G66" s="3587" t="s">
        <v>3201</v>
      </c>
      <c r="H66" s="3587" t="s">
        <v>3202</v>
      </c>
      <c r="I66" s="3587" t="s">
        <v>3203</v>
      </c>
      <c r="J66" s="3587"/>
      <c r="K66" s="3588"/>
      <c r="L66" s="3589"/>
      <c r="M66" s="3590"/>
      <c r="N66" s="3579"/>
      <c r="O66" s="3579"/>
      <c r="P66" s="3580"/>
      <c r="Q66" s="3545"/>
    </row>
    <row r="67" spans="1:17" ht="15.75" thickBot="1">
      <c r="A67" s="3581"/>
      <c r="B67" s="3591"/>
      <c r="C67" s="3592" t="s">
        <v>1029</v>
      </c>
      <c r="D67" s="3592" t="s">
        <v>1029</v>
      </c>
      <c r="E67" s="3592">
        <v>100</v>
      </c>
      <c r="F67" s="3592">
        <f>E67-$K10</f>
        <v>100</v>
      </c>
      <c r="G67" s="3592">
        <f>F67-$K10</f>
        <v>100</v>
      </c>
      <c r="H67" s="3592">
        <f>G67-$K10</f>
        <v>100</v>
      </c>
      <c r="I67" s="3592">
        <f>H67-$K10</f>
        <v>100</v>
      </c>
      <c r="J67" s="3592"/>
      <c r="K67" s="3592"/>
      <c r="L67" s="3592"/>
      <c r="M67" s="3593"/>
      <c r="N67" s="3585"/>
      <c r="O67" s="3585"/>
      <c r="P67" s="3580"/>
      <c r="Q67" s="3545"/>
    </row>
    <row r="68" spans="1:17" ht="15.75" thickTop="1">
      <c r="A68" s="3581"/>
      <c r="B68" s="3594" t="s">
        <v>3131</v>
      </c>
      <c r="C68" s="3595" t="str">
        <f>C69&amp;"（含）"&amp;"-"&amp;D69</f>
        <v>0（含）-1</v>
      </c>
      <c r="D68" s="3595" t="str">
        <f t="shared" ref="D68:L68" si="17">D69&amp;"（含）"&amp;"-"&amp;E69</f>
        <v>1（含）-2</v>
      </c>
      <c r="E68" s="3595" t="str">
        <f t="shared" si="17"/>
        <v>2（含）-3</v>
      </c>
      <c r="F68" s="3595" t="str">
        <f t="shared" si="17"/>
        <v>3（含）-</v>
      </c>
      <c r="G68" s="3595" t="str">
        <f t="shared" si="17"/>
        <v>（含）-</v>
      </c>
      <c r="H68" s="3595" t="str">
        <f t="shared" si="17"/>
        <v>（含）-</v>
      </c>
      <c r="I68" s="3595" t="str">
        <f t="shared" si="17"/>
        <v>（含）-</v>
      </c>
      <c r="J68" s="3595" t="str">
        <f t="shared" si="17"/>
        <v>（含）-</v>
      </c>
      <c r="K68" s="3595" t="str">
        <f t="shared" si="17"/>
        <v>（含）-</v>
      </c>
      <c r="L68" s="3595" t="str">
        <f t="shared" si="17"/>
        <v>（含）-</v>
      </c>
      <c r="M68" s="3433" t="str">
        <f>M69&amp;"（含）"&amp;"-"&amp;P69</f>
        <v>（含）-</v>
      </c>
      <c r="N68" s="3585"/>
      <c r="O68" s="3585"/>
      <c r="P68" s="3580"/>
      <c r="Q68" s="3545"/>
    </row>
    <row r="69" spans="1:17" ht="15">
      <c r="A69" s="3581"/>
      <c r="B69" s="3596"/>
      <c r="C69" s="3597">
        <v>0</v>
      </c>
      <c r="D69" s="3597">
        <v>1</v>
      </c>
      <c r="E69" s="3597">
        <v>2</v>
      </c>
      <c r="F69" s="3597">
        <v>3</v>
      </c>
      <c r="G69" s="3597"/>
      <c r="H69" s="3597"/>
      <c r="I69" s="3597"/>
      <c r="J69" s="3597"/>
      <c r="K69" s="3598"/>
      <c r="L69" s="3599"/>
      <c r="M69" s="3600"/>
      <c r="N69" s="3579"/>
      <c r="O69" s="3579"/>
      <c r="P69" s="3580"/>
      <c r="Q69" s="3545"/>
    </row>
    <row r="70" spans="1:17" ht="15.75" thickBot="1">
      <c r="A70" s="3581"/>
      <c r="B70" s="3582"/>
      <c r="C70" s="3592">
        <v>100</v>
      </c>
      <c r="D70" s="3592">
        <f t="shared" ref="D70:M70" si="18">C70-$K11</f>
        <v>100</v>
      </c>
      <c r="E70" s="3592">
        <f t="shared" si="18"/>
        <v>100</v>
      </c>
      <c r="F70" s="3592">
        <f t="shared" si="18"/>
        <v>100</v>
      </c>
      <c r="G70" s="3592">
        <f t="shared" si="18"/>
        <v>100</v>
      </c>
      <c r="H70" s="3592">
        <f t="shared" si="18"/>
        <v>100</v>
      </c>
      <c r="I70" s="3592">
        <f t="shared" si="18"/>
        <v>100</v>
      </c>
      <c r="J70" s="3592">
        <f t="shared" si="18"/>
        <v>100</v>
      </c>
      <c r="K70" s="3592">
        <f t="shared" si="18"/>
        <v>100</v>
      </c>
      <c r="L70" s="3592">
        <f t="shared" si="18"/>
        <v>100</v>
      </c>
      <c r="M70" s="3593">
        <f t="shared" si="18"/>
        <v>100</v>
      </c>
      <c r="N70" s="3585"/>
      <c r="O70" s="3585"/>
      <c r="P70" s="3580"/>
      <c r="Q70" s="3545"/>
    </row>
    <row r="71" spans="1:17" s="3475" customFormat="1" ht="15.75" thickTop="1">
      <c r="A71" s="3601"/>
      <c r="B71" s="3586">
        <f>B12</f>
        <v>111</v>
      </c>
      <c r="C71" s="3602"/>
      <c r="D71" s="3602"/>
      <c r="E71" s="3602"/>
      <c r="F71" s="3602"/>
      <c r="G71" s="3602"/>
      <c r="H71" s="3603"/>
      <c r="I71" s="3603"/>
      <c r="J71" s="3603"/>
      <c r="K71" s="3603"/>
      <c r="L71" s="3604"/>
      <c r="M71" s="3605"/>
      <c r="N71" s="3606"/>
      <c r="O71" s="3606"/>
      <c r="P71" s="3607"/>
      <c r="Q71" s="3608"/>
    </row>
    <row r="72" spans="1:17" s="3475" customFormat="1" ht="15.75" thickBot="1">
      <c r="A72" s="3601"/>
      <c r="B72" s="3591"/>
      <c r="C72" s="3609"/>
      <c r="D72" s="3583"/>
      <c r="E72" s="3583"/>
      <c r="F72" s="3583"/>
      <c r="G72" s="3583"/>
      <c r="H72" s="3583"/>
      <c r="I72" s="3583"/>
      <c r="J72" s="3583"/>
      <c r="K72" s="3583"/>
      <c r="L72" s="3583"/>
      <c r="M72" s="3584"/>
      <c r="N72" s="3585"/>
      <c r="O72" s="3585"/>
      <c r="P72" s="3607"/>
      <c r="Q72" s="3608"/>
    </row>
    <row r="73" spans="1:17" s="3475" customFormat="1" ht="15.75" thickTop="1">
      <c r="A73" s="3601"/>
      <c r="B73" s="3586">
        <f>B13</f>
        <v>111</v>
      </c>
      <c r="C73" s="3602"/>
      <c r="D73" s="3602"/>
      <c r="E73" s="3602"/>
      <c r="F73" s="3602"/>
      <c r="G73" s="3602"/>
      <c r="H73" s="3603"/>
      <c r="I73" s="3603"/>
      <c r="J73" s="3603"/>
      <c r="K73" s="3603"/>
      <c r="L73" s="3604"/>
      <c r="M73" s="3605"/>
      <c r="N73" s="3606"/>
      <c r="O73" s="3606"/>
      <c r="P73" s="3610"/>
      <c r="Q73" s="3611"/>
    </row>
    <row r="74" spans="1:17" s="3475" customFormat="1" ht="15.75" thickBot="1">
      <c r="A74" s="3601"/>
      <c r="B74" s="3591"/>
      <c r="C74" s="3609"/>
      <c r="D74" s="3609"/>
      <c r="E74" s="3609"/>
      <c r="F74" s="3609"/>
      <c r="G74" s="3609"/>
      <c r="H74" s="3612"/>
      <c r="I74" s="3612"/>
      <c r="J74" s="3612"/>
      <c r="K74" s="3612"/>
      <c r="L74" s="3612"/>
      <c r="M74" s="3613"/>
      <c r="N74" s="3606"/>
      <c r="O74" s="3606"/>
      <c r="P74" s="3607"/>
      <c r="Q74" s="3608"/>
    </row>
    <row r="75" spans="1:17" s="3475" customFormat="1" ht="15.75" thickTop="1">
      <c r="A75" s="3601"/>
      <c r="B75" s="3594">
        <f>B14</f>
        <v>111</v>
      </c>
      <c r="C75" s="3565"/>
      <c r="D75" s="3565"/>
      <c r="E75" s="3565"/>
      <c r="F75" s="3565"/>
      <c r="G75" s="3565"/>
      <c r="H75" s="3614"/>
      <c r="I75" s="3614"/>
      <c r="J75" s="3614"/>
      <c r="K75" s="3614"/>
      <c r="L75" s="3615"/>
      <c r="M75" s="3616"/>
      <c r="N75" s="3606"/>
      <c r="O75" s="3606"/>
      <c r="P75" s="3617"/>
      <c r="Q75" s="3608"/>
    </row>
    <row r="76" spans="1:17" s="3475" customFormat="1" ht="15.75" thickBot="1">
      <c r="A76" s="3618"/>
      <c r="B76" s="3619"/>
      <c r="C76" s="3620"/>
      <c r="D76" s="3620"/>
      <c r="E76" s="3620"/>
      <c r="F76" s="3620"/>
      <c r="G76" s="3620"/>
      <c r="H76" s="3621"/>
      <c r="I76" s="3621"/>
      <c r="J76" s="3621"/>
      <c r="K76" s="3621"/>
      <c r="L76" s="3621"/>
      <c r="M76" s="3622"/>
      <c r="N76" s="3606"/>
      <c r="O76" s="3606"/>
      <c r="P76" s="3607"/>
      <c r="Q76" s="3608"/>
    </row>
    <row r="77" spans="1:17">
      <c r="A77" s="3572" t="s">
        <v>3204</v>
      </c>
      <c r="B77" s="3573" t="s">
        <v>3205</v>
      </c>
      <c r="C77" s="3623" t="s">
        <v>3207</v>
      </c>
      <c r="D77" s="3623" t="s">
        <v>3208</v>
      </c>
      <c r="E77" s="3623" t="s">
        <v>3209</v>
      </c>
      <c r="F77" s="3623" t="s">
        <v>3211</v>
      </c>
      <c r="G77" s="3623" t="s">
        <v>3213</v>
      </c>
      <c r="H77" s="3574"/>
      <c r="I77" s="3574"/>
      <c r="J77" s="3574"/>
      <c r="K77" s="3624"/>
      <c r="L77" s="3625"/>
      <c r="M77" s="3626"/>
      <c r="N77" s="3579"/>
      <c r="O77" s="3579"/>
      <c r="P77" s="3627"/>
      <c r="Q77" s="3545"/>
    </row>
    <row r="78" spans="1:17" ht="15.75" thickBot="1">
      <c r="A78" s="3581"/>
      <c r="B78" s="3591"/>
      <c r="C78" s="3592">
        <v>100</v>
      </c>
      <c r="D78" s="3592">
        <f>C78-$K15</f>
        <v>97</v>
      </c>
      <c r="E78" s="3592">
        <f>D78-$K15</f>
        <v>94</v>
      </c>
      <c r="F78" s="3592">
        <f>E78-$K15</f>
        <v>91</v>
      </c>
      <c r="G78" s="3592">
        <f>F78-$K15</f>
        <v>88</v>
      </c>
      <c r="H78" s="3592"/>
      <c r="I78" s="3592"/>
      <c r="J78" s="3592"/>
      <c r="K78" s="3592"/>
      <c r="L78" s="3592"/>
      <c r="M78" s="3593"/>
      <c r="N78" s="3585"/>
      <c r="O78" s="3585"/>
      <c r="P78" s="3580"/>
      <c r="Q78" s="3545"/>
    </row>
    <row r="79" spans="1:17" ht="15.75" thickTop="1">
      <c r="A79" s="3581"/>
      <c r="B79" s="3586" t="s">
        <v>3214</v>
      </c>
      <c r="C79" s="3628" t="s">
        <v>3207</v>
      </c>
      <c r="D79" s="3628" t="s">
        <v>3208</v>
      </c>
      <c r="E79" s="3628" t="s">
        <v>3209</v>
      </c>
      <c r="F79" s="3628" t="s">
        <v>3211</v>
      </c>
      <c r="G79" s="3628" t="s">
        <v>3213</v>
      </c>
      <c r="H79" s="3587"/>
      <c r="I79" s="3587"/>
      <c r="J79" s="3587"/>
      <c r="K79" s="3588"/>
      <c r="L79" s="3589"/>
      <c r="M79" s="3590"/>
      <c r="N79" s="3579"/>
      <c r="O79" s="3579"/>
      <c r="P79" s="3580"/>
      <c r="Q79" s="3545"/>
    </row>
    <row r="80" spans="1:17" ht="15.75" thickBot="1">
      <c r="A80" s="3581"/>
      <c r="B80" s="3591"/>
      <c r="C80" s="3592">
        <v>100</v>
      </c>
      <c r="D80" s="3592">
        <f>C80-$K17</f>
        <v>97</v>
      </c>
      <c r="E80" s="3592">
        <f>D80-$K17</f>
        <v>94</v>
      </c>
      <c r="F80" s="3592">
        <f>E80-$K17</f>
        <v>91</v>
      </c>
      <c r="G80" s="3592">
        <f>F80-$K17</f>
        <v>88</v>
      </c>
      <c r="H80" s="3592"/>
      <c r="I80" s="3592"/>
      <c r="J80" s="3592"/>
      <c r="K80" s="3592"/>
      <c r="L80" s="3592"/>
      <c r="M80" s="3593"/>
      <c r="N80" s="3585"/>
      <c r="O80" s="3585"/>
      <c r="P80" s="3580"/>
      <c r="Q80" s="3545"/>
    </row>
    <row r="81" spans="1:17" ht="15.75" thickTop="1">
      <c r="A81" s="3581"/>
      <c r="B81" s="3586" t="s">
        <v>3215</v>
      </c>
      <c r="C81" s="3628" t="s">
        <v>3207</v>
      </c>
      <c r="D81" s="3628" t="s">
        <v>3208</v>
      </c>
      <c r="E81" s="3628" t="s">
        <v>3209</v>
      </c>
      <c r="F81" s="3628" t="s">
        <v>3211</v>
      </c>
      <c r="G81" s="3628" t="s">
        <v>3213</v>
      </c>
      <c r="H81" s="3587"/>
      <c r="I81" s="3587"/>
      <c r="J81" s="3587"/>
      <c r="K81" s="3588"/>
      <c r="L81" s="3589"/>
      <c r="M81" s="3590"/>
      <c r="N81" s="3579"/>
      <c r="O81" s="3579"/>
      <c r="P81" s="3580"/>
      <c r="Q81" s="3545"/>
    </row>
    <row r="82" spans="1:17" ht="15.75" thickBot="1">
      <c r="A82" s="3581"/>
      <c r="B82" s="3591"/>
      <c r="C82" s="3592">
        <v>100</v>
      </c>
      <c r="D82" s="3592">
        <f>C82-$K19</f>
        <v>100</v>
      </c>
      <c r="E82" s="3592">
        <f>D82-$K19</f>
        <v>100</v>
      </c>
      <c r="F82" s="3592">
        <f>E82-$K19</f>
        <v>100</v>
      </c>
      <c r="G82" s="3592">
        <f>F82-$K19</f>
        <v>100</v>
      </c>
      <c r="H82" s="3592"/>
      <c r="I82" s="3592"/>
      <c r="J82" s="3592"/>
      <c r="K82" s="3592"/>
      <c r="L82" s="3592"/>
      <c r="M82" s="3593"/>
      <c r="N82" s="3585"/>
      <c r="O82" s="3585"/>
      <c r="P82" s="3580"/>
      <c r="Q82" s="3545"/>
    </row>
    <row r="83" spans="1:17" ht="15.75" thickTop="1">
      <c r="A83" s="3581"/>
      <c r="B83" s="3594" t="s">
        <v>3139</v>
      </c>
      <c r="C83" s="3629" t="s">
        <v>3216</v>
      </c>
      <c r="D83" s="3629" t="s">
        <v>3217</v>
      </c>
      <c r="E83" s="3629" t="s">
        <v>3218</v>
      </c>
      <c r="F83" s="3629" t="s">
        <v>3219</v>
      </c>
      <c r="G83" s="3629" t="s">
        <v>3220</v>
      </c>
      <c r="H83" s="3587"/>
      <c r="I83" s="3587"/>
      <c r="J83" s="3587"/>
      <c r="K83" s="3587"/>
      <c r="L83" s="3587"/>
      <c r="M83" s="3630"/>
      <c r="N83" s="3585"/>
      <c r="O83" s="3585"/>
      <c r="P83" s="3580"/>
      <c r="Q83" s="3545"/>
    </row>
    <row r="84" spans="1:17" ht="15.75" thickBot="1">
      <c r="A84" s="3581"/>
      <c r="B84" s="3594"/>
      <c r="C84" s="3592">
        <v>100</v>
      </c>
      <c r="D84" s="3592">
        <f>C84-$K21</f>
        <v>98</v>
      </c>
      <c r="E84" s="3592">
        <f>D84-$K21</f>
        <v>96</v>
      </c>
      <c r="F84" s="3592">
        <f>E84-$K21</f>
        <v>94</v>
      </c>
      <c r="G84" s="3592">
        <f>F84-$K21</f>
        <v>92</v>
      </c>
      <c r="H84" s="3629"/>
      <c r="I84" s="3629"/>
      <c r="J84" s="3629"/>
      <c r="K84" s="3629"/>
      <c r="L84" s="3629"/>
      <c r="M84" s="3435"/>
      <c r="N84" s="3585"/>
      <c r="O84" s="3585"/>
      <c r="P84" s="3580"/>
      <c r="Q84" s="3545"/>
    </row>
    <row r="85" spans="1:17" ht="15.75" thickTop="1">
      <c r="A85" s="3581"/>
      <c r="B85" s="3586" t="s">
        <v>3221</v>
      </c>
      <c r="C85" s="3628" t="s">
        <v>3222</v>
      </c>
      <c r="D85" s="3628" t="s">
        <v>3223</v>
      </c>
      <c r="E85" s="3628" t="s">
        <v>3224</v>
      </c>
      <c r="F85" s="3628" t="s">
        <v>3225</v>
      </c>
      <c r="G85" s="3628" t="s">
        <v>3226</v>
      </c>
      <c r="H85" s="3587"/>
      <c r="I85" s="3587"/>
      <c r="J85" s="3587"/>
      <c r="K85" s="3588"/>
      <c r="L85" s="3589"/>
      <c r="M85" s="3590"/>
      <c r="N85" s="3579"/>
      <c r="O85" s="3579"/>
      <c r="P85" s="3580"/>
      <c r="Q85" s="3545"/>
    </row>
    <row r="86" spans="1:17" ht="15.75" thickBot="1">
      <c r="A86" s="3581"/>
      <c r="B86" s="3591"/>
      <c r="C86" s="3592">
        <v>100</v>
      </c>
      <c r="D86" s="3592">
        <f>C86-$K23</f>
        <v>97</v>
      </c>
      <c r="E86" s="3592">
        <f>D86-$K23</f>
        <v>94</v>
      </c>
      <c r="F86" s="3592">
        <f>E86-$K23</f>
        <v>91</v>
      </c>
      <c r="G86" s="3592">
        <f>F86-$K23</f>
        <v>88</v>
      </c>
      <c r="H86" s="3592"/>
      <c r="I86" s="3592"/>
      <c r="J86" s="3592"/>
      <c r="K86" s="3592"/>
      <c r="L86" s="3592"/>
      <c r="M86" s="3593"/>
      <c r="N86" s="3585"/>
      <c r="O86" s="3585"/>
      <c r="P86" s="3580"/>
      <c r="Q86" s="3545"/>
    </row>
    <row r="87" spans="1:17" s="3380" customFormat="1" ht="27.75" thickTop="1">
      <c r="A87" s="3631"/>
      <c r="B87" s="3586" t="s">
        <v>3227</v>
      </c>
      <c r="C87" s="3632" t="s">
        <v>3228</v>
      </c>
      <c r="D87" s="3632" t="s">
        <v>3229</v>
      </c>
      <c r="E87" s="3632" t="s">
        <v>3230</v>
      </c>
      <c r="F87" s="3632" t="s">
        <v>3231</v>
      </c>
      <c r="G87" s="3632" t="s">
        <v>3232</v>
      </c>
      <c r="H87" s="3602"/>
      <c r="I87" s="3602"/>
      <c r="J87" s="3602"/>
      <c r="K87" s="3602"/>
      <c r="L87" s="3633"/>
      <c r="M87" s="3634"/>
      <c r="N87" s="3568"/>
      <c r="O87" s="3568"/>
      <c r="P87" s="3580"/>
      <c r="Q87" s="3545"/>
    </row>
    <row r="88" spans="1:17" s="3380" customFormat="1" ht="15.75" thickBot="1">
      <c r="A88" s="3631"/>
      <c r="B88" s="3591"/>
      <c r="C88" s="3635">
        <v>100</v>
      </c>
      <c r="D88" s="3592">
        <f t="shared" ref="D88:M88" si="19">C88-$K25</f>
        <v>98</v>
      </c>
      <c r="E88" s="3592">
        <f t="shared" si="19"/>
        <v>96</v>
      </c>
      <c r="F88" s="3592">
        <f t="shared" si="19"/>
        <v>94</v>
      </c>
      <c r="G88" s="3592">
        <f t="shared" si="19"/>
        <v>92</v>
      </c>
      <c r="H88" s="3592">
        <f t="shared" si="19"/>
        <v>90</v>
      </c>
      <c r="I88" s="3592">
        <f t="shared" si="19"/>
        <v>88</v>
      </c>
      <c r="J88" s="3592">
        <f t="shared" si="19"/>
        <v>86</v>
      </c>
      <c r="K88" s="3592">
        <f t="shared" si="19"/>
        <v>84</v>
      </c>
      <c r="L88" s="3592">
        <f t="shared" si="19"/>
        <v>82</v>
      </c>
      <c r="M88" s="3592">
        <f t="shared" si="19"/>
        <v>80</v>
      </c>
      <c r="N88" s="3585"/>
      <c r="O88" s="3585"/>
      <c r="P88" s="3580"/>
      <c r="Q88" s="3545"/>
    </row>
    <row r="89" spans="1:17" s="3380" customFormat="1" ht="15.75" thickTop="1">
      <c r="A89" s="3631"/>
      <c r="B89" s="3586" t="str">
        <f>B27</f>
        <v>楼层</v>
      </c>
      <c r="C89" s="3632" t="s">
        <v>3233</v>
      </c>
      <c r="D89" s="3632" t="s">
        <v>3234</v>
      </c>
      <c r="E89" s="3632" t="s">
        <v>3235</v>
      </c>
      <c r="F89" s="3632"/>
      <c r="G89" s="3602"/>
      <c r="H89" s="3602"/>
      <c r="I89" s="3602"/>
      <c r="J89" s="3602"/>
      <c r="K89" s="3602"/>
      <c r="L89" s="3602"/>
      <c r="M89" s="3634"/>
      <c r="N89" s="3568"/>
      <c r="O89" s="3568"/>
      <c r="P89" s="3580"/>
      <c r="Q89" s="3545"/>
    </row>
    <row r="90" spans="1:17" s="3380" customFormat="1" ht="15.75" thickBot="1">
      <c r="A90" s="3631"/>
      <c r="B90" s="3591"/>
      <c r="C90" s="3635">
        <v>100</v>
      </c>
      <c r="D90" s="3592">
        <f>C90-$K27</f>
        <v>97</v>
      </c>
      <c r="E90" s="3592">
        <f t="shared" ref="E90:M90" si="20">D90-$K27</f>
        <v>94</v>
      </c>
      <c r="F90" s="3592">
        <f t="shared" si="20"/>
        <v>91</v>
      </c>
      <c r="G90" s="3592">
        <f t="shared" si="20"/>
        <v>88</v>
      </c>
      <c r="H90" s="3592">
        <f t="shared" si="20"/>
        <v>85</v>
      </c>
      <c r="I90" s="3592">
        <f t="shared" si="20"/>
        <v>82</v>
      </c>
      <c r="J90" s="3592">
        <f t="shared" si="20"/>
        <v>79</v>
      </c>
      <c r="K90" s="3592">
        <f t="shared" si="20"/>
        <v>76</v>
      </c>
      <c r="L90" s="3592">
        <f t="shared" si="20"/>
        <v>73</v>
      </c>
      <c r="M90" s="3592">
        <f t="shared" si="20"/>
        <v>70</v>
      </c>
      <c r="N90" s="3585"/>
      <c r="O90" s="3585"/>
      <c r="P90" s="3580"/>
      <c r="Q90" s="3545"/>
    </row>
    <row r="91" spans="1:17" s="3475" customFormat="1" ht="15.75" thickTop="1">
      <c r="A91" s="3601"/>
      <c r="B91" s="3586" t="str">
        <f>B28</f>
        <v>朝向</v>
      </c>
      <c r="C91" s="3602"/>
      <c r="D91" s="3602"/>
      <c r="E91" s="3602"/>
      <c r="F91" s="3602"/>
      <c r="G91" s="3602"/>
      <c r="H91" s="3603"/>
      <c r="I91" s="3603"/>
      <c r="J91" s="3603"/>
      <c r="K91" s="3603"/>
      <c r="L91" s="3604"/>
      <c r="M91" s="3605"/>
      <c r="N91" s="3606"/>
      <c r="O91" s="3606"/>
      <c r="P91" s="3607"/>
      <c r="Q91" s="3608"/>
    </row>
    <row r="92" spans="1:17" s="3475" customFormat="1" ht="15.75" thickBot="1">
      <c r="A92" s="3601"/>
      <c r="B92" s="3591"/>
      <c r="C92" s="3635">
        <v>100</v>
      </c>
      <c r="D92" s="3592">
        <f t="shared" ref="D92:M92" si="21">C92-$K28</f>
        <v>98</v>
      </c>
      <c r="E92" s="3592">
        <f t="shared" si="21"/>
        <v>96</v>
      </c>
      <c r="F92" s="3592">
        <f t="shared" si="21"/>
        <v>94</v>
      </c>
      <c r="G92" s="3592">
        <f t="shared" si="21"/>
        <v>92</v>
      </c>
      <c r="H92" s="3592">
        <f t="shared" si="21"/>
        <v>90</v>
      </c>
      <c r="I92" s="3592">
        <f t="shared" si="21"/>
        <v>88</v>
      </c>
      <c r="J92" s="3592">
        <f t="shared" si="21"/>
        <v>86</v>
      </c>
      <c r="K92" s="3592">
        <f t="shared" si="21"/>
        <v>84</v>
      </c>
      <c r="L92" s="3592">
        <f t="shared" si="21"/>
        <v>82</v>
      </c>
      <c r="M92" s="3592">
        <f t="shared" si="21"/>
        <v>80</v>
      </c>
      <c r="N92" s="3606"/>
      <c r="O92" s="3606"/>
      <c r="P92" s="3607"/>
      <c r="Q92" s="3608"/>
    </row>
    <row r="93" spans="1:17" ht="15.75" thickTop="1">
      <c r="A93" s="3581"/>
      <c r="B93" s="3586">
        <f>B29</f>
        <v>111</v>
      </c>
      <c r="C93" s="3602"/>
      <c r="D93" s="3602"/>
      <c r="E93" s="3602"/>
      <c r="F93" s="3602"/>
      <c r="G93" s="3602"/>
      <c r="H93" s="3602"/>
      <c r="I93" s="3602"/>
      <c r="J93" s="3602"/>
      <c r="K93" s="3602"/>
      <c r="L93" s="3633"/>
      <c r="M93" s="3634"/>
      <c r="N93" s="3579"/>
      <c r="O93" s="3579"/>
      <c r="P93" s="3580"/>
      <c r="Q93" s="3545"/>
    </row>
    <row r="94" spans="1:17" ht="15.75" thickBot="1">
      <c r="A94" s="3581"/>
      <c r="B94" s="3591"/>
      <c r="C94" s="3609"/>
      <c r="D94" s="3583"/>
      <c r="E94" s="3583"/>
      <c r="F94" s="3583"/>
      <c r="G94" s="3583"/>
      <c r="H94" s="3583"/>
      <c r="I94" s="3583"/>
      <c r="J94" s="3583"/>
      <c r="K94" s="3583"/>
      <c r="L94" s="3583"/>
      <c r="M94" s="3584"/>
      <c r="N94" s="3585"/>
      <c r="O94" s="3585"/>
      <c r="P94" s="3580"/>
      <c r="Q94" s="3545"/>
    </row>
    <row r="95" spans="1:17" ht="15.75" thickTop="1">
      <c r="A95" s="3581"/>
      <c r="B95" s="3586">
        <f>B30</f>
        <v>111</v>
      </c>
      <c r="C95" s="3602"/>
      <c r="D95" s="3602"/>
      <c r="E95" s="3602"/>
      <c r="F95" s="3602"/>
      <c r="G95" s="3636"/>
      <c r="H95" s="3636"/>
      <c r="I95" s="3636"/>
      <c r="J95" s="3636"/>
      <c r="K95" s="3637"/>
      <c r="L95" s="3638"/>
      <c r="M95" s="3639"/>
      <c r="N95" s="3579"/>
      <c r="O95" s="3579"/>
      <c r="P95" s="3580"/>
      <c r="Q95" s="3545"/>
    </row>
    <row r="96" spans="1:17" ht="15.75" thickBot="1">
      <c r="A96" s="3581"/>
      <c r="B96" s="3591"/>
      <c r="C96" s="3609"/>
      <c r="D96" s="3609"/>
      <c r="E96" s="3609"/>
      <c r="F96" s="3609"/>
      <c r="G96" s="3583"/>
      <c r="H96" s="3583"/>
      <c r="I96" s="3583"/>
      <c r="J96" s="3583"/>
      <c r="K96" s="3583"/>
      <c r="L96" s="3583"/>
      <c r="M96" s="3584"/>
      <c r="N96" s="3585"/>
      <c r="O96" s="3585"/>
      <c r="P96" s="3580"/>
      <c r="Q96" s="3545"/>
    </row>
    <row r="97" spans="1:17" ht="15.75" thickTop="1">
      <c r="A97" s="3581"/>
      <c r="B97" s="3586">
        <f>B31</f>
        <v>111</v>
      </c>
      <c r="C97" s="3602"/>
      <c r="D97" s="3602"/>
      <c r="E97" s="3602"/>
      <c r="F97" s="3602"/>
      <c r="G97" s="3636"/>
      <c r="H97" s="3636"/>
      <c r="I97" s="3636"/>
      <c r="J97" s="3636"/>
      <c r="K97" s="3637"/>
      <c r="L97" s="3638"/>
      <c r="M97" s="3639"/>
      <c r="N97" s="3579"/>
      <c r="O97" s="3579"/>
      <c r="P97" s="3580"/>
      <c r="Q97" s="3545"/>
    </row>
    <row r="98" spans="1:17" ht="15.75" thickBot="1">
      <c r="A98" s="3581"/>
      <c r="B98" s="3591"/>
      <c r="C98" s="3609"/>
      <c r="D98" s="3583"/>
      <c r="E98" s="3583"/>
      <c r="F98" s="3583"/>
      <c r="G98" s="3583"/>
      <c r="H98" s="3583"/>
      <c r="I98" s="3583"/>
      <c r="J98" s="3583"/>
      <c r="K98" s="3583"/>
      <c r="L98" s="3583"/>
      <c r="M98" s="3584"/>
      <c r="N98" s="3585"/>
      <c r="O98" s="3585"/>
      <c r="P98" s="3580"/>
      <c r="Q98" s="3545"/>
    </row>
    <row r="99" spans="1:17" ht="15.75" thickTop="1">
      <c r="A99" s="3581"/>
      <c r="B99" s="3594">
        <f>B32</f>
        <v>111</v>
      </c>
      <c r="C99" s="3565"/>
      <c r="D99" s="3565"/>
      <c r="E99" s="3565"/>
      <c r="F99" s="3565"/>
      <c r="G99" s="3640"/>
      <c r="H99" s="3640"/>
      <c r="I99" s="3640"/>
      <c r="J99" s="3640"/>
      <c r="K99" s="3641"/>
      <c r="L99" s="3642"/>
      <c r="M99" s="3643"/>
      <c r="N99" s="3579"/>
      <c r="O99" s="3579"/>
      <c r="P99" s="3580"/>
      <c r="Q99" s="3545"/>
    </row>
    <row r="100" spans="1:17" ht="15.75" thickBot="1">
      <c r="A100" s="3644"/>
      <c r="B100" s="3619"/>
      <c r="C100" s="3620"/>
      <c r="D100" s="3620"/>
      <c r="E100" s="3620"/>
      <c r="F100" s="3620"/>
      <c r="G100" s="3645"/>
      <c r="H100" s="3645"/>
      <c r="I100" s="3645"/>
      <c r="J100" s="3645"/>
      <c r="K100" s="3645"/>
      <c r="L100" s="3645"/>
      <c r="M100" s="3646"/>
      <c r="N100" s="3585"/>
      <c r="O100" s="3585"/>
      <c r="P100" s="3580"/>
      <c r="Q100" s="3545"/>
    </row>
    <row r="101" spans="1:17">
      <c r="A101" s="3572" t="s">
        <v>3154</v>
      </c>
      <c r="B101" s="3573" t="s">
        <v>3155</v>
      </c>
      <c r="C101" s="3647" t="s">
        <v>3236</v>
      </c>
      <c r="D101" s="3647" t="s">
        <v>3237</v>
      </c>
      <c r="E101" s="3575"/>
      <c r="F101" s="3575"/>
      <c r="G101" s="3575"/>
      <c r="H101" s="3575"/>
      <c r="I101" s="3575"/>
      <c r="J101" s="3575"/>
      <c r="K101" s="3576"/>
      <c r="L101" s="3577"/>
      <c r="M101" s="3578"/>
      <c r="N101" s="3579"/>
      <c r="O101" s="3579"/>
      <c r="P101" s="3580"/>
      <c r="Q101" s="3545"/>
    </row>
    <row r="102" spans="1:17" ht="15.75" thickBot="1">
      <c r="A102" s="3581"/>
      <c r="B102" s="3591"/>
      <c r="C102" s="3592">
        <v>100</v>
      </c>
      <c r="D102" s="3592">
        <f t="shared" ref="D102:M102" si="22">C102-$K33</f>
        <v>99</v>
      </c>
      <c r="E102" s="3592">
        <f t="shared" si="22"/>
        <v>98</v>
      </c>
      <c r="F102" s="3592">
        <f t="shared" si="22"/>
        <v>97</v>
      </c>
      <c r="G102" s="3592">
        <f t="shared" si="22"/>
        <v>96</v>
      </c>
      <c r="H102" s="3592">
        <f t="shared" si="22"/>
        <v>95</v>
      </c>
      <c r="I102" s="3592">
        <f t="shared" si="22"/>
        <v>94</v>
      </c>
      <c r="J102" s="3592">
        <f t="shared" si="22"/>
        <v>93</v>
      </c>
      <c r="K102" s="3592">
        <f t="shared" si="22"/>
        <v>92</v>
      </c>
      <c r="L102" s="3592">
        <f t="shared" si="22"/>
        <v>91</v>
      </c>
      <c r="M102" s="3593">
        <f t="shared" si="22"/>
        <v>90</v>
      </c>
      <c r="N102" s="3585"/>
      <c r="O102" s="3585"/>
      <c r="P102" s="3580"/>
      <c r="Q102" s="3545"/>
    </row>
    <row r="103" spans="1:17" ht="29.25" thickTop="1">
      <c r="A103" s="3581"/>
      <c r="B103" s="3586" t="s">
        <v>3238</v>
      </c>
      <c r="C103" s="3628" t="str">
        <f>C104&amp;"(含)"&amp;"-"&amp;D104</f>
        <v>0(含)-200</v>
      </c>
      <c r="D103" s="3628" t="str">
        <f t="shared" ref="D103:L103" si="23">D104&amp;"(含)"&amp;"-"&amp;E104</f>
        <v>200(含)-400</v>
      </c>
      <c r="E103" s="3628" t="str">
        <f t="shared" si="23"/>
        <v>400(含)-600</v>
      </c>
      <c r="F103" s="3628" t="str">
        <f t="shared" si="23"/>
        <v>600(含)-800</v>
      </c>
      <c r="G103" s="3628" t="str">
        <f t="shared" si="23"/>
        <v>800(含)-1000</v>
      </c>
      <c r="H103" s="3628" t="str">
        <f t="shared" si="23"/>
        <v>1000(含)-2000</v>
      </c>
      <c r="I103" s="3628" t="str">
        <f t="shared" si="23"/>
        <v>2000(含)-5000</v>
      </c>
      <c r="J103" s="3628" t="str">
        <f t="shared" si="23"/>
        <v>5000(含)-10000</v>
      </c>
      <c r="K103" s="3628" t="str">
        <f t="shared" si="23"/>
        <v>10000(含)-20000</v>
      </c>
      <c r="L103" s="3628" t="str">
        <f t="shared" si="23"/>
        <v>20000(含)-</v>
      </c>
      <c r="M103" s="3648" t="str">
        <f>M104&amp;"(含)"&amp;"-"&amp;P104</f>
        <v>(含)-</v>
      </c>
      <c r="N103" s="3568"/>
      <c r="O103" s="3568"/>
      <c r="P103" s="3580"/>
      <c r="Q103" s="3545"/>
    </row>
    <row r="104" spans="1:17" s="3475" customFormat="1">
      <c r="A104" s="3649"/>
      <c r="B104" s="3650"/>
      <c r="C104" s="3651">
        <v>0</v>
      </c>
      <c r="D104" s="3651">
        <v>200</v>
      </c>
      <c r="E104" s="3651">
        <v>400</v>
      </c>
      <c r="F104" s="3651">
        <v>600</v>
      </c>
      <c r="G104" s="3651">
        <v>800</v>
      </c>
      <c r="H104" s="3651">
        <v>1000</v>
      </c>
      <c r="I104" s="3651">
        <v>2000</v>
      </c>
      <c r="J104" s="3652">
        <v>5000</v>
      </c>
      <c r="K104" s="3652">
        <v>10000</v>
      </c>
      <c r="L104" s="3653">
        <v>20000</v>
      </c>
      <c r="M104" s="3654"/>
      <c r="N104" s="3606"/>
      <c r="O104" s="3606"/>
      <c r="P104" s="3607"/>
      <c r="Q104" s="3608"/>
    </row>
    <row r="105" spans="1:17" s="3475" customFormat="1" ht="15.75" thickBot="1">
      <c r="A105" s="3601"/>
      <c r="B105" s="3591"/>
      <c r="C105" s="3609">
        <v>98</v>
      </c>
      <c r="D105" s="3583">
        <v>99</v>
      </c>
      <c r="E105" s="3583">
        <v>100</v>
      </c>
      <c r="F105" s="3583">
        <v>99</v>
      </c>
      <c r="G105" s="3583">
        <v>98</v>
      </c>
      <c r="H105" s="3583">
        <v>97</v>
      </c>
      <c r="I105" s="3583">
        <v>96</v>
      </c>
      <c r="J105" s="3583">
        <v>95</v>
      </c>
      <c r="K105" s="3583">
        <v>94</v>
      </c>
      <c r="L105" s="3583">
        <v>93</v>
      </c>
      <c r="M105" s="3584"/>
      <c r="N105" s="3585"/>
      <c r="O105" s="3585"/>
      <c r="P105" s="3607"/>
      <c r="Q105" s="3608"/>
    </row>
    <row r="106" spans="1:17" ht="15" thickTop="1">
      <c r="A106" s="3655"/>
      <c r="B106" s="3586" t="s">
        <v>3239</v>
      </c>
      <c r="C106" s="3632" t="s">
        <v>3240</v>
      </c>
      <c r="D106" s="3632" t="s">
        <v>3241</v>
      </c>
      <c r="E106" s="3656" t="s">
        <v>3242</v>
      </c>
      <c r="F106" s="3636"/>
      <c r="G106" s="3636"/>
      <c r="H106" s="3636"/>
      <c r="I106" s="3636"/>
      <c r="J106" s="3636"/>
      <c r="K106" s="3637"/>
      <c r="L106" s="3638"/>
      <c r="M106" s="3639"/>
      <c r="N106" s="3579"/>
      <c r="O106" s="3579"/>
      <c r="P106" s="3580"/>
      <c r="Q106" s="3545"/>
    </row>
    <row r="107" spans="1:17" ht="15.75" thickBot="1">
      <c r="A107" s="3581"/>
      <c r="B107" s="3591"/>
      <c r="C107" s="3592">
        <v>100</v>
      </c>
      <c r="D107" s="3592">
        <f t="shared" ref="D107:M107" si="24">C107-$K35</f>
        <v>98</v>
      </c>
      <c r="E107" s="3592">
        <f t="shared" si="24"/>
        <v>96</v>
      </c>
      <c r="F107" s="3592">
        <f t="shared" si="24"/>
        <v>94</v>
      </c>
      <c r="G107" s="3592">
        <f t="shared" si="24"/>
        <v>92</v>
      </c>
      <c r="H107" s="3592">
        <f t="shared" si="24"/>
        <v>90</v>
      </c>
      <c r="I107" s="3592">
        <f t="shared" si="24"/>
        <v>88</v>
      </c>
      <c r="J107" s="3592">
        <f t="shared" si="24"/>
        <v>86</v>
      </c>
      <c r="K107" s="3592">
        <f t="shared" si="24"/>
        <v>84</v>
      </c>
      <c r="L107" s="3592">
        <f t="shared" si="24"/>
        <v>82</v>
      </c>
      <c r="M107" s="3593">
        <f t="shared" si="24"/>
        <v>80</v>
      </c>
      <c r="N107" s="3585"/>
      <c r="O107" s="3585"/>
      <c r="P107" s="3580"/>
      <c r="Q107" s="3545"/>
    </row>
    <row r="108" spans="1:17" ht="15" thickTop="1">
      <c r="A108" s="3655"/>
      <c r="B108" s="3586" t="s">
        <v>3161</v>
      </c>
      <c r="C108" s="3632" t="s">
        <v>3243</v>
      </c>
      <c r="D108" s="3632" t="s">
        <v>3244</v>
      </c>
      <c r="E108" s="3632" t="s">
        <v>3245</v>
      </c>
      <c r="F108" s="3656" t="s">
        <v>3246</v>
      </c>
      <c r="G108" s="3636"/>
      <c r="H108" s="3636"/>
      <c r="I108" s="3636"/>
      <c r="J108" s="3636"/>
      <c r="K108" s="3637"/>
      <c r="L108" s="3638"/>
      <c r="M108" s="3639"/>
      <c r="N108" s="3579"/>
      <c r="O108" s="3579"/>
      <c r="P108" s="3580"/>
      <c r="Q108" s="3545"/>
    </row>
    <row r="109" spans="1:17" ht="15.75" thickBot="1">
      <c r="A109" s="3581"/>
      <c r="B109" s="3591"/>
      <c r="C109" s="3592">
        <v>100</v>
      </c>
      <c r="D109" s="3592">
        <f t="shared" ref="D109:M109" si="25">C109-$K36</f>
        <v>97</v>
      </c>
      <c r="E109" s="3592">
        <f t="shared" si="25"/>
        <v>94</v>
      </c>
      <c r="F109" s="3592">
        <f t="shared" si="25"/>
        <v>91</v>
      </c>
      <c r="G109" s="3592">
        <f t="shared" si="25"/>
        <v>88</v>
      </c>
      <c r="H109" s="3592">
        <f t="shared" si="25"/>
        <v>85</v>
      </c>
      <c r="I109" s="3592">
        <f t="shared" si="25"/>
        <v>82</v>
      </c>
      <c r="J109" s="3592">
        <f t="shared" si="25"/>
        <v>79</v>
      </c>
      <c r="K109" s="3592">
        <f t="shared" si="25"/>
        <v>76</v>
      </c>
      <c r="L109" s="3592">
        <f t="shared" si="25"/>
        <v>73</v>
      </c>
      <c r="M109" s="3593">
        <f t="shared" si="25"/>
        <v>70</v>
      </c>
      <c r="N109" s="3585"/>
      <c r="O109" s="3585"/>
      <c r="P109" s="3580"/>
      <c r="Q109" s="3545"/>
    </row>
    <row r="110" spans="1:17" ht="15" thickTop="1">
      <c r="A110" s="3655"/>
      <c r="B110" s="3586" t="s">
        <v>3247</v>
      </c>
      <c r="C110" s="3628" t="str">
        <f>C111&amp;"(含)"&amp;"-"&amp;D111</f>
        <v>0.5(含)-0.6</v>
      </c>
      <c r="D110" s="3628" t="str">
        <f>D111&amp;"(含)"&amp;"-"&amp;E111</f>
        <v>0.6(含)-0.7</v>
      </c>
      <c r="E110" s="3628" t="str">
        <f>E111&amp;"(含)"&amp;"-"&amp;F111</f>
        <v>0.7(含)-0.8</v>
      </c>
      <c r="F110" s="3628" t="str">
        <f>F111&amp;"(含)"&amp;"-"&amp;G111</f>
        <v>0.8(含)-0.9</v>
      </c>
      <c r="G110" s="3628" t="str">
        <f>G111&amp;"(含)"&amp;"-"&amp;ROUND(H111,0)&amp;"(含)"</f>
        <v>0.9(含)-1(含)</v>
      </c>
      <c r="H110" s="3628"/>
      <c r="I110" s="3636"/>
      <c r="J110" s="3636"/>
      <c r="K110" s="3637"/>
      <c r="L110" s="3638"/>
      <c r="M110" s="3639"/>
      <c r="N110" s="3579"/>
      <c r="O110" s="3579"/>
      <c r="P110" s="3580"/>
      <c r="Q110" s="3545"/>
    </row>
    <row r="111" spans="1:17">
      <c r="A111" s="3655"/>
      <c r="B111" s="3594"/>
      <c r="C111" s="3657">
        <v>0.5</v>
      </c>
      <c r="D111" s="3657">
        <v>0.6</v>
      </c>
      <c r="E111" s="3657">
        <v>0.7</v>
      </c>
      <c r="F111" s="3657">
        <v>0.8</v>
      </c>
      <c r="G111" s="3657">
        <v>0.9</v>
      </c>
      <c r="H111" s="3657">
        <v>1.0001</v>
      </c>
      <c r="I111" s="3658"/>
      <c r="J111" s="3658"/>
      <c r="K111" s="3659"/>
      <c r="L111" s="3660"/>
      <c r="M111" s="3661"/>
      <c r="N111" s="3579"/>
      <c r="O111" s="3579"/>
      <c r="P111" s="3580"/>
      <c r="Q111" s="3545"/>
    </row>
    <row r="112" spans="1:17" ht="15.75" thickBot="1">
      <c r="A112" s="3581"/>
      <c r="B112" s="3591"/>
      <c r="C112" s="3635">
        <v>100</v>
      </c>
      <c r="D112" s="3592">
        <f>C112+$K37</f>
        <v>102</v>
      </c>
      <c r="E112" s="3592">
        <f t="shared" ref="E112:M112" si="26">D112+$K37</f>
        <v>104</v>
      </c>
      <c r="F112" s="3592">
        <f t="shared" si="26"/>
        <v>106</v>
      </c>
      <c r="G112" s="3592">
        <f t="shared" si="26"/>
        <v>108</v>
      </c>
      <c r="H112" s="3592">
        <f t="shared" si="26"/>
        <v>110</v>
      </c>
      <c r="I112" s="3592">
        <f t="shared" si="26"/>
        <v>112</v>
      </c>
      <c r="J112" s="3592">
        <f t="shared" si="26"/>
        <v>114</v>
      </c>
      <c r="K112" s="3592">
        <f t="shared" si="26"/>
        <v>116</v>
      </c>
      <c r="L112" s="3592">
        <f t="shared" si="26"/>
        <v>118</v>
      </c>
      <c r="M112" s="3592">
        <f t="shared" si="26"/>
        <v>120</v>
      </c>
      <c r="N112" s="3585"/>
      <c r="O112" s="3585"/>
      <c r="P112" s="3580"/>
      <c r="Q112" s="3545"/>
    </row>
    <row r="113" spans="1:17" s="3475" customFormat="1" ht="15" thickTop="1">
      <c r="A113" s="3649"/>
      <c r="B113" s="3586" t="s">
        <v>3248</v>
      </c>
      <c r="C113" s="3632" t="s">
        <v>3249</v>
      </c>
      <c r="D113" s="3632" t="s">
        <v>3250</v>
      </c>
      <c r="E113" s="3632" t="s">
        <v>3251</v>
      </c>
      <c r="F113" s="3602"/>
      <c r="G113" s="3602"/>
      <c r="H113" s="3636"/>
      <c r="I113" s="3636"/>
      <c r="J113" s="3636"/>
      <c r="K113" s="3637"/>
      <c r="L113" s="3638"/>
      <c r="M113" s="3639"/>
      <c r="N113" s="3606"/>
      <c r="O113" s="3606"/>
      <c r="P113" s="3607"/>
      <c r="Q113" s="3608"/>
    </row>
    <row r="114" spans="1:17" s="3475" customFormat="1" ht="15.75" thickBot="1">
      <c r="A114" s="3601"/>
      <c r="B114" s="3591"/>
      <c r="C114" s="3592">
        <v>100</v>
      </c>
      <c r="D114" s="3592">
        <f>C114-$K38</f>
        <v>97</v>
      </c>
      <c r="E114" s="3592">
        <f t="shared" ref="E114:M114" si="27">D114-$K38</f>
        <v>94</v>
      </c>
      <c r="F114" s="3592">
        <f t="shared" si="27"/>
        <v>91</v>
      </c>
      <c r="G114" s="3592">
        <f t="shared" si="27"/>
        <v>88</v>
      </c>
      <c r="H114" s="3592">
        <f t="shared" si="27"/>
        <v>85</v>
      </c>
      <c r="I114" s="3592">
        <f t="shared" si="27"/>
        <v>82</v>
      </c>
      <c r="J114" s="3592">
        <f t="shared" si="27"/>
        <v>79</v>
      </c>
      <c r="K114" s="3592">
        <f t="shared" si="27"/>
        <v>76</v>
      </c>
      <c r="L114" s="3592">
        <f t="shared" si="27"/>
        <v>73</v>
      </c>
      <c r="M114" s="3592">
        <f t="shared" si="27"/>
        <v>70</v>
      </c>
      <c r="N114" s="3606"/>
      <c r="O114" s="3606"/>
      <c r="P114" s="3607"/>
      <c r="Q114" s="3608"/>
    </row>
    <row r="115" spans="1:17" ht="15" thickTop="1">
      <c r="A115" s="3655"/>
      <c r="B115" s="3586" t="s">
        <v>3166</v>
      </c>
      <c r="C115" s="3632" t="s">
        <v>3252</v>
      </c>
      <c r="D115" s="3632" t="s">
        <v>3253</v>
      </c>
      <c r="E115" s="3636"/>
      <c r="F115" s="3636"/>
      <c r="G115" s="3636"/>
      <c r="H115" s="3636"/>
      <c r="I115" s="3636"/>
      <c r="J115" s="3636"/>
      <c r="K115" s="3637"/>
      <c r="L115" s="3638"/>
      <c r="M115" s="3639"/>
      <c r="N115" s="3579"/>
      <c r="O115" s="3579"/>
      <c r="P115" s="3580"/>
      <c r="Q115" s="3545"/>
    </row>
    <row r="116" spans="1:17" ht="15.75" thickBot="1">
      <c r="A116" s="3581"/>
      <c r="B116" s="3591"/>
      <c r="C116" s="3592">
        <v>100</v>
      </c>
      <c r="D116" s="3592">
        <f t="shared" ref="D116:M116" si="28">C116-$K39</f>
        <v>97</v>
      </c>
      <c r="E116" s="3592">
        <f t="shared" si="28"/>
        <v>94</v>
      </c>
      <c r="F116" s="3592">
        <f t="shared" si="28"/>
        <v>91</v>
      </c>
      <c r="G116" s="3592">
        <f t="shared" si="28"/>
        <v>88</v>
      </c>
      <c r="H116" s="3592">
        <f t="shared" si="28"/>
        <v>85</v>
      </c>
      <c r="I116" s="3592">
        <f t="shared" si="28"/>
        <v>82</v>
      </c>
      <c r="J116" s="3592">
        <f t="shared" si="28"/>
        <v>79</v>
      </c>
      <c r="K116" s="3592">
        <f t="shared" si="28"/>
        <v>76</v>
      </c>
      <c r="L116" s="3592">
        <f t="shared" si="28"/>
        <v>73</v>
      </c>
      <c r="M116" s="3593">
        <f t="shared" si="28"/>
        <v>70</v>
      </c>
      <c r="N116" s="3585"/>
      <c r="O116" s="3585"/>
      <c r="P116" s="3580"/>
      <c r="Q116" s="3545"/>
    </row>
    <row r="117" spans="1:17" ht="15" thickTop="1">
      <c r="A117" s="3655"/>
      <c r="B117" s="3586" t="s">
        <v>3254</v>
      </c>
      <c r="C117" s="3632" t="s">
        <v>3255</v>
      </c>
      <c r="D117" s="3632" t="s">
        <v>3256</v>
      </c>
      <c r="E117" s="3632" t="s">
        <v>3257</v>
      </c>
      <c r="F117" s="3632" t="s">
        <v>3258</v>
      </c>
      <c r="G117" s="3632" t="s">
        <v>3259</v>
      </c>
      <c r="H117" s="3636"/>
      <c r="I117" s="3636"/>
      <c r="J117" s="3636"/>
      <c r="K117" s="3637"/>
      <c r="L117" s="3638"/>
      <c r="M117" s="3639"/>
      <c r="N117" s="3579"/>
      <c r="O117" s="3579"/>
      <c r="P117" s="3580"/>
      <c r="Q117" s="3545"/>
    </row>
    <row r="118" spans="1:17" ht="15.75" thickBot="1">
      <c r="A118" s="3581"/>
      <c r="B118" s="3591"/>
      <c r="C118" s="3592">
        <v>100</v>
      </c>
      <c r="D118" s="3592">
        <f>C118-$K40</f>
        <v>98</v>
      </c>
      <c r="E118" s="3592">
        <f>D118-$K40</f>
        <v>96</v>
      </c>
      <c r="F118" s="3592">
        <f>E118-$K40</f>
        <v>94</v>
      </c>
      <c r="G118" s="3592">
        <f>F118-$K40</f>
        <v>92</v>
      </c>
      <c r="H118" s="3592"/>
      <c r="I118" s="3592"/>
      <c r="J118" s="3592"/>
      <c r="K118" s="3592"/>
      <c r="L118" s="3592"/>
      <c r="M118" s="3593"/>
      <c r="N118" s="3585"/>
      <c r="O118" s="3585"/>
      <c r="P118" s="3580"/>
      <c r="Q118" s="3545"/>
    </row>
    <row r="119" spans="1:17" ht="15" thickTop="1">
      <c r="A119" s="3655"/>
      <c r="B119" s="3662" t="s">
        <v>3260</v>
      </c>
      <c r="C119" s="3656" t="s">
        <v>3261</v>
      </c>
      <c r="D119" s="3656" t="s">
        <v>3262</v>
      </c>
      <c r="E119" s="3636"/>
      <c r="F119" s="3636"/>
      <c r="G119" s="3636"/>
      <c r="H119" s="3636"/>
      <c r="I119" s="3636"/>
      <c r="J119" s="3636"/>
      <c r="K119" s="3636"/>
      <c r="L119" s="3663"/>
      <c r="M119" s="3664"/>
      <c r="N119" s="3585"/>
      <c r="O119" s="3585"/>
      <c r="P119" s="3665"/>
      <c r="Q119" s="3666"/>
    </row>
    <row r="120" spans="1:17" ht="15.75" thickBot="1">
      <c r="A120" s="3581"/>
      <c r="B120" s="3591"/>
      <c r="C120" s="3635">
        <v>100</v>
      </c>
      <c r="D120" s="3592">
        <f>C120-$K41</f>
        <v>98</v>
      </c>
      <c r="E120" s="3592">
        <f t="shared" ref="E120:M120" si="29">D120-$K41</f>
        <v>96</v>
      </c>
      <c r="F120" s="3592">
        <f t="shared" si="29"/>
        <v>94</v>
      </c>
      <c r="G120" s="3592">
        <f t="shared" si="29"/>
        <v>92</v>
      </c>
      <c r="H120" s="3592">
        <f t="shared" si="29"/>
        <v>90</v>
      </c>
      <c r="I120" s="3592">
        <f t="shared" si="29"/>
        <v>88</v>
      </c>
      <c r="J120" s="3592">
        <f t="shared" si="29"/>
        <v>86</v>
      </c>
      <c r="K120" s="3592">
        <f t="shared" si="29"/>
        <v>84</v>
      </c>
      <c r="L120" s="3592">
        <f t="shared" si="29"/>
        <v>82</v>
      </c>
      <c r="M120" s="3592">
        <f t="shared" si="29"/>
        <v>80</v>
      </c>
      <c r="N120" s="3585"/>
      <c r="O120" s="3585"/>
      <c r="P120" s="3580"/>
      <c r="Q120" s="3545"/>
    </row>
    <row r="121" spans="1:17" s="3475" customFormat="1" ht="15" thickTop="1">
      <c r="A121" s="3649"/>
      <c r="B121" s="3586" t="s">
        <v>3263</v>
      </c>
      <c r="C121" s="3602"/>
      <c r="D121" s="3602"/>
      <c r="E121" s="3602"/>
      <c r="F121" s="3636"/>
      <c r="G121" s="3603"/>
      <c r="H121" s="3603"/>
      <c r="I121" s="3603"/>
      <c r="J121" s="3603"/>
      <c r="K121" s="3603"/>
      <c r="L121" s="3604"/>
      <c r="M121" s="3605"/>
      <c r="N121" s="3606"/>
      <c r="O121" s="3606"/>
      <c r="P121" s="3607"/>
      <c r="Q121" s="3608"/>
    </row>
    <row r="122" spans="1:17" s="3475" customFormat="1" ht="15.75" thickBot="1">
      <c r="A122" s="3601"/>
      <c r="B122" s="3582"/>
      <c r="C122" s="3609"/>
      <c r="D122" s="3609"/>
      <c r="E122" s="3609"/>
      <c r="F122" s="3609"/>
      <c r="G122" s="3609"/>
      <c r="H122" s="3609"/>
      <c r="I122" s="3609"/>
      <c r="J122" s="3609"/>
      <c r="K122" s="3609"/>
      <c r="L122" s="3609"/>
      <c r="M122" s="3609"/>
      <c r="N122" s="3606"/>
      <c r="O122" s="3606"/>
      <c r="P122" s="3607"/>
      <c r="Q122" s="3608"/>
    </row>
    <row r="123" spans="1:17" ht="15" thickTop="1">
      <c r="A123" s="3655"/>
      <c r="B123" s="3586" t="s">
        <v>3172</v>
      </c>
      <c r="C123" s="3632" t="s">
        <v>3243</v>
      </c>
      <c r="D123" s="3632" t="s">
        <v>3244</v>
      </c>
      <c r="E123" s="3632" t="s">
        <v>3245</v>
      </c>
      <c r="F123" s="3656" t="s">
        <v>3246</v>
      </c>
      <c r="G123" s="3636"/>
      <c r="H123" s="3636"/>
      <c r="I123" s="3636"/>
      <c r="J123" s="3636"/>
      <c r="K123" s="3637"/>
      <c r="L123" s="3638"/>
      <c r="M123" s="3639"/>
      <c r="N123" s="3579"/>
      <c r="O123" s="3579"/>
      <c r="P123" s="3580"/>
      <c r="Q123" s="3545"/>
    </row>
    <row r="124" spans="1:17" ht="15.75" thickBot="1">
      <c r="A124" s="3581"/>
      <c r="B124" s="3591"/>
      <c r="C124" s="3592">
        <v>100</v>
      </c>
      <c r="D124" s="3592">
        <f t="shared" ref="D124:M124" si="30">C124-$K43</f>
        <v>99</v>
      </c>
      <c r="E124" s="3592">
        <f t="shared" si="30"/>
        <v>98</v>
      </c>
      <c r="F124" s="3592">
        <f t="shared" si="30"/>
        <v>97</v>
      </c>
      <c r="G124" s="3592">
        <f t="shared" si="30"/>
        <v>96</v>
      </c>
      <c r="H124" s="3592">
        <f t="shared" si="30"/>
        <v>95</v>
      </c>
      <c r="I124" s="3592">
        <f t="shared" si="30"/>
        <v>94</v>
      </c>
      <c r="J124" s="3592">
        <f t="shared" si="30"/>
        <v>93</v>
      </c>
      <c r="K124" s="3592">
        <f t="shared" si="30"/>
        <v>92</v>
      </c>
      <c r="L124" s="3592">
        <f t="shared" si="30"/>
        <v>91</v>
      </c>
      <c r="M124" s="3593">
        <f t="shared" si="30"/>
        <v>90</v>
      </c>
      <c r="N124" s="3585"/>
      <c r="O124" s="3585"/>
      <c r="P124" s="3580"/>
      <c r="Q124" s="3545"/>
    </row>
    <row r="125" spans="1:17" ht="15" thickTop="1">
      <c r="A125" s="3655"/>
      <c r="B125" s="3586" t="s">
        <v>3264</v>
      </c>
      <c r="C125" s="3628" t="s">
        <v>3206</v>
      </c>
      <c r="D125" s="3628" t="s">
        <v>2601</v>
      </c>
      <c r="E125" s="3628" t="s">
        <v>2602</v>
      </c>
      <c r="F125" s="3628" t="s">
        <v>3210</v>
      </c>
      <c r="G125" s="3628" t="s">
        <v>3212</v>
      </c>
      <c r="H125" s="3587"/>
      <c r="I125" s="3587"/>
      <c r="J125" s="3587"/>
      <c r="K125" s="3588"/>
      <c r="L125" s="3589"/>
      <c r="M125" s="3590"/>
      <c r="N125" s="3579"/>
      <c r="O125" s="3579"/>
      <c r="P125" s="3607"/>
      <c r="Q125" s="3545"/>
    </row>
    <row r="126" spans="1:17" ht="15.75" thickBot="1">
      <c r="A126" s="3581"/>
      <c r="B126" s="3591"/>
      <c r="C126" s="3592">
        <v>100</v>
      </c>
      <c r="D126" s="3592">
        <f>C126-$K44</f>
        <v>98</v>
      </c>
      <c r="E126" s="3592">
        <f>D126-$K44</f>
        <v>96</v>
      </c>
      <c r="F126" s="3592">
        <f>E126-$K44</f>
        <v>94</v>
      </c>
      <c r="G126" s="3592">
        <f>F126-$K44</f>
        <v>92</v>
      </c>
      <c r="H126" s="3592"/>
      <c r="I126" s="3592"/>
      <c r="J126" s="3592"/>
      <c r="K126" s="3592"/>
      <c r="L126" s="3592"/>
      <c r="M126" s="3593"/>
      <c r="N126" s="3585"/>
      <c r="O126" s="3585"/>
      <c r="P126" s="3580"/>
      <c r="Q126" s="3545"/>
    </row>
    <row r="127" spans="1:17" s="3475" customFormat="1" ht="15" thickTop="1">
      <c r="A127" s="3649"/>
      <c r="B127" s="3586" t="str">
        <f>B45</f>
        <v>智能环保系统</v>
      </c>
      <c r="C127" s="3667" t="s">
        <v>3265</v>
      </c>
      <c r="D127" s="3667" t="s">
        <v>3266</v>
      </c>
      <c r="E127" s="3602"/>
      <c r="F127" s="3602"/>
      <c r="G127" s="3602"/>
      <c r="H127" s="3603"/>
      <c r="I127" s="3603"/>
      <c r="J127" s="3603"/>
      <c r="K127" s="3603"/>
      <c r="L127" s="3604"/>
      <c r="M127" s="3605"/>
      <c r="N127" s="3606"/>
      <c r="O127" s="3606"/>
      <c r="P127" s="3607"/>
      <c r="Q127" s="3608"/>
    </row>
    <row r="128" spans="1:17" s="3475" customFormat="1" ht="15.75" thickBot="1">
      <c r="A128" s="3601"/>
      <c r="B128" s="3591"/>
      <c r="C128" s="3609">
        <v>100</v>
      </c>
      <c r="D128" s="3583">
        <v>97</v>
      </c>
      <c r="E128" s="3583"/>
      <c r="F128" s="3583"/>
      <c r="G128" s="3609"/>
      <c r="H128" s="3612"/>
      <c r="I128" s="3612"/>
      <c r="J128" s="3612"/>
      <c r="K128" s="3612"/>
      <c r="L128" s="3612"/>
      <c r="M128" s="3613"/>
      <c r="N128" s="3606"/>
      <c r="O128" s="3606"/>
      <c r="P128" s="3607"/>
      <c r="Q128" s="3608"/>
    </row>
    <row r="129" spans="1:17" ht="15" thickTop="1">
      <c r="A129" s="3655"/>
      <c r="B129" s="3586" t="str">
        <f>B46</f>
        <v>建筑品质</v>
      </c>
      <c r="C129" s="3667" t="s">
        <v>3180</v>
      </c>
      <c r="D129" s="3667" t="s">
        <v>3253</v>
      </c>
      <c r="E129" s="3602"/>
      <c r="F129" s="3602"/>
      <c r="G129" s="3636"/>
      <c r="H129" s="3636"/>
      <c r="I129" s="3636"/>
      <c r="J129" s="3636"/>
      <c r="K129" s="3637"/>
      <c r="L129" s="3638"/>
      <c r="M129" s="3639"/>
      <c r="N129" s="3579"/>
      <c r="O129" s="3579"/>
      <c r="P129" s="3580"/>
      <c r="Q129" s="3545"/>
    </row>
    <row r="130" spans="1:17" ht="15.75" thickBot="1">
      <c r="A130" s="3581"/>
      <c r="B130" s="3591"/>
      <c r="C130" s="3609">
        <v>100</v>
      </c>
      <c r="D130" s="3609">
        <v>97</v>
      </c>
      <c r="E130" s="3609"/>
      <c r="F130" s="3609"/>
      <c r="G130" s="3583"/>
      <c r="H130" s="3583"/>
      <c r="I130" s="3583"/>
      <c r="J130" s="3583"/>
      <c r="K130" s="3583"/>
      <c r="L130" s="3583"/>
      <c r="M130" s="3584"/>
      <c r="N130" s="3585"/>
      <c r="O130" s="3585"/>
      <c r="P130" s="3580"/>
      <c r="Q130" s="3545"/>
    </row>
    <row r="131" spans="1:17" ht="15" thickTop="1">
      <c r="A131" s="3655"/>
      <c r="B131" s="3594">
        <f>B47</f>
        <v>111</v>
      </c>
      <c r="C131" s="3565"/>
      <c r="D131" s="3565"/>
      <c r="E131" s="3565"/>
      <c r="F131" s="3565"/>
      <c r="G131" s="3640"/>
      <c r="H131" s="3640"/>
      <c r="I131" s="3640"/>
      <c r="J131" s="3640"/>
      <c r="K131" s="3565"/>
      <c r="L131" s="3566"/>
      <c r="M131" s="3643"/>
      <c r="N131" s="3579"/>
      <c r="O131" s="3579"/>
      <c r="P131" s="3580"/>
      <c r="Q131" s="3545"/>
    </row>
    <row r="132" spans="1:17" ht="15.75" thickBot="1">
      <c r="A132" s="3644"/>
      <c r="B132" s="3619"/>
      <c r="C132" s="3620"/>
      <c r="D132" s="3620"/>
      <c r="E132" s="3620"/>
      <c r="F132" s="3620"/>
      <c r="G132" s="3645"/>
      <c r="H132" s="3645"/>
      <c r="I132" s="3645"/>
      <c r="J132" s="3645"/>
      <c r="K132" s="3645"/>
      <c r="L132" s="3645"/>
      <c r="M132" s="3646"/>
      <c r="N132" s="3585"/>
      <c r="O132" s="3585"/>
      <c r="P132" s="3580"/>
      <c r="Q132" s="354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3 H53">
    <cfRule type="containsText" dxfId="150" priority="16" stopIfTrue="1" operator="containsText" text="超过">
      <formula>NOT(ISERROR(SEARCH("超过",F53)))</formula>
    </cfRule>
  </conditionalFormatting>
  <conditionalFormatting sqref="H55">
    <cfRule type="containsText" dxfId="149" priority="15" stopIfTrue="1" operator="containsText" text="超过">
      <formula>NOT(ISERROR(SEARCH("超过",H55)))</formula>
    </cfRule>
  </conditionalFormatting>
  <conditionalFormatting sqref="F55">
    <cfRule type="containsText" dxfId="148" priority="14" stopIfTrue="1" operator="containsText" text="超过">
      <formula>NOT(ISERROR(SEARCH("超过",F55)))</formula>
    </cfRule>
  </conditionalFormatting>
  <conditionalFormatting sqref="F54 H54">
    <cfRule type="containsText" dxfId="147" priority="13" stopIfTrue="1" operator="containsText" text="超过">
      <formula>NOT(ISERROR(SEARCH("超过",F54)))</formula>
    </cfRule>
  </conditionalFormatting>
  <conditionalFormatting sqref="E53">
    <cfRule type="expression" dxfId="146" priority="12" stopIfTrue="1">
      <formula>$F$53="超过30%"</formula>
    </cfRule>
  </conditionalFormatting>
  <conditionalFormatting sqref="E54">
    <cfRule type="expression" dxfId="145" priority="11" stopIfTrue="1">
      <formula>$F$54="超过20%"</formula>
    </cfRule>
  </conditionalFormatting>
  <conditionalFormatting sqref="E55">
    <cfRule type="expression" dxfId="144" priority="10" stopIfTrue="1">
      <formula>$F$55="超过30%"</formula>
    </cfRule>
  </conditionalFormatting>
  <conditionalFormatting sqref="G55">
    <cfRule type="expression" dxfId="143" priority="9" stopIfTrue="1">
      <formula>$H$55="超过30%"</formula>
    </cfRule>
  </conditionalFormatting>
  <conditionalFormatting sqref="G53">
    <cfRule type="expression" dxfId="142" priority="8" stopIfTrue="1">
      <formula>$H$53="超过30%"</formula>
    </cfRule>
  </conditionalFormatting>
  <conditionalFormatting sqref="G54">
    <cfRule type="expression" dxfId="141" priority="7" stopIfTrue="1">
      <formula>$H$54="超过20%"</formula>
    </cfRule>
  </conditionalFormatting>
  <conditionalFormatting sqref="J53">
    <cfRule type="containsText" dxfId="140" priority="6" stopIfTrue="1" operator="containsText" text="超过">
      <formula>NOT(ISERROR(SEARCH("超过",J53)))</formula>
    </cfRule>
  </conditionalFormatting>
  <conditionalFormatting sqref="J55">
    <cfRule type="containsText" dxfId="139" priority="5" stopIfTrue="1" operator="containsText" text="超过">
      <formula>NOT(ISERROR(SEARCH("超过",J55)))</formula>
    </cfRule>
  </conditionalFormatting>
  <conditionalFormatting sqref="J54">
    <cfRule type="containsText" dxfId="138" priority="4" stopIfTrue="1" operator="containsText" text="超过">
      <formula>NOT(ISERROR(SEARCH("超过",J54)))</formula>
    </cfRule>
  </conditionalFormatting>
  <conditionalFormatting sqref="I53">
    <cfRule type="expression" dxfId="137" priority="3" stopIfTrue="1">
      <formula>$J$53="超过30%"</formula>
    </cfRule>
  </conditionalFormatting>
  <conditionalFormatting sqref="I54">
    <cfRule type="expression" dxfId="136" priority="2" stopIfTrue="1">
      <formula>$J$53+$J$54="超过20%"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E90" sqref="E90"/>
    </sheetView>
  </sheetViews>
  <sheetFormatPr defaultRowHeight="14.25"/>
  <cols>
    <col min="1" max="1" width="10.5" style="3334" customWidth="1"/>
    <col min="2" max="2" width="15.75" style="3334" customWidth="1"/>
    <col min="3" max="3" width="15.125" style="3334" customWidth="1"/>
    <col min="4" max="4" width="12.25" style="3334" customWidth="1"/>
    <col min="5" max="5" width="14.375" style="3334" customWidth="1"/>
    <col min="6" max="6" width="12.25" style="3334" customWidth="1"/>
    <col min="7" max="7" width="14.5" style="3334" customWidth="1"/>
    <col min="8" max="8" width="12.25" style="3334" customWidth="1"/>
    <col min="9" max="9" width="14.5" style="3334" customWidth="1"/>
    <col min="10" max="10" width="12.25" style="3334" customWidth="1"/>
    <col min="11" max="11" width="12.25" style="3668" customWidth="1"/>
    <col min="12" max="12" width="12.25" style="3669" customWidth="1"/>
    <col min="13" max="15" width="12.25" style="3334" customWidth="1"/>
    <col min="16" max="16" width="4.75" style="3730" customWidth="1"/>
    <col min="17" max="17" width="19.5" style="3334" customWidth="1"/>
    <col min="18" max="22" width="6.125" style="3334" customWidth="1"/>
    <col min="23" max="23" width="5.75" style="3334" customWidth="1"/>
    <col min="24" max="24" width="4.25" style="3334" customWidth="1"/>
    <col min="25" max="25" width="3.5" style="3334" customWidth="1"/>
    <col min="26" max="26" width="19.75" style="3334" customWidth="1"/>
    <col min="27" max="28" width="9.375" style="3334" customWidth="1"/>
    <col min="29" max="16384" width="9" style="3334"/>
  </cols>
  <sheetData>
    <row r="1" spans="1:29" s="3302" customFormat="1" ht="28.5" customHeight="1" thickBot="1">
      <c r="A1" s="3291" t="s">
        <v>3267</v>
      </c>
      <c r="B1" s="3670" t="s">
        <v>3268</v>
      </c>
      <c r="C1" s="3300" t="s">
        <v>3269</v>
      </c>
      <c r="D1" s="3294" t="s">
        <v>1377</v>
      </c>
      <c r="E1" s="3671"/>
      <c r="F1" s="3296" t="s">
        <v>3093</v>
      </c>
      <c r="G1" s="3297" t="s">
        <v>3270</v>
      </c>
      <c r="H1" s="3295"/>
      <c r="I1" s="3295"/>
      <c r="J1" s="3295"/>
      <c r="K1" s="3298"/>
      <c r="L1" s="3299"/>
      <c r="M1" s="3300"/>
      <c r="N1" s="3300"/>
      <c r="O1" s="3300"/>
      <c r="P1" s="3672"/>
      <c r="Q1" s="3673"/>
      <c r="R1" s="3673"/>
      <c r="S1" s="3673"/>
      <c r="T1" s="3673"/>
      <c r="U1" s="3673"/>
      <c r="V1" s="3673"/>
      <c r="W1" s="3673"/>
      <c r="X1" s="3673"/>
      <c r="Y1" s="3673"/>
      <c r="Z1" s="3673"/>
      <c r="AA1" s="3673"/>
      <c r="AB1" s="3673"/>
      <c r="AC1" s="3674"/>
    </row>
    <row r="2" spans="1:29" s="3310" customFormat="1" ht="28.5" customHeight="1" thickTop="1">
      <c r="A2" s="1617" t="s">
        <v>3271</v>
      </c>
      <c r="B2" s="3303">
        <f>IF(C2="——",ROUND(C49*D3/10000,0),ROUND(C49*D3/10000,0)-D2)</f>
        <v>45466</v>
      </c>
      <c r="C2" s="2589" t="s">
        <v>70</v>
      </c>
      <c r="D2" s="3304" t="e">
        <f ca="1">SUMIF(INDIRECT("'"&amp;F2&amp;"'"&amp;"!A:A"),"承租人权益价值",INDIRECT("'"&amp;F2&amp;"'"&amp;"!c:c"))</f>
        <v>#REF!</v>
      </c>
      <c r="E2" s="2590" t="s">
        <v>3272</v>
      </c>
      <c r="F2" s="2591"/>
      <c r="G2" s="3305"/>
      <c r="H2" s="3305"/>
      <c r="I2" s="3305"/>
      <c r="J2" s="3305"/>
      <c r="K2" s="3305"/>
      <c r="L2" s="3306"/>
      <c r="M2" s="3307"/>
      <c r="N2" s="3307"/>
      <c r="O2" s="3307"/>
      <c r="P2" s="3675"/>
      <c r="Q2" s="3307"/>
      <c r="R2" s="3307"/>
      <c r="S2" s="3307"/>
      <c r="T2" s="3307"/>
      <c r="U2" s="3307"/>
      <c r="V2" s="3307"/>
      <c r="W2" s="3307"/>
      <c r="X2" s="3307"/>
      <c r="Y2" s="3307"/>
      <c r="Z2" s="3307"/>
      <c r="AA2" s="3307"/>
      <c r="AB2" s="3307"/>
      <c r="AC2" s="3676"/>
    </row>
    <row r="3" spans="1:29" s="3310" customFormat="1" ht="28.5" customHeight="1" thickBot="1">
      <c r="A3" s="247" t="s">
        <v>3273</v>
      </c>
      <c r="B3" s="3311">
        <f>IF(C2="——",C49,ROUND(B2*10000/D3,0))</f>
        <v>49857</v>
      </c>
      <c r="C3" s="3312" t="s">
        <v>3274</v>
      </c>
      <c r="D3" s="3313">
        <f>IF(D1="",'[1]数据-汇总表'!E3,SUMIF('[1]数据-汇总表'!$C19:$C33,D1,'[1]数据-汇总表'!$E19:$E33))</f>
        <v>9119.369999999999</v>
      </c>
      <c r="E3" s="3314"/>
      <c r="F3" s="3315"/>
      <c r="G3" s="3305"/>
      <c r="H3" s="3305"/>
      <c r="I3" s="3305"/>
      <c r="J3" s="3305"/>
      <c r="K3" s="3316"/>
      <c r="L3" s="3306"/>
      <c r="M3" s="3307"/>
      <c r="N3" s="3307"/>
      <c r="O3" s="3307"/>
      <c r="P3" s="3675"/>
      <c r="Q3" s="3307"/>
      <c r="R3" s="3307"/>
      <c r="S3" s="3307"/>
      <c r="T3" s="3307"/>
      <c r="U3" s="3307"/>
      <c r="V3" s="3307"/>
      <c r="W3" s="3307"/>
      <c r="X3" s="3307"/>
      <c r="Y3" s="3307"/>
      <c r="Z3" s="3307"/>
      <c r="AA3" s="3307"/>
      <c r="AB3" s="3307"/>
      <c r="AC3" s="3314"/>
    </row>
    <row r="4" spans="1:29" ht="15">
      <c r="A4" s="3317" t="s">
        <v>3275</v>
      </c>
      <c r="B4" s="3318"/>
      <c r="C4" s="3319" t="s">
        <v>3276</v>
      </c>
      <c r="D4" s="3320"/>
      <c r="E4" s="3321" t="s">
        <v>3277</v>
      </c>
      <c r="F4" s="3322"/>
      <c r="G4" s="3319" t="s">
        <v>3278</v>
      </c>
      <c r="H4" s="3320"/>
      <c r="I4" s="3319" t="s">
        <v>3279</v>
      </c>
      <c r="J4" s="3320"/>
      <c r="K4" s="3323" t="s">
        <v>3280</v>
      </c>
      <c r="L4" s="3324"/>
      <c r="M4" s="3325"/>
      <c r="N4" s="3325"/>
      <c r="O4" s="3325"/>
      <c r="P4" s="3677" t="s">
        <v>3281</v>
      </c>
      <c r="Q4" s="3678"/>
      <c r="R4" s="3679" t="s">
        <v>3277</v>
      </c>
      <c r="S4" s="3680"/>
      <c r="T4" s="3679" t="s">
        <v>3278</v>
      </c>
      <c r="U4" s="3680"/>
      <c r="V4" s="3346" t="s">
        <v>3279</v>
      </c>
      <c r="W4" s="3346"/>
      <c r="X4" s="3347"/>
      <c r="Y4" s="3679" t="s">
        <v>3281</v>
      </c>
      <c r="Z4" s="3680"/>
      <c r="AA4" s="3681" t="s">
        <v>3277</v>
      </c>
      <c r="AB4" s="3346" t="s">
        <v>3278</v>
      </c>
      <c r="AC4" s="3681" t="s">
        <v>3279</v>
      </c>
    </row>
    <row r="5" spans="1:29" ht="15" customHeight="1">
      <c r="A5" s="3335"/>
      <c r="B5" s="3336"/>
      <c r="C5" s="3337" t="s">
        <v>3282</v>
      </c>
      <c r="D5" s="3338"/>
      <c r="E5" s="3682" t="s">
        <v>3283</v>
      </c>
      <c r="F5" s="3683"/>
      <c r="G5" s="3684" t="s">
        <v>3284</v>
      </c>
      <c r="H5" s="3683"/>
      <c r="I5" s="3682" t="s">
        <v>3285</v>
      </c>
      <c r="J5" s="3683"/>
      <c r="K5" s="3323"/>
      <c r="L5" s="3324"/>
      <c r="M5" s="3325"/>
      <c r="N5" s="3325"/>
      <c r="O5" s="3325"/>
      <c r="P5" s="3685"/>
      <c r="Q5" s="3343"/>
      <c r="R5" s="3344"/>
      <c r="S5" s="3345"/>
      <c r="T5" s="3344"/>
      <c r="U5" s="3345"/>
      <c r="V5" s="3346"/>
      <c r="W5" s="3346"/>
      <c r="X5" s="3347"/>
      <c r="Y5" s="3344"/>
      <c r="Z5" s="3345"/>
      <c r="AA5" s="3348"/>
      <c r="AB5" s="3346"/>
      <c r="AC5" s="3348"/>
    </row>
    <row r="6" spans="1:29" ht="15.75" thickBot="1">
      <c r="A6" s="3350"/>
      <c r="B6" s="3351"/>
      <c r="C6" s="3352" t="s">
        <v>3286</v>
      </c>
      <c r="D6" s="3353"/>
      <c r="E6" s="3354" t="s">
        <v>3286</v>
      </c>
      <c r="F6" s="3355"/>
      <c r="G6" s="3352" t="s">
        <v>3286</v>
      </c>
      <c r="H6" s="3353"/>
      <c r="I6" s="3352" t="s">
        <v>3286</v>
      </c>
      <c r="J6" s="3353"/>
      <c r="K6" s="3323" t="s">
        <v>3287</v>
      </c>
      <c r="L6" s="3324"/>
      <c r="M6" s="3325"/>
      <c r="N6" s="3325"/>
      <c r="O6" s="3325"/>
      <c r="P6" s="3686"/>
      <c r="Q6" s="3357"/>
      <c r="R6" s="3344"/>
      <c r="S6" s="3345"/>
      <c r="T6" s="3358"/>
      <c r="U6" s="3359"/>
      <c r="V6" s="3346"/>
      <c r="W6" s="3346"/>
      <c r="X6" s="3347"/>
      <c r="Y6" s="3358"/>
      <c r="Z6" s="3359"/>
      <c r="AA6" s="3360"/>
      <c r="AB6" s="3346"/>
      <c r="AC6" s="3360"/>
    </row>
    <row r="7" spans="1:29" s="3380" customFormat="1" ht="15.75" thickBot="1">
      <c r="A7" s="3362" t="s">
        <v>3288</v>
      </c>
      <c r="B7" s="3363"/>
      <c r="C7" s="3364">
        <f>'[1]数据-取费表'!B2</f>
        <v>43252</v>
      </c>
      <c r="D7" s="3365">
        <v>100</v>
      </c>
      <c r="E7" s="3366">
        <v>43252</v>
      </c>
      <c r="F7" s="3367">
        <f>SUMIF(58:58,YEAR(E7)&amp;"-"&amp;MONTH(E7),59:59)</f>
        <v>100</v>
      </c>
      <c r="G7" s="3366">
        <v>43252</v>
      </c>
      <c r="H7" s="3365">
        <f>SUMIF(58:58,YEAR(G7)&amp;"-"&amp;MONTH(G7),59:59)</f>
        <v>100</v>
      </c>
      <c r="I7" s="3366">
        <v>43252</v>
      </c>
      <c r="J7" s="3365">
        <f>SUMIF(58:58,YEAR(I7)&amp;"-"&amp;MONTH(I7),59:59)</f>
        <v>100</v>
      </c>
      <c r="K7" s="3368"/>
      <c r="L7" s="3369"/>
      <c r="M7" s="3370"/>
      <c r="N7" s="3370"/>
      <c r="O7" s="3370"/>
      <c r="P7" s="3376" t="s">
        <v>3289</v>
      </c>
      <c r="Q7" s="3372"/>
      <c r="R7" s="3373" t="s">
        <v>3140</v>
      </c>
      <c r="S7" s="3374">
        <f t="shared" ref="S7:S15" si="0">F7</f>
        <v>100</v>
      </c>
      <c r="T7" s="3373" t="s">
        <v>3140</v>
      </c>
      <c r="U7" s="3374">
        <f t="shared" ref="U7:U15" si="1">H7</f>
        <v>100</v>
      </c>
      <c r="V7" s="3373" t="s">
        <v>3140</v>
      </c>
      <c r="W7" s="3374">
        <f t="shared" ref="W7:W15" si="2">J7</f>
        <v>100</v>
      </c>
      <c r="X7" s="3375"/>
      <c r="Y7" s="3376" t="s">
        <v>3289</v>
      </c>
      <c r="Z7" s="3377"/>
      <c r="AA7" s="3378">
        <f>D7/F7</f>
        <v>1</v>
      </c>
      <c r="AB7" s="3378">
        <f>D7/H7</f>
        <v>1</v>
      </c>
      <c r="AC7" s="3378">
        <f>D7/J7</f>
        <v>1</v>
      </c>
    </row>
    <row r="8" spans="1:29" s="3380" customFormat="1" ht="15.75" thickBot="1">
      <c r="A8" s="3362" t="s">
        <v>3290</v>
      </c>
      <c r="B8" s="3363"/>
      <c r="C8" s="3381" t="s">
        <v>3291</v>
      </c>
      <c r="D8" s="3365">
        <v>100</v>
      </c>
      <c r="E8" s="3381" t="s">
        <v>3291</v>
      </c>
      <c r="F8" s="3367">
        <f>SUMIF(61:61,E8,62:62)-SUMIF(61:61,C8,62:62)+100</f>
        <v>100</v>
      </c>
      <c r="G8" s="3381" t="s">
        <v>3291</v>
      </c>
      <c r="H8" s="3365">
        <f>SUMIF(61:61,G8,62:62)-SUMIF(61:61,C8,62:62)+100</f>
        <v>100</v>
      </c>
      <c r="I8" s="3381" t="s">
        <v>3291</v>
      </c>
      <c r="J8" s="3365">
        <f>SUMIF(61:61,I8,62:62)-SUMIF(61:61,C8,62:62)+100</f>
        <v>100</v>
      </c>
      <c r="K8" s="3368"/>
      <c r="L8" s="3369"/>
      <c r="M8" s="3370"/>
      <c r="N8" s="3370"/>
      <c r="O8" s="3370"/>
      <c r="P8" s="3376" t="s">
        <v>3292</v>
      </c>
      <c r="Q8" s="3377"/>
      <c r="R8" s="3373" t="s">
        <v>3140</v>
      </c>
      <c r="S8" s="3374">
        <f t="shared" si="0"/>
        <v>100</v>
      </c>
      <c r="T8" s="3373" t="s">
        <v>3140</v>
      </c>
      <c r="U8" s="3374">
        <f t="shared" si="1"/>
        <v>100</v>
      </c>
      <c r="V8" s="3373" t="s">
        <v>3140</v>
      </c>
      <c r="W8" s="3374">
        <f t="shared" si="2"/>
        <v>100</v>
      </c>
      <c r="X8" s="3375"/>
      <c r="Y8" s="3376" t="s">
        <v>3292</v>
      </c>
      <c r="Z8" s="3377"/>
      <c r="AA8" s="3378">
        <f t="shared" ref="AA8:AA46" si="3">D8/F8</f>
        <v>1</v>
      </c>
      <c r="AB8" s="3378">
        <f t="shared" ref="AB8:AB46" si="4">D8/H8</f>
        <v>1</v>
      </c>
      <c r="AC8" s="3378">
        <f t="shared" ref="AC8:AC46" si="5">D8/J8</f>
        <v>1</v>
      </c>
    </row>
    <row r="9" spans="1:29" s="3380" customFormat="1">
      <c r="A9" s="3382" t="s">
        <v>3293</v>
      </c>
      <c r="B9" s="3383" t="s">
        <v>3294</v>
      </c>
      <c r="C9" s="3384" t="s">
        <v>3065</v>
      </c>
      <c r="D9" s="3385">
        <v>100</v>
      </c>
      <c r="E9" s="3687" t="s">
        <v>1377</v>
      </c>
      <c r="F9" s="3688">
        <f>SUMIF(63:63,E9,64:64)-SUMIF(63:63,C9,64:64)+100</f>
        <v>100</v>
      </c>
      <c r="G9" s="3687" t="s">
        <v>1377</v>
      </c>
      <c r="H9" s="3385">
        <f>SUMIF(63:63,G9,64:64)-SUMIF(63:63,C9,64:64)+100</f>
        <v>100</v>
      </c>
      <c r="I9" s="3687" t="s">
        <v>1377</v>
      </c>
      <c r="J9" s="3385">
        <f>SUMIF(63:63,I9,64:64)-SUMIF(63:63,C9,64:64)+100</f>
        <v>100</v>
      </c>
      <c r="K9" s="3368"/>
      <c r="L9" s="3369"/>
      <c r="M9" s="3370"/>
      <c r="N9" s="3370"/>
      <c r="O9" s="3370"/>
      <c r="P9" s="3386" t="s">
        <v>3295</v>
      </c>
      <c r="Q9" s="3387" t="str">
        <f t="shared" ref="Q9:Q15" si="6">B9</f>
        <v>用途</v>
      </c>
      <c r="R9" s="3373" t="s">
        <v>3140</v>
      </c>
      <c r="S9" s="3374">
        <f t="shared" si="0"/>
        <v>100</v>
      </c>
      <c r="T9" s="3373" t="s">
        <v>3140</v>
      </c>
      <c r="U9" s="3374">
        <f t="shared" si="1"/>
        <v>100</v>
      </c>
      <c r="V9" s="3373" t="s">
        <v>3140</v>
      </c>
      <c r="W9" s="3374">
        <f t="shared" si="2"/>
        <v>100</v>
      </c>
      <c r="X9" s="3375"/>
      <c r="Y9" s="3388" t="s">
        <v>3296</v>
      </c>
      <c r="Z9" s="3389" t="str">
        <f t="shared" ref="Z9:Z15" si="7">Q9</f>
        <v>用途</v>
      </c>
      <c r="AA9" s="3378">
        <f t="shared" si="3"/>
        <v>1</v>
      </c>
      <c r="AB9" s="3378">
        <f t="shared" si="4"/>
        <v>1</v>
      </c>
      <c r="AC9" s="3378">
        <f t="shared" si="5"/>
        <v>1</v>
      </c>
    </row>
    <row r="10" spans="1:29" s="3397" customFormat="1" ht="27">
      <c r="A10" s="3390"/>
      <c r="B10" s="3391" t="s">
        <v>3297</v>
      </c>
      <c r="C10" s="3392" t="s">
        <v>3298</v>
      </c>
      <c r="D10" s="3393">
        <v>100</v>
      </c>
      <c r="E10" s="3689" t="s">
        <v>3298</v>
      </c>
      <c r="F10" s="3467">
        <f>SUMIF(65:65,E10,66:66)-SUMIF(65:65,C10,66:66)+100</f>
        <v>100</v>
      </c>
      <c r="G10" s="3392" t="s">
        <v>3298</v>
      </c>
      <c r="H10" s="3393">
        <f>SUMIF(65:65,G10,66:66)-SUMIF(65:65,C10,66:66)+100</f>
        <v>100</v>
      </c>
      <c r="I10" s="3392" t="s">
        <v>3298</v>
      </c>
      <c r="J10" s="3393">
        <f>SUMIF(65:65,I10,66:66)-SUMIF(65:65,C10,66:66)+100</f>
        <v>100</v>
      </c>
      <c r="K10" s="3394">
        <v>1</v>
      </c>
      <c r="L10" s="3395"/>
      <c r="M10" s="3396"/>
      <c r="N10" s="3396"/>
      <c r="O10" s="3396"/>
      <c r="P10" s="3386"/>
      <c r="Q10" s="3387" t="str">
        <f t="shared" si="6"/>
        <v>土地使用年限（年）</v>
      </c>
      <c r="R10" s="3373" t="s">
        <v>3140</v>
      </c>
      <c r="S10" s="3374">
        <f t="shared" si="0"/>
        <v>100</v>
      </c>
      <c r="T10" s="3373" t="s">
        <v>3140</v>
      </c>
      <c r="U10" s="3374">
        <f t="shared" si="1"/>
        <v>100</v>
      </c>
      <c r="V10" s="3373" t="s">
        <v>3140</v>
      </c>
      <c r="W10" s="3374">
        <f t="shared" si="2"/>
        <v>100</v>
      </c>
      <c r="X10" s="3375"/>
      <c r="Y10" s="3388"/>
      <c r="Z10" s="3389" t="str">
        <f t="shared" si="7"/>
        <v>土地使用年限（年）</v>
      </c>
      <c r="AA10" s="3378">
        <f t="shared" si="3"/>
        <v>1</v>
      </c>
      <c r="AB10" s="3378">
        <f t="shared" si="4"/>
        <v>1</v>
      </c>
      <c r="AC10" s="3378">
        <f t="shared" si="5"/>
        <v>1</v>
      </c>
    </row>
    <row r="11" spans="1:29" ht="15">
      <c r="A11" s="3398"/>
      <c r="B11" s="3391" t="s">
        <v>3299</v>
      </c>
      <c r="C11" s="3399"/>
      <c r="D11" s="3393">
        <v>100</v>
      </c>
      <c r="E11" s="3400"/>
      <c r="F11" s="3467">
        <f>LOOKUP(E11,68:68,69:69)-LOOKUP(C11,68:68,69:69)+100</f>
        <v>100</v>
      </c>
      <c r="G11" s="3399"/>
      <c r="H11" s="3393">
        <f>LOOKUP(G11,68:68,69:69)-LOOKUP(C11,68:68,69:69)+100</f>
        <v>100</v>
      </c>
      <c r="I11" s="3399"/>
      <c r="J11" s="3393">
        <f>LOOKUP(I11,68:68,69:69)-LOOKUP(C11,68:68,69:69)+100</f>
        <v>100</v>
      </c>
      <c r="K11" s="3394">
        <v>2</v>
      </c>
      <c r="L11" s="3401"/>
      <c r="M11" s="3325"/>
      <c r="N11" s="3325"/>
      <c r="O11" s="3325"/>
      <c r="P11" s="3386"/>
      <c r="Q11" s="3387" t="str">
        <f t="shared" si="6"/>
        <v>容积率</v>
      </c>
      <c r="R11" s="3373" t="s">
        <v>3140</v>
      </c>
      <c r="S11" s="3374">
        <f t="shared" si="0"/>
        <v>100</v>
      </c>
      <c r="T11" s="3373" t="s">
        <v>3140</v>
      </c>
      <c r="U11" s="3374">
        <f t="shared" si="1"/>
        <v>100</v>
      </c>
      <c r="V11" s="3373" t="s">
        <v>3140</v>
      </c>
      <c r="W11" s="3374">
        <f t="shared" si="2"/>
        <v>100</v>
      </c>
      <c r="X11" s="3375"/>
      <c r="Y11" s="3388"/>
      <c r="Z11" s="3389" t="str">
        <f t="shared" si="7"/>
        <v>容积率</v>
      </c>
      <c r="AA11" s="3378">
        <f t="shared" si="3"/>
        <v>1</v>
      </c>
      <c r="AB11" s="3378">
        <f t="shared" si="4"/>
        <v>1</v>
      </c>
      <c r="AC11" s="3378">
        <f t="shared" si="5"/>
        <v>1</v>
      </c>
    </row>
    <row r="12" spans="1:29" s="3380" customFormat="1" ht="15">
      <c r="A12" s="3402"/>
      <c r="B12" s="3403">
        <v>111</v>
      </c>
      <c r="C12" s="3404"/>
      <c r="D12" s="3405">
        <v>100</v>
      </c>
      <c r="E12" s="3408"/>
      <c r="F12" s="3467">
        <f>SUMIF(70:70,E12,71:71)-SUMIF(70:70,C12,71:71)+100</f>
        <v>100</v>
      </c>
      <c r="G12" s="3408"/>
      <c r="H12" s="3393">
        <f>SUMIF(70:70,G12,71:71)-SUMIF(70:70,C12,71:71)+100</f>
        <v>100</v>
      </c>
      <c r="I12" s="3408"/>
      <c r="J12" s="3393">
        <f>SUMIF(70:70,I12,71:71)-SUMIF(70:70,C12,71:71)+100</f>
        <v>100</v>
      </c>
      <c r="K12" s="3407"/>
      <c r="L12" s="3369"/>
      <c r="M12" s="3370"/>
      <c r="N12" s="3370"/>
      <c r="O12" s="3370"/>
      <c r="P12" s="3386"/>
      <c r="Q12" s="3387">
        <f t="shared" si="6"/>
        <v>111</v>
      </c>
      <c r="R12" s="3373" t="s">
        <v>3140</v>
      </c>
      <c r="S12" s="3374">
        <f t="shared" si="0"/>
        <v>100</v>
      </c>
      <c r="T12" s="3373" t="s">
        <v>3140</v>
      </c>
      <c r="U12" s="3374">
        <f t="shared" si="1"/>
        <v>100</v>
      </c>
      <c r="V12" s="3373" t="s">
        <v>3140</v>
      </c>
      <c r="W12" s="3374">
        <f t="shared" si="2"/>
        <v>100</v>
      </c>
      <c r="X12" s="3375"/>
      <c r="Y12" s="3388"/>
      <c r="Z12" s="3389">
        <f t="shared" si="7"/>
        <v>111</v>
      </c>
      <c r="AA12" s="3378">
        <f>D12/F12</f>
        <v>1</v>
      </c>
      <c r="AB12" s="3378">
        <f>D12/H12</f>
        <v>1</v>
      </c>
      <c r="AC12" s="3378">
        <f>D12/J12</f>
        <v>1</v>
      </c>
    </row>
    <row r="13" spans="1:29" ht="15">
      <c r="A13" s="3398"/>
      <c r="B13" s="3403">
        <v>111</v>
      </c>
      <c r="C13" s="3408"/>
      <c r="D13" s="3409">
        <v>100</v>
      </c>
      <c r="E13" s="3408"/>
      <c r="F13" s="3467">
        <f>SUMIF(72:72,E13,73:73)-SUMIF(72:72,C13,73:73)+100</f>
        <v>100</v>
      </c>
      <c r="G13" s="3408"/>
      <c r="H13" s="3409">
        <f>SUMIF(72:72,G13,73:73)-SUMIF(72:72,C13,73:73)+100</f>
        <v>100</v>
      </c>
      <c r="I13" s="3408"/>
      <c r="J13" s="3409">
        <f>SUMIF(72:72,I13,73:73)-SUMIF(72:72,C13,73:73)+100</f>
        <v>100</v>
      </c>
      <c r="K13" s="3407"/>
      <c r="L13" s="3410"/>
      <c r="M13" s="3325"/>
      <c r="N13" s="3325"/>
      <c r="O13" s="3325"/>
      <c r="P13" s="3386"/>
      <c r="Q13" s="3387">
        <f t="shared" si="6"/>
        <v>111</v>
      </c>
      <c r="R13" s="3373" t="s">
        <v>3140</v>
      </c>
      <c r="S13" s="3374">
        <f t="shared" si="0"/>
        <v>100</v>
      </c>
      <c r="T13" s="3373" t="s">
        <v>3140</v>
      </c>
      <c r="U13" s="3374">
        <f t="shared" si="1"/>
        <v>100</v>
      </c>
      <c r="V13" s="3373" t="s">
        <v>3140</v>
      </c>
      <c r="W13" s="3374">
        <f t="shared" si="2"/>
        <v>100</v>
      </c>
      <c r="X13" s="3375"/>
      <c r="Y13" s="3388"/>
      <c r="Z13" s="3389">
        <f t="shared" si="7"/>
        <v>111</v>
      </c>
      <c r="AA13" s="3378">
        <f t="shared" si="3"/>
        <v>1</v>
      </c>
      <c r="AB13" s="3378">
        <f t="shared" si="4"/>
        <v>1</v>
      </c>
      <c r="AC13" s="3378">
        <f t="shared" si="5"/>
        <v>1</v>
      </c>
    </row>
    <row r="14" spans="1:29" ht="15.75" thickBot="1">
      <c r="A14" s="3411"/>
      <c r="B14" s="3412">
        <v>111</v>
      </c>
      <c r="C14" s="3413"/>
      <c r="D14" s="3414">
        <v>100</v>
      </c>
      <c r="E14" s="3408"/>
      <c r="F14" s="3485">
        <f>SUMIF(74:74,E14,75:75)-SUMIF(74:74,C14,75:75)+100</f>
        <v>100</v>
      </c>
      <c r="G14" s="3408"/>
      <c r="H14" s="3414">
        <f>SUMIF(74:74,G14,75:75)-SUMIF(74:74,C14,75:75)+100</f>
        <v>100</v>
      </c>
      <c r="I14" s="3408"/>
      <c r="J14" s="3414">
        <f>SUMIF(74:74,I14,75:75)-SUMIF(74:74,C14,75:75)+100</f>
        <v>100</v>
      </c>
      <c r="K14" s="3407"/>
      <c r="L14" s="3410"/>
      <c r="M14" s="3325"/>
      <c r="N14" s="3325"/>
      <c r="O14" s="3325"/>
      <c r="P14" s="3386"/>
      <c r="Q14" s="3387">
        <f t="shared" si="6"/>
        <v>111</v>
      </c>
      <c r="R14" s="3373" t="s">
        <v>3140</v>
      </c>
      <c r="S14" s="3374">
        <f t="shared" si="0"/>
        <v>100</v>
      </c>
      <c r="T14" s="3373" t="s">
        <v>3140</v>
      </c>
      <c r="U14" s="3374">
        <f t="shared" si="1"/>
        <v>100</v>
      </c>
      <c r="V14" s="3373" t="s">
        <v>3140</v>
      </c>
      <c r="W14" s="3374">
        <f t="shared" si="2"/>
        <v>100</v>
      </c>
      <c r="X14" s="3375"/>
      <c r="Y14" s="3388"/>
      <c r="Z14" s="3389">
        <f t="shared" si="7"/>
        <v>111</v>
      </c>
      <c r="AA14" s="3378">
        <f t="shared" si="3"/>
        <v>1</v>
      </c>
      <c r="AB14" s="3378">
        <f t="shared" si="4"/>
        <v>1</v>
      </c>
      <c r="AC14" s="3378">
        <f t="shared" si="5"/>
        <v>1</v>
      </c>
    </row>
    <row r="15" spans="1:29" ht="71.25">
      <c r="A15" s="3416" t="s">
        <v>3204</v>
      </c>
      <c r="B15" s="3690" t="s">
        <v>3300</v>
      </c>
      <c r="C15" s="3691" t="str">
        <f>[1]估价对象房地状况!C4</f>
        <v>估价对象位于XX商圈，周边商业氛围成熟，人流量大，商业繁华度好</v>
      </c>
      <c r="D15" s="3419">
        <v>100</v>
      </c>
      <c r="E15" s="3421"/>
      <c r="F15" s="3692">
        <f>SUMIF(76:76,E16,77:77)-SUMIF(76:76,C16,77:77)+100</f>
        <v>100</v>
      </c>
      <c r="G15" s="3420"/>
      <c r="H15" s="3419">
        <f>SUMIF(76:76,G16,77:77)-SUMIF(76:76,C16,77:77)+100</f>
        <v>100</v>
      </c>
      <c r="I15" s="3421"/>
      <c r="J15" s="3419">
        <f>SUMIF(76:76,I16,77:77)-SUMIF(76:76,C16,77:77)+100</f>
        <v>100</v>
      </c>
      <c r="K15" s="3422">
        <v>2</v>
      </c>
      <c r="L15" s="3410"/>
      <c r="M15" s="3325"/>
      <c r="N15" s="3325"/>
      <c r="O15" s="3325"/>
      <c r="P15" s="3423" t="s">
        <v>3301</v>
      </c>
      <c r="Q15" s="3424" t="str">
        <f t="shared" si="6"/>
        <v>商业繁华度</v>
      </c>
      <c r="R15" s="3425" t="s">
        <v>3140</v>
      </c>
      <c r="S15" s="3426">
        <f t="shared" si="0"/>
        <v>100</v>
      </c>
      <c r="T15" s="3425" t="s">
        <v>3140</v>
      </c>
      <c r="U15" s="3426">
        <f t="shared" si="1"/>
        <v>100</v>
      </c>
      <c r="V15" s="3425" t="s">
        <v>3140</v>
      </c>
      <c r="W15" s="3426">
        <f t="shared" si="2"/>
        <v>100</v>
      </c>
      <c r="X15" s="3347"/>
      <c r="Y15" s="3427" t="s">
        <v>3301</v>
      </c>
      <c r="Z15" s="3428" t="str">
        <f t="shared" si="7"/>
        <v>商业繁华度</v>
      </c>
      <c r="AA15" s="3429">
        <f t="shared" si="3"/>
        <v>1</v>
      </c>
      <c r="AB15" s="3429">
        <f t="shared" si="4"/>
        <v>1</v>
      </c>
      <c r="AC15" s="3429">
        <f t="shared" si="5"/>
        <v>1</v>
      </c>
    </row>
    <row r="16" spans="1:29" ht="15">
      <c r="A16" s="3398"/>
      <c r="B16" s="3501"/>
      <c r="C16" s="3434" t="s">
        <v>3083</v>
      </c>
      <c r="D16" s="3433"/>
      <c r="E16" s="3434" t="s">
        <v>3083</v>
      </c>
      <c r="F16" s="3693"/>
      <c r="G16" s="3434" t="s">
        <v>3083</v>
      </c>
      <c r="H16" s="3435"/>
      <c r="I16" s="3434" t="s">
        <v>3083</v>
      </c>
      <c r="J16" s="3433"/>
      <c r="K16" s="3436"/>
      <c r="L16" s="3410"/>
      <c r="M16" s="3325"/>
      <c r="N16" s="3325"/>
      <c r="O16" s="3325"/>
      <c r="P16" s="3437"/>
      <c r="Q16" s="3424"/>
      <c r="R16" s="3425"/>
      <c r="S16" s="3426"/>
      <c r="T16" s="3425"/>
      <c r="U16" s="3426"/>
      <c r="V16" s="3425"/>
      <c r="W16" s="3426"/>
      <c r="X16" s="3347"/>
      <c r="Y16" s="3438"/>
      <c r="Z16" s="3428"/>
      <c r="AA16" s="3429">
        <v>1</v>
      </c>
      <c r="AB16" s="3429">
        <v>1</v>
      </c>
      <c r="AC16" s="3429">
        <v>1</v>
      </c>
    </row>
    <row r="17" spans="1:29" ht="85.5">
      <c r="A17" s="3398"/>
      <c r="B17" s="3694" t="s">
        <v>2101</v>
      </c>
      <c r="C17" s="3695" t="str">
        <f>[1]估价对象房地状况!C6</f>
        <v>估价对象周边道路状况、公共交通通达情况、停车便捷程度，综合评价交通便捷度较好</v>
      </c>
      <c r="D17" s="3435">
        <v>100</v>
      </c>
      <c r="E17" s="3442"/>
      <c r="F17" s="3696">
        <f>SUMIF(78:78,E18,79:79)-SUMIF(78:78,C18,79:79)+100</f>
        <v>100</v>
      </c>
      <c r="G17" s="3441"/>
      <c r="H17" s="3443">
        <f>SUMIF(78:78,G18,79:79)-SUMIF(78:78,C18,79:79)+100</f>
        <v>100</v>
      </c>
      <c r="I17" s="3442"/>
      <c r="J17" s="3443">
        <f>SUMIF(78:78,I18,79:79)-SUMIF(78:78,C18,79:79)+100</f>
        <v>100</v>
      </c>
      <c r="K17" s="3422">
        <v>3</v>
      </c>
      <c r="L17" s="3410"/>
      <c r="M17" s="3325"/>
      <c r="N17" s="3325"/>
      <c r="O17" s="3325"/>
      <c r="P17" s="3437"/>
      <c r="Q17" s="3424" t="str">
        <f>B17</f>
        <v>交通便捷度</v>
      </c>
      <c r="R17" s="3425" t="s">
        <v>3140</v>
      </c>
      <c r="S17" s="3426">
        <f>F17</f>
        <v>100</v>
      </c>
      <c r="T17" s="3425" t="s">
        <v>3140</v>
      </c>
      <c r="U17" s="3426">
        <f>H17</f>
        <v>100</v>
      </c>
      <c r="V17" s="3425" t="s">
        <v>3140</v>
      </c>
      <c r="W17" s="3426">
        <f>J17</f>
        <v>100</v>
      </c>
      <c r="X17" s="3347"/>
      <c r="Y17" s="3438"/>
      <c r="Z17" s="3428" t="str">
        <f>Q17</f>
        <v>交通便捷度</v>
      </c>
      <c r="AA17" s="3429">
        <f t="shared" si="3"/>
        <v>1</v>
      </c>
      <c r="AB17" s="3429">
        <f t="shared" si="4"/>
        <v>1</v>
      </c>
      <c r="AC17" s="3429">
        <f t="shared" si="5"/>
        <v>1</v>
      </c>
    </row>
    <row r="18" spans="1:29" ht="15">
      <c r="A18" s="3398"/>
      <c r="B18" s="3697"/>
      <c r="C18" s="3698" t="s">
        <v>3302</v>
      </c>
      <c r="D18" s="3435"/>
      <c r="E18" s="3698" t="s">
        <v>3302</v>
      </c>
      <c r="F18" s="3696"/>
      <c r="G18" s="3698" t="s">
        <v>3302</v>
      </c>
      <c r="H18" s="3433"/>
      <c r="I18" s="3698" t="s">
        <v>3302</v>
      </c>
      <c r="J18" s="3433"/>
      <c r="K18" s="3436"/>
      <c r="L18" s="3410"/>
      <c r="M18" s="3325"/>
      <c r="N18" s="3325"/>
      <c r="O18" s="3325"/>
      <c r="P18" s="3437"/>
      <c r="Q18" s="3424"/>
      <c r="R18" s="3425"/>
      <c r="S18" s="3426"/>
      <c r="T18" s="3425"/>
      <c r="U18" s="3426"/>
      <c r="V18" s="3425"/>
      <c r="W18" s="3426"/>
      <c r="X18" s="3347"/>
      <c r="Y18" s="3438"/>
      <c r="Z18" s="3428"/>
      <c r="AA18" s="3429">
        <v>1</v>
      </c>
      <c r="AB18" s="3429">
        <v>1</v>
      </c>
      <c r="AC18" s="3429">
        <v>1</v>
      </c>
    </row>
    <row r="19" spans="1:29" ht="42.75">
      <c r="A19" s="3398"/>
      <c r="B19" s="3694" t="s">
        <v>3215</v>
      </c>
      <c r="C19" s="3695" t="str">
        <f>[1]估价对象房地状况!C7</f>
        <v>估价对象所在区域公共配套设施齐备情况</v>
      </c>
      <c r="D19" s="3443">
        <v>100</v>
      </c>
      <c r="E19" s="3446"/>
      <c r="F19" s="3699">
        <f>SUMIF(80:80,E20,81:81)-SUMIF(80:80,C20,81:81)+100</f>
        <v>100</v>
      </c>
      <c r="G19" s="3445"/>
      <c r="H19" s="3435">
        <f>SUMIF(80:80,G20,81:81)-SUMIF(80:80,C20,81:81)+100</f>
        <v>100</v>
      </c>
      <c r="I19" s="3446"/>
      <c r="J19" s="3435">
        <f>SUMIF(80:80,I20,81:81)-SUMIF(80:80,C20,81:81)+100</f>
        <v>100</v>
      </c>
      <c r="K19" s="3422">
        <v>3</v>
      </c>
      <c r="L19" s="3410"/>
      <c r="M19" s="3325"/>
      <c r="N19" s="3325"/>
      <c r="O19" s="3325"/>
      <c r="P19" s="3437"/>
      <c r="Q19" s="3424" t="str">
        <f>B19</f>
        <v>公共配套设施</v>
      </c>
      <c r="R19" s="3425" t="s">
        <v>3140</v>
      </c>
      <c r="S19" s="3426">
        <f>F19</f>
        <v>100</v>
      </c>
      <c r="T19" s="3425" t="s">
        <v>3140</v>
      </c>
      <c r="U19" s="3426">
        <f>H19</f>
        <v>100</v>
      </c>
      <c r="V19" s="3425" t="s">
        <v>3140</v>
      </c>
      <c r="W19" s="3426">
        <f>J19</f>
        <v>100</v>
      </c>
      <c r="X19" s="3347"/>
      <c r="Y19" s="3438"/>
      <c r="Z19" s="3428" t="str">
        <f>Q19</f>
        <v>公共配套设施</v>
      </c>
      <c r="AA19" s="3429">
        <f t="shared" si="3"/>
        <v>1</v>
      </c>
      <c r="AB19" s="3429">
        <f t="shared" si="4"/>
        <v>1</v>
      </c>
      <c r="AC19" s="3429">
        <f t="shared" si="5"/>
        <v>1</v>
      </c>
    </row>
    <row r="20" spans="1:29" ht="15">
      <c r="A20" s="3398"/>
      <c r="B20" s="3697"/>
      <c r="C20" s="3698" t="s">
        <v>3302</v>
      </c>
      <c r="D20" s="3433"/>
      <c r="E20" s="3698" t="s">
        <v>3302</v>
      </c>
      <c r="F20" s="3693"/>
      <c r="G20" s="3698" t="s">
        <v>3302</v>
      </c>
      <c r="H20" s="3433"/>
      <c r="I20" s="3698" t="s">
        <v>3302</v>
      </c>
      <c r="J20" s="3433"/>
      <c r="K20" s="3436"/>
      <c r="L20" s="3410"/>
      <c r="M20" s="3325"/>
      <c r="N20" s="3325"/>
      <c r="O20" s="3325"/>
      <c r="P20" s="3437"/>
      <c r="Q20" s="3424"/>
      <c r="R20" s="3425"/>
      <c r="S20" s="3426"/>
      <c r="T20" s="3425"/>
      <c r="U20" s="3426"/>
      <c r="V20" s="3425"/>
      <c r="W20" s="3426"/>
      <c r="X20" s="3347"/>
      <c r="Y20" s="3438"/>
      <c r="Z20" s="3428"/>
      <c r="AA20" s="3429">
        <v>1</v>
      </c>
      <c r="AB20" s="3429">
        <v>1</v>
      </c>
      <c r="AC20" s="3429">
        <v>1</v>
      </c>
    </row>
    <row r="21" spans="1:29" ht="28.5">
      <c r="A21" s="3398"/>
      <c r="B21" s="3700" t="s">
        <v>3139</v>
      </c>
      <c r="C21" s="3695" t="str">
        <f>[1]估价对象房地状况!C8</f>
        <v>估价对象所在区域基础设施水平</v>
      </c>
      <c r="D21" s="3443">
        <v>100</v>
      </c>
      <c r="E21" s="3446"/>
      <c r="F21" s="3699">
        <f>SUMIF(82:82,E22,83:83)-SUMIF(82:82,C22,83:83)+100</f>
        <v>100</v>
      </c>
      <c r="G21" s="3445"/>
      <c r="H21" s="3435">
        <f>SUMIF(82:82,G22,83:83)-SUMIF(82:82,C22,83:83)+100</f>
        <v>100</v>
      </c>
      <c r="I21" s="3446"/>
      <c r="J21" s="3435">
        <f>SUMIF(82:82,I22,83:83)-SUMIF(82:82,C22,83:83)+100</f>
        <v>100</v>
      </c>
      <c r="K21" s="3422">
        <v>2</v>
      </c>
      <c r="L21" s="3410"/>
      <c r="M21" s="3325"/>
      <c r="N21" s="3325"/>
      <c r="O21" s="3325"/>
      <c r="P21" s="3437"/>
      <c r="Q21" s="3424" t="str">
        <f>B21</f>
        <v>基础设施水平</v>
      </c>
      <c r="R21" s="3425" t="s">
        <v>3140</v>
      </c>
      <c r="S21" s="3426">
        <f>F21</f>
        <v>100</v>
      </c>
      <c r="T21" s="3425" t="s">
        <v>3140</v>
      </c>
      <c r="U21" s="3426">
        <f>H21</f>
        <v>100</v>
      </c>
      <c r="V21" s="3425" t="s">
        <v>3140</v>
      </c>
      <c r="W21" s="3426">
        <f>J21</f>
        <v>100</v>
      </c>
      <c r="X21" s="3347"/>
      <c r="Y21" s="3438"/>
      <c r="Z21" s="3428" t="str">
        <f>Q21</f>
        <v>基础设施水平</v>
      </c>
      <c r="AA21" s="3429">
        <f t="shared" ref="AA21" si="8">D21/F21</f>
        <v>1</v>
      </c>
      <c r="AB21" s="3429">
        <f t="shared" ref="AB21" si="9">D21/H21</f>
        <v>1</v>
      </c>
      <c r="AC21" s="3429">
        <f t="shared" ref="AC21" si="10">D21/J21</f>
        <v>1</v>
      </c>
    </row>
    <row r="22" spans="1:29" ht="15">
      <c r="A22" s="3398"/>
      <c r="B22" s="3700"/>
      <c r="C22" s="3701" t="s">
        <v>3141</v>
      </c>
      <c r="D22" s="3433"/>
      <c r="E22" s="3701" t="s">
        <v>3141</v>
      </c>
      <c r="F22" s="3693"/>
      <c r="G22" s="3701" t="s">
        <v>3141</v>
      </c>
      <c r="H22" s="3433"/>
      <c r="I22" s="3701" t="s">
        <v>3141</v>
      </c>
      <c r="J22" s="3433"/>
      <c r="K22" s="3449"/>
      <c r="L22" s="3410"/>
      <c r="M22" s="3325"/>
      <c r="N22" s="3325"/>
      <c r="O22" s="3325"/>
      <c r="P22" s="3437"/>
      <c r="Q22" s="3424"/>
      <c r="R22" s="3425"/>
      <c r="S22" s="3426"/>
      <c r="T22" s="3425"/>
      <c r="U22" s="3426"/>
      <c r="V22" s="3425"/>
      <c r="W22" s="3426"/>
      <c r="X22" s="3347"/>
      <c r="Y22" s="3438"/>
      <c r="Z22" s="3428"/>
      <c r="AA22" s="3429">
        <v>1</v>
      </c>
      <c r="AB22" s="3429">
        <v>1</v>
      </c>
      <c r="AC22" s="3429">
        <v>1</v>
      </c>
    </row>
    <row r="23" spans="1:29" ht="57">
      <c r="A23" s="3398"/>
      <c r="B23" s="3694" t="s">
        <v>2106</v>
      </c>
      <c r="C23" s="3702" t="str">
        <f>[1]估价对象房地状况!C9</f>
        <v>区域自然环境：；人文环境；综合评价环境状况一般</v>
      </c>
      <c r="D23" s="3435">
        <v>100</v>
      </c>
      <c r="E23" s="3442"/>
      <c r="F23" s="3696">
        <f>SUMIF(84:84,E24,85:85)-SUMIF(84:84,C24,85:85)+100</f>
        <v>100</v>
      </c>
      <c r="G23" s="3441"/>
      <c r="H23" s="3435">
        <f>SUMIF(84:84,G24,85:85)-SUMIF(84:84,C24,85:85)+100</f>
        <v>100</v>
      </c>
      <c r="I23" s="3442"/>
      <c r="J23" s="3435">
        <f>SUMIF(84:84,I24,85:85)-SUMIF(84:84,C24,85:85)+100</f>
        <v>100</v>
      </c>
      <c r="K23" s="3422">
        <v>3</v>
      </c>
      <c r="L23" s="3410"/>
      <c r="M23" s="3325"/>
      <c r="N23" s="3325"/>
      <c r="O23" s="3325"/>
      <c r="P23" s="3437"/>
      <c r="Q23" s="3424" t="str">
        <f>B23</f>
        <v>自然及人文环境</v>
      </c>
      <c r="R23" s="3425" t="s">
        <v>3140</v>
      </c>
      <c r="S23" s="3426">
        <f>F23</f>
        <v>100</v>
      </c>
      <c r="T23" s="3425" t="s">
        <v>3140</v>
      </c>
      <c r="U23" s="3426">
        <f>H23</f>
        <v>100</v>
      </c>
      <c r="V23" s="3425" t="s">
        <v>3303</v>
      </c>
      <c r="W23" s="3426">
        <f>J23</f>
        <v>100</v>
      </c>
      <c r="X23" s="3347"/>
      <c r="Y23" s="3438"/>
      <c r="Z23" s="3428" t="str">
        <f>Q23</f>
        <v>自然及人文环境</v>
      </c>
      <c r="AA23" s="3429">
        <f t="shared" si="3"/>
        <v>1</v>
      </c>
      <c r="AB23" s="3429">
        <f t="shared" si="4"/>
        <v>1</v>
      </c>
      <c r="AC23" s="3429">
        <f t="shared" si="5"/>
        <v>1</v>
      </c>
    </row>
    <row r="24" spans="1:29" ht="15">
      <c r="A24" s="3398"/>
      <c r="B24" s="3697"/>
      <c r="C24" s="3698" t="s">
        <v>3302</v>
      </c>
      <c r="D24" s="3433"/>
      <c r="E24" s="3698" t="s">
        <v>3302</v>
      </c>
      <c r="F24" s="3693"/>
      <c r="G24" s="3698" t="s">
        <v>3302</v>
      </c>
      <c r="H24" s="3433"/>
      <c r="I24" s="3698" t="s">
        <v>3302</v>
      </c>
      <c r="J24" s="3433"/>
      <c r="K24" s="3436"/>
      <c r="L24" s="3410"/>
      <c r="M24" s="3325"/>
      <c r="N24" s="3325"/>
      <c r="O24" s="3325"/>
      <c r="P24" s="3437"/>
      <c r="Q24" s="3424"/>
      <c r="R24" s="3425"/>
      <c r="S24" s="3426"/>
      <c r="T24" s="3425"/>
      <c r="U24" s="3426"/>
      <c r="V24" s="3425"/>
      <c r="W24" s="3426"/>
      <c r="X24" s="3347"/>
      <c r="Y24" s="3438"/>
      <c r="Z24" s="3428"/>
      <c r="AA24" s="3429">
        <v>1</v>
      </c>
      <c r="AB24" s="3429">
        <v>1</v>
      </c>
      <c r="AC24" s="3429">
        <v>1</v>
      </c>
    </row>
    <row r="25" spans="1:29" ht="15">
      <c r="A25" s="3398"/>
      <c r="B25" s="3391" t="s">
        <v>3304</v>
      </c>
      <c r="C25" s="3452" t="s">
        <v>3305</v>
      </c>
      <c r="D25" s="3409">
        <v>100</v>
      </c>
      <c r="E25" s="3452" t="s">
        <v>3305</v>
      </c>
      <c r="F25" s="3461">
        <f>SUMIF(86:86,E25,87:87)-SUMIF(86:86,C25,87:87)+100</f>
        <v>100</v>
      </c>
      <c r="G25" s="3452" t="s">
        <v>3305</v>
      </c>
      <c r="H25" s="3409">
        <f>SUMIF(86:86,G25,87:87)-SUMIF(86:86,C25,87:87)+100</f>
        <v>100</v>
      </c>
      <c r="I25" s="3452" t="s">
        <v>3305</v>
      </c>
      <c r="J25" s="3409">
        <f>SUMIF(86:86,I25,87:87)-SUMIF(86:86,C25,87:87)+100</f>
        <v>100</v>
      </c>
      <c r="K25" s="3394">
        <v>3</v>
      </c>
      <c r="L25" s="3410"/>
      <c r="M25" s="3325"/>
      <c r="N25" s="3325"/>
      <c r="O25" s="3325"/>
      <c r="P25" s="3437"/>
      <c r="Q25" s="3424" t="str">
        <f t="shared" ref="Q25:Q46" si="11">B25</f>
        <v>临街状况</v>
      </c>
      <c r="R25" s="3425" t="s">
        <v>3140</v>
      </c>
      <c r="S25" s="3426">
        <f>F25</f>
        <v>100</v>
      </c>
      <c r="T25" s="3425" t="s">
        <v>3140</v>
      </c>
      <c r="U25" s="3426">
        <f>H25</f>
        <v>100</v>
      </c>
      <c r="V25" s="3425" t="s">
        <v>3140</v>
      </c>
      <c r="W25" s="3426">
        <f>J25</f>
        <v>100</v>
      </c>
      <c r="X25" s="3347"/>
      <c r="Y25" s="3438"/>
      <c r="Z25" s="3428" t="str">
        <f>Q25</f>
        <v>临街状况</v>
      </c>
      <c r="AA25" s="3429">
        <f t="shared" si="3"/>
        <v>1</v>
      </c>
      <c r="AB25" s="3429">
        <f t="shared" si="4"/>
        <v>1</v>
      </c>
      <c r="AC25" s="3429">
        <f t="shared" si="5"/>
        <v>1</v>
      </c>
    </row>
    <row r="26" spans="1:29" ht="15">
      <c r="A26" s="3398"/>
      <c r="B26" s="3703" t="s">
        <v>3306</v>
      </c>
      <c r="C26" s="3483" t="s">
        <v>3307</v>
      </c>
      <c r="D26" s="3409">
        <v>100</v>
      </c>
      <c r="E26" s="3483" t="s">
        <v>3307</v>
      </c>
      <c r="F26" s="3461">
        <f>SUMIF(88:88,E26,89:89)-SUMIF(88:88,C26,89:89)+100</f>
        <v>100</v>
      </c>
      <c r="G26" s="3483" t="s">
        <v>3307</v>
      </c>
      <c r="H26" s="3409">
        <f>SUMIF(88:88,G26,89:89)-SUMIF(88:88,C26,89:89)+100</f>
        <v>100</v>
      </c>
      <c r="I26" s="3483" t="s">
        <v>3302</v>
      </c>
      <c r="J26" s="3409">
        <f>SUMIF(88:88,I26,89:89)-SUMIF(88:88,C26,89:89)+100</f>
        <v>102</v>
      </c>
      <c r="K26" s="3407"/>
      <c r="L26" s="3410"/>
      <c r="M26" s="3325"/>
      <c r="N26" s="3325"/>
      <c r="O26" s="3325"/>
      <c r="P26" s="3437"/>
      <c r="Q26" s="3424" t="str">
        <f t="shared" si="11"/>
        <v>平面位置/可视性</v>
      </c>
      <c r="R26" s="3425" t="s">
        <v>3140</v>
      </c>
      <c r="S26" s="3426">
        <f>F26</f>
        <v>100</v>
      </c>
      <c r="T26" s="3425" t="s">
        <v>3140</v>
      </c>
      <c r="U26" s="3426">
        <f>H26</f>
        <v>100</v>
      </c>
      <c r="V26" s="3425" t="s">
        <v>3140</v>
      </c>
      <c r="W26" s="3426">
        <f>J26</f>
        <v>102</v>
      </c>
      <c r="X26" s="3347"/>
      <c r="Y26" s="3438"/>
      <c r="Z26" s="3428" t="str">
        <f>Q26</f>
        <v>平面位置/可视性</v>
      </c>
      <c r="AA26" s="3429">
        <f t="shared" si="3"/>
        <v>1</v>
      </c>
      <c r="AB26" s="3429">
        <f t="shared" si="4"/>
        <v>1</v>
      </c>
      <c r="AC26" s="3429">
        <f t="shared" si="5"/>
        <v>0.98039215686274506</v>
      </c>
    </row>
    <row r="27" spans="1:29" s="3380" customFormat="1" ht="15">
      <c r="A27" s="3402"/>
      <c r="B27" s="3694" t="s">
        <v>3308</v>
      </c>
      <c r="C27" s="3455" t="s">
        <v>3309</v>
      </c>
      <c r="D27" s="3454">
        <v>100</v>
      </c>
      <c r="E27" s="3455" t="s">
        <v>3309</v>
      </c>
      <c r="F27" s="3704">
        <f>SUMIF(90:90,E27,91:91)-SUMIF(90:90,C27,91:91)+100</f>
        <v>100</v>
      </c>
      <c r="G27" s="3455" t="s">
        <v>3309</v>
      </c>
      <c r="H27" s="3454">
        <f>SUMIF(90:90,G27,91:91)-SUMIF(90:90,C27,91:91)+100</f>
        <v>100</v>
      </c>
      <c r="I27" s="3455" t="s">
        <v>3309</v>
      </c>
      <c r="J27" s="3454">
        <f>SUMIF(90:90,I27,91:91)-SUMIF(90:90,C27,91:91)+100</f>
        <v>100</v>
      </c>
      <c r="K27" s="3394">
        <v>3</v>
      </c>
      <c r="L27" s="3369"/>
      <c r="M27" s="3370"/>
      <c r="N27" s="3370"/>
      <c r="O27" s="3370"/>
      <c r="P27" s="3437"/>
      <c r="Q27" s="3387" t="str">
        <f t="shared" si="11"/>
        <v>人流量</v>
      </c>
      <c r="R27" s="3373" t="s">
        <v>3140</v>
      </c>
      <c r="S27" s="3374">
        <f>F27</f>
        <v>100</v>
      </c>
      <c r="T27" s="3373" t="s">
        <v>3140</v>
      </c>
      <c r="U27" s="3374">
        <f>H27</f>
        <v>100</v>
      </c>
      <c r="V27" s="3373" t="s">
        <v>3140</v>
      </c>
      <c r="W27" s="3374">
        <f>J27</f>
        <v>100</v>
      </c>
      <c r="X27" s="3375"/>
      <c r="Y27" s="3438"/>
      <c r="Z27" s="3389" t="str">
        <f>Q27</f>
        <v>人流量</v>
      </c>
      <c r="AA27" s="3429">
        <f>D27/F27</f>
        <v>1</v>
      </c>
      <c r="AB27" s="3429">
        <f>D27/H27</f>
        <v>1</v>
      </c>
      <c r="AC27" s="3429">
        <f>D27/J27</f>
        <v>1</v>
      </c>
    </row>
    <row r="28" spans="1:29" ht="15">
      <c r="A28" s="3398"/>
      <c r="B28" s="3391" t="s">
        <v>3149</v>
      </c>
      <c r="C28" s="3452" t="s">
        <v>3310</v>
      </c>
      <c r="D28" s="3409">
        <v>100</v>
      </c>
      <c r="E28" s="3452" t="s">
        <v>3310</v>
      </c>
      <c r="F28" s="3461">
        <f>SUMIF(92:92,E28,93:93)-SUMIF(92:92,C28,93:93)+100</f>
        <v>100</v>
      </c>
      <c r="G28" s="3452" t="s">
        <v>3310</v>
      </c>
      <c r="H28" s="3409">
        <f>SUMIF(92:92,G28,93:93)-SUMIF(92:92,C28,93:93)+100</f>
        <v>100</v>
      </c>
      <c r="I28" s="3452" t="s">
        <v>3310</v>
      </c>
      <c r="J28" s="3409">
        <f>SUMIF(92:92,I28,93:93)-SUMIF(92:92,C28,93:93)+100</f>
        <v>100</v>
      </c>
      <c r="K28" s="3407"/>
      <c r="L28" s="3410"/>
      <c r="M28" s="3325"/>
      <c r="N28" s="3325"/>
      <c r="O28" s="3325"/>
      <c r="P28" s="3437"/>
      <c r="Q28" s="3424" t="str">
        <f t="shared" si="11"/>
        <v>楼层</v>
      </c>
      <c r="R28" s="3425" t="s">
        <v>3140</v>
      </c>
      <c r="S28" s="3426">
        <f t="shared" ref="S28:S46" si="12">F28</f>
        <v>100</v>
      </c>
      <c r="T28" s="3425" t="s">
        <v>3140</v>
      </c>
      <c r="U28" s="3426">
        <f t="shared" ref="U28:U46" si="13">H28</f>
        <v>100</v>
      </c>
      <c r="V28" s="3425" t="s">
        <v>3140</v>
      </c>
      <c r="W28" s="3426">
        <f t="shared" ref="W28:W46" si="14">J28</f>
        <v>100</v>
      </c>
      <c r="X28" s="3347"/>
      <c r="Y28" s="3438"/>
      <c r="Z28" s="3428" t="str">
        <f t="shared" ref="Z28:Z46" si="15">Q28</f>
        <v>楼层</v>
      </c>
      <c r="AA28" s="3429">
        <f t="shared" si="3"/>
        <v>1</v>
      </c>
      <c r="AB28" s="3429">
        <f t="shared" si="4"/>
        <v>1</v>
      </c>
      <c r="AC28" s="3429">
        <f t="shared" si="5"/>
        <v>1</v>
      </c>
    </row>
    <row r="29" spans="1:29" ht="15">
      <c r="A29" s="3398"/>
      <c r="B29" s="3703">
        <v>111</v>
      </c>
      <c r="C29" s="3408"/>
      <c r="D29" s="3409">
        <v>100</v>
      </c>
      <c r="E29" s="3408"/>
      <c r="F29" s="3461">
        <f>SUMIF(94:94,E29,95:95)-SUMIF(94:94,C29,95:95)+100</f>
        <v>100</v>
      </c>
      <c r="G29" s="3408"/>
      <c r="H29" s="3409">
        <f>SUMIF(94:94,G29,95:95)-SUMIF(94:94,C29,95:95)+100</f>
        <v>100</v>
      </c>
      <c r="I29" s="3408"/>
      <c r="J29" s="3409">
        <f>SUMIF(94:94,I29,95:95)-SUMIF(94:94,C29,95:95)+100</f>
        <v>100</v>
      </c>
      <c r="K29" s="3407"/>
      <c r="L29" s="3410"/>
      <c r="M29" s="3325"/>
      <c r="N29" s="3325"/>
      <c r="O29" s="3325"/>
      <c r="P29" s="3437"/>
      <c r="Q29" s="3424">
        <f t="shared" si="11"/>
        <v>111</v>
      </c>
      <c r="R29" s="3425" t="s">
        <v>3140</v>
      </c>
      <c r="S29" s="3426">
        <f t="shared" si="12"/>
        <v>100</v>
      </c>
      <c r="T29" s="3425" t="s">
        <v>3140</v>
      </c>
      <c r="U29" s="3426">
        <f t="shared" si="13"/>
        <v>100</v>
      </c>
      <c r="V29" s="3425" t="s">
        <v>3140</v>
      </c>
      <c r="W29" s="3426">
        <f t="shared" si="14"/>
        <v>100</v>
      </c>
      <c r="X29" s="3347"/>
      <c r="Y29" s="3438"/>
      <c r="Z29" s="3428">
        <f t="shared" si="15"/>
        <v>111</v>
      </c>
      <c r="AA29" s="3429">
        <f t="shared" si="3"/>
        <v>1</v>
      </c>
      <c r="AB29" s="3429">
        <f t="shared" si="4"/>
        <v>1</v>
      </c>
      <c r="AC29" s="3429">
        <f t="shared" si="5"/>
        <v>1</v>
      </c>
    </row>
    <row r="30" spans="1:29" ht="15">
      <c r="A30" s="3398"/>
      <c r="B30" s="3703">
        <v>111</v>
      </c>
      <c r="C30" s="3408"/>
      <c r="D30" s="3409">
        <v>100</v>
      </c>
      <c r="E30" s="3408"/>
      <c r="F30" s="3461">
        <f>SUMIF(96:96,E30,97:97)-SUMIF(96:96,C30,97:97)+100</f>
        <v>100</v>
      </c>
      <c r="G30" s="3408"/>
      <c r="H30" s="3409">
        <f>SUMIF(96:96,G30,97:97)-SUMIF(96:96,C30,97:97)+100</f>
        <v>100</v>
      </c>
      <c r="I30" s="3408"/>
      <c r="J30" s="3409">
        <f>SUMIF(96:96,I30,97:97)-SUMIF(96:96,C30,97:97)+100</f>
        <v>100</v>
      </c>
      <c r="K30" s="3407"/>
      <c r="L30" s="3410"/>
      <c r="M30" s="3325"/>
      <c r="N30" s="3325"/>
      <c r="O30" s="3325"/>
      <c r="P30" s="3437"/>
      <c r="Q30" s="3424">
        <f t="shared" si="11"/>
        <v>111</v>
      </c>
      <c r="R30" s="3425" t="s">
        <v>3140</v>
      </c>
      <c r="S30" s="3426">
        <f t="shared" si="12"/>
        <v>100</v>
      </c>
      <c r="T30" s="3425" t="s">
        <v>3140</v>
      </c>
      <c r="U30" s="3426">
        <f t="shared" si="13"/>
        <v>100</v>
      </c>
      <c r="V30" s="3425" t="s">
        <v>3140</v>
      </c>
      <c r="W30" s="3426">
        <f t="shared" si="14"/>
        <v>100</v>
      </c>
      <c r="X30" s="3347"/>
      <c r="Y30" s="3438"/>
      <c r="Z30" s="3428">
        <f t="shared" si="15"/>
        <v>111</v>
      </c>
      <c r="AA30" s="3429">
        <f t="shared" si="3"/>
        <v>1</v>
      </c>
      <c r="AB30" s="3429">
        <f t="shared" si="4"/>
        <v>1</v>
      </c>
      <c r="AC30" s="3429">
        <f t="shared" si="5"/>
        <v>1</v>
      </c>
    </row>
    <row r="31" spans="1:29" ht="15.75" thickBot="1">
      <c r="A31" s="3411"/>
      <c r="B31" s="3703">
        <v>111</v>
      </c>
      <c r="C31" s="3413"/>
      <c r="D31" s="3414">
        <v>100</v>
      </c>
      <c r="E31" s="3408"/>
      <c r="F31" s="3485">
        <f>SUMIF(98:98,E31,99:99)-SUMIF(98:98,C31,99:99)+100</f>
        <v>100</v>
      </c>
      <c r="G31" s="3408"/>
      <c r="H31" s="3414">
        <f>SUMIF(98:98,G31,99:99)-SUMIF(98:98,C31,99:99)+100</f>
        <v>100</v>
      </c>
      <c r="I31" s="3408"/>
      <c r="J31" s="3414">
        <f>SUMIF(98:98,I31,99:99)-SUMIF(98:98,C31,99:99)+100</f>
        <v>100</v>
      </c>
      <c r="K31" s="3407"/>
      <c r="L31" s="3410"/>
      <c r="M31" s="3325"/>
      <c r="N31" s="3325"/>
      <c r="O31" s="3325"/>
      <c r="P31" s="3437"/>
      <c r="Q31" s="3424">
        <f t="shared" si="11"/>
        <v>111</v>
      </c>
      <c r="R31" s="3425" t="s">
        <v>3140</v>
      </c>
      <c r="S31" s="3426">
        <f t="shared" si="12"/>
        <v>100</v>
      </c>
      <c r="T31" s="3425" t="s">
        <v>3140</v>
      </c>
      <c r="U31" s="3426">
        <f t="shared" si="13"/>
        <v>100</v>
      </c>
      <c r="V31" s="3425" t="s">
        <v>3140</v>
      </c>
      <c r="W31" s="3426">
        <f t="shared" si="14"/>
        <v>100</v>
      </c>
      <c r="X31" s="3347"/>
      <c r="Y31" s="3438"/>
      <c r="Z31" s="3428">
        <f t="shared" si="15"/>
        <v>111</v>
      </c>
      <c r="AA31" s="3429">
        <f t="shared" si="3"/>
        <v>1</v>
      </c>
      <c r="AB31" s="3429">
        <f t="shared" si="4"/>
        <v>1</v>
      </c>
      <c r="AC31" s="3429">
        <f t="shared" si="5"/>
        <v>1</v>
      </c>
    </row>
    <row r="32" spans="1:29" ht="15">
      <c r="A32" s="3416" t="s">
        <v>3154</v>
      </c>
      <c r="B32" s="3383" t="s">
        <v>3311</v>
      </c>
      <c r="C32" s="3705" t="s">
        <v>3312</v>
      </c>
      <c r="D32" s="3460">
        <v>100</v>
      </c>
      <c r="E32" s="3705" t="s">
        <v>3313</v>
      </c>
      <c r="F32" s="3461">
        <f>SUMIF(100:100,E32,101:101)-SUMIF(100:100,C32,101:101)+100</f>
        <v>102</v>
      </c>
      <c r="G32" s="3705" t="s">
        <v>3312</v>
      </c>
      <c r="H32" s="3409">
        <f>SUMIF(100:100,G32,101:101)-SUMIF(100:100,C32,101:101)+100</f>
        <v>100</v>
      </c>
      <c r="I32" s="3705" t="s">
        <v>3312</v>
      </c>
      <c r="J32" s="3460">
        <f>SUMIF(100:100,I32,101:101)-SUMIF(100:100,C32,101:101)+100</f>
        <v>100</v>
      </c>
      <c r="K32" s="3394">
        <v>2</v>
      </c>
      <c r="L32" s="3410"/>
      <c r="M32" s="3325"/>
      <c r="N32" s="3325"/>
      <c r="O32" s="3325"/>
      <c r="P32" s="3462" t="s">
        <v>3157</v>
      </c>
      <c r="Q32" s="3424" t="str">
        <f t="shared" si="11"/>
        <v>商业类型</v>
      </c>
      <c r="R32" s="3425" t="s">
        <v>3140</v>
      </c>
      <c r="S32" s="3426">
        <f t="shared" si="12"/>
        <v>102</v>
      </c>
      <c r="T32" s="3425" t="s">
        <v>3140</v>
      </c>
      <c r="U32" s="3426">
        <f t="shared" si="13"/>
        <v>100</v>
      </c>
      <c r="V32" s="3425" t="s">
        <v>3140</v>
      </c>
      <c r="W32" s="3426">
        <f t="shared" si="14"/>
        <v>100</v>
      </c>
      <c r="X32" s="3347"/>
      <c r="Y32" s="3463" t="s">
        <v>3159</v>
      </c>
      <c r="Z32" s="3428" t="str">
        <f t="shared" si="15"/>
        <v>商业类型</v>
      </c>
      <c r="AA32" s="3429">
        <f t="shared" si="3"/>
        <v>0.98039215686274506</v>
      </c>
      <c r="AB32" s="3429">
        <f t="shared" si="4"/>
        <v>1</v>
      </c>
      <c r="AC32" s="3429">
        <f t="shared" si="5"/>
        <v>1</v>
      </c>
    </row>
    <row r="33" spans="1:29" s="3475" customFormat="1" ht="15">
      <c r="A33" s="3464"/>
      <c r="B33" s="3465" t="s">
        <v>2569</v>
      </c>
      <c r="C33" s="3466">
        <f>[1]面积表及商业修正表!Q30</f>
        <v>308.73</v>
      </c>
      <c r="D33" s="3393">
        <v>100</v>
      </c>
      <c r="E33" s="3400">
        <v>118</v>
      </c>
      <c r="F33" s="3467">
        <f>LOOKUP(E33,103:103,104:104)-LOOKUP(C33,103:103,104:104)+100</f>
        <v>102</v>
      </c>
      <c r="G33" s="3399">
        <v>214</v>
      </c>
      <c r="H33" s="3393">
        <f>LOOKUP(G33,103:103,104:104)-LOOKUP(C33,103:103,104:104)+100</f>
        <v>100</v>
      </c>
      <c r="I33" s="3399">
        <v>500</v>
      </c>
      <c r="J33" s="3393">
        <f>LOOKUP(I33,103:103,104:104)-LOOKUP(C33,103:103,104:104)+100</f>
        <v>98</v>
      </c>
      <c r="K33" s="3407"/>
      <c r="L33" s="3401"/>
      <c r="M33" s="3468"/>
      <c r="N33" s="3468"/>
      <c r="O33" s="3468"/>
      <c r="P33" s="3469"/>
      <c r="Q33" s="3470" t="str">
        <f t="shared" si="11"/>
        <v>项目建筑规模</v>
      </c>
      <c r="R33" s="3471" t="s">
        <v>3140</v>
      </c>
      <c r="S33" s="3472">
        <f t="shared" si="12"/>
        <v>102</v>
      </c>
      <c r="T33" s="3471" t="s">
        <v>3140</v>
      </c>
      <c r="U33" s="3472">
        <f t="shared" si="13"/>
        <v>100</v>
      </c>
      <c r="V33" s="3471" t="s">
        <v>3140</v>
      </c>
      <c r="W33" s="3472">
        <f t="shared" si="14"/>
        <v>98</v>
      </c>
      <c r="X33" s="3473"/>
      <c r="Y33" s="3463"/>
      <c r="Z33" s="3474" t="str">
        <f t="shared" si="15"/>
        <v>项目建筑规模</v>
      </c>
      <c r="AA33" s="3429">
        <f t="shared" si="3"/>
        <v>0.98039215686274506</v>
      </c>
      <c r="AB33" s="3429">
        <f t="shared" si="4"/>
        <v>1</v>
      </c>
      <c r="AC33" s="3429">
        <f t="shared" si="5"/>
        <v>1.0204081632653061</v>
      </c>
    </row>
    <row r="34" spans="1:29" ht="15">
      <c r="A34" s="3476"/>
      <c r="B34" s="3391" t="s">
        <v>2570</v>
      </c>
      <c r="C34" s="3706" t="s">
        <v>3160</v>
      </c>
      <c r="D34" s="3409">
        <v>100</v>
      </c>
      <c r="E34" s="3706" t="s">
        <v>3160</v>
      </c>
      <c r="F34" s="3461">
        <f>SUMIF(105:105,E34,106:106)-SUMIF(105:105,C34,106:106)+100</f>
        <v>100</v>
      </c>
      <c r="G34" s="3706" t="s">
        <v>3160</v>
      </c>
      <c r="H34" s="3409">
        <f>SUMIF(105:105,G34,106:106)-SUMIF(105:105,C34,106:106)+100</f>
        <v>100</v>
      </c>
      <c r="I34" s="3706" t="s">
        <v>3160</v>
      </c>
      <c r="J34" s="3409">
        <f>SUMIF(105:105,I34,106:106)-SUMIF(105:105,C34,106:106)+100</f>
        <v>100</v>
      </c>
      <c r="K34" s="3394">
        <v>2</v>
      </c>
      <c r="L34" s="3410"/>
      <c r="M34" s="3325"/>
      <c r="N34" s="3325"/>
      <c r="O34" s="3325"/>
      <c r="P34" s="3469"/>
      <c r="Q34" s="3424" t="str">
        <f t="shared" si="11"/>
        <v>建筑结构</v>
      </c>
      <c r="R34" s="3425" t="s">
        <v>3140</v>
      </c>
      <c r="S34" s="3426">
        <f t="shared" si="12"/>
        <v>100</v>
      </c>
      <c r="T34" s="3425" t="s">
        <v>3140</v>
      </c>
      <c r="U34" s="3426">
        <f t="shared" si="13"/>
        <v>100</v>
      </c>
      <c r="V34" s="3425" t="s">
        <v>3140</v>
      </c>
      <c r="W34" s="3426">
        <f t="shared" si="14"/>
        <v>100</v>
      </c>
      <c r="X34" s="3347"/>
      <c r="Y34" s="3463"/>
      <c r="Z34" s="3428" t="str">
        <f t="shared" si="15"/>
        <v>建筑结构</v>
      </c>
      <c r="AA34" s="3429">
        <f t="shared" si="3"/>
        <v>1</v>
      </c>
      <c r="AB34" s="3429">
        <f t="shared" si="4"/>
        <v>1</v>
      </c>
      <c r="AC34" s="3429">
        <f t="shared" si="5"/>
        <v>1</v>
      </c>
    </row>
    <row r="35" spans="1:29" ht="15">
      <c r="A35" s="3476"/>
      <c r="B35" s="3391" t="s">
        <v>3161</v>
      </c>
      <c r="C35" s="3707" t="s">
        <v>3314</v>
      </c>
      <c r="D35" s="3409">
        <v>100</v>
      </c>
      <c r="E35" s="3707" t="s">
        <v>3314</v>
      </c>
      <c r="F35" s="3461">
        <f>SUMIF(107:107,E35,108:108)-SUMIF(107:107,C35,108:108)+100</f>
        <v>100</v>
      </c>
      <c r="G35" s="3707" t="s">
        <v>3314</v>
      </c>
      <c r="H35" s="3409">
        <f>SUMIF(107:107,G35,108:108)-SUMIF(107:107,C35,108:108)+100</f>
        <v>100</v>
      </c>
      <c r="I35" s="3707" t="s">
        <v>3314</v>
      </c>
      <c r="J35" s="3409">
        <f>SUMIF(107:107,I35,108:108)-SUMIF(107:107,C35,108:108)+100</f>
        <v>100</v>
      </c>
      <c r="K35" s="3394">
        <v>3</v>
      </c>
      <c r="L35" s="3410"/>
      <c r="M35" s="3325"/>
      <c r="N35" s="3325"/>
      <c r="O35" s="3325"/>
      <c r="P35" s="3469"/>
      <c r="Q35" s="3424" t="str">
        <f t="shared" si="11"/>
        <v>公共部分装修</v>
      </c>
      <c r="R35" s="3425" t="s">
        <v>3140</v>
      </c>
      <c r="S35" s="3426">
        <f t="shared" si="12"/>
        <v>100</v>
      </c>
      <c r="T35" s="3425" t="s">
        <v>3140</v>
      </c>
      <c r="U35" s="3426">
        <f t="shared" si="13"/>
        <v>100</v>
      </c>
      <c r="V35" s="3425" t="s">
        <v>3140</v>
      </c>
      <c r="W35" s="3426">
        <f t="shared" si="14"/>
        <v>100</v>
      </c>
      <c r="X35" s="3347"/>
      <c r="Y35" s="3463"/>
      <c r="Z35" s="3428" t="str">
        <f t="shared" si="15"/>
        <v>公共部分装修</v>
      </c>
      <c r="AA35" s="3429">
        <f t="shared" si="3"/>
        <v>1</v>
      </c>
      <c r="AB35" s="3429">
        <f t="shared" si="4"/>
        <v>1</v>
      </c>
      <c r="AC35" s="3429">
        <f t="shared" si="5"/>
        <v>1</v>
      </c>
    </row>
    <row r="36" spans="1:29" ht="15">
      <c r="A36" s="3476"/>
      <c r="B36" s="3391" t="s">
        <v>3247</v>
      </c>
      <c r="C36" s="3478">
        <v>1</v>
      </c>
      <c r="D36" s="3409">
        <v>100</v>
      </c>
      <c r="E36" s="3478">
        <v>0.87</v>
      </c>
      <c r="F36" s="3461">
        <f>LOOKUP(E36,110:110,111:111)-LOOKUP(C36,110:110,111:111)+100</f>
        <v>98</v>
      </c>
      <c r="G36" s="3478">
        <v>0.92</v>
      </c>
      <c r="H36" s="3461">
        <f>LOOKUP(G36,110:110,111:111)-LOOKUP(C36,110:110,111:111)+100</f>
        <v>100</v>
      </c>
      <c r="I36" s="3478">
        <v>0.9</v>
      </c>
      <c r="J36" s="3409">
        <f>LOOKUP(I36,110:110,111:111)-LOOKUP(C36,110:110,111:111)+100</f>
        <v>100</v>
      </c>
      <c r="K36" s="3394">
        <v>2</v>
      </c>
      <c r="L36" s="3410"/>
      <c r="M36" s="3325"/>
      <c r="N36" s="3325"/>
      <c r="O36" s="3325"/>
      <c r="P36" s="3469"/>
      <c r="Q36" s="3424" t="str">
        <f t="shared" si="11"/>
        <v>成新度</v>
      </c>
      <c r="R36" s="3425" t="s">
        <v>3140</v>
      </c>
      <c r="S36" s="3426">
        <f t="shared" si="12"/>
        <v>98</v>
      </c>
      <c r="T36" s="3425" t="s">
        <v>3140</v>
      </c>
      <c r="U36" s="3426">
        <f t="shared" si="13"/>
        <v>100</v>
      </c>
      <c r="V36" s="3425" t="s">
        <v>3140</v>
      </c>
      <c r="W36" s="3426">
        <f t="shared" si="14"/>
        <v>100</v>
      </c>
      <c r="X36" s="3347"/>
      <c r="Y36" s="3463"/>
      <c r="Z36" s="3428" t="str">
        <f t="shared" si="15"/>
        <v>成新度</v>
      </c>
      <c r="AA36" s="3429">
        <f t="shared" si="3"/>
        <v>1.0204081632653061</v>
      </c>
      <c r="AB36" s="3429">
        <f t="shared" si="4"/>
        <v>1</v>
      </c>
      <c r="AC36" s="3429">
        <f t="shared" si="5"/>
        <v>1</v>
      </c>
    </row>
    <row r="37" spans="1:29" s="3380" customFormat="1" ht="15">
      <c r="A37" s="3479"/>
      <c r="B37" s="3391" t="s">
        <v>3254</v>
      </c>
      <c r="C37" s="3707" t="s">
        <v>3141</v>
      </c>
      <c r="D37" s="3393">
        <v>100</v>
      </c>
      <c r="E37" s="3707" t="s">
        <v>3141</v>
      </c>
      <c r="F37" s="3461">
        <f>SUMIF(112:112,E37,113:113)-SUMIF(112:112,C37,113:113)+100</f>
        <v>100</v>
      </c>
      <c r="G37" s="3707" t="s">
        <v>3141</v>
      </c>
      <c r="H37" s="3409">
        <f>SUMIF(112:112,G37,113:113)-SUMIF(112:112,C37,113:113)+100</f>
        <v>100</v>
      </c>
      <c r="I37" s="3707" t="s">
        <v>3141</v>
      </c>
      <c r="J37" s="3409">
        <f>SUMIF(112:112,I37,113:113)-SUMIF(112:112,C37,113:113)+100</f>
        <v>100</v>
      </c>
      <c r="K37" s="3394">
        <v>2</v>
      </c>
      <c r="L37" s="3369"/>
      <c r="M37" s="3370"/>
      <c r="N37" s="3370"/>
      <c r="O37" s="3370"/>
      <c r="P37" s="3469"/>
      <c r="Q37" s="3387" t="str">
        <f t="shared" si="11"/>
        <v>市政基础设施</v>
      </c>
      <c r="R37" s="3373" t="s">
        <v>3140</v>
      </c>
      <c r="S37" s="3374">
        <f t="shared" si="12"/>
        <v>100</v>
      </c>
      <c r="T37" s="3373" t="s">
        <v>3140</v>
      </c>
      <c r="U37" s="3374">
        <f t="shared" si="13"/>
        <v>100</v>
      </c>
      <c r="V37" s="3373" t="s">
        <v>3140</v>
      </c>
      <c r="W37" s="3374">
        <f t="shared" si="14"/>
        <v>100</v>
      </c>
      <c r="X37" s="3375"/>
      <c r="Y37" s="3463"/>
      <c r="Z37" s="3389" t="str">
        <f t="shared" si="15"/>
        <v>市政基础设施</v>
      </c>
      <c r="AA37" s="3378">
        <f t="shared" si="3"/>
        <v>1</v>
      </c>
      <c r="AB37" s="3378">
        <f t="shared" si="4"/>
        <v>1</v>
      </c>
      <c r="AC37" s="3378">
        <f t="shared" si="5"/>
        <v>1</v>
      </c>
    </row>
    <row r="38" spans="1:29" ht="15">
      <c r="A38" s="3476"/>
      <c r="B38" s="3391" t="s">
        <v>3315</v>
      </c>
      <c r="C38" s="3707" t="s">
        <v>3316</v>
      </c>
      <c r="D38" s="3409">
        <v>100</v>
      </c>
      <c r="E38" s="3707" t="s">
        <v>3316</v>
      </c>
      <c r="F38" s="3461">
        <f>SUMIF(114:114,E38,115:115)-SUMIF(114:114,C38,115:115)+100</f>
        <v>100</v>
      </c>
      <c r="G38" s="3707" t="s">
        <v>3316</v>
      </c>
      <c r="H38" s="3409">
        <f>SUMIF(114:114,G38,115:115)-SUMIF(114:114,C38,115:115)+100</f>
        <v>100</v>
      </c>
      <c r="I38" s="3707" t="s">
        <v>3316</v>
      </c>
      <c r="J38" s="3409">
        <f>SUMIF(114:114,I38,115:115)-SUMIF(114:114,C38,115:115)+100</f>
        <v>100</v>
      </c>
      <c r="K38" s="3394">
        <v>3</v>
      </c>
      <c r="L38" s="3410"/>
      <c r="M38" s="3325"/>
      <c r="N38" s="3325"/>
      <c r="O38" s="3325"/>
      <c r="P38" s="3469" t="s">
        <v>3159</v>
      </c>
      <c r="Q38" s="3424" t="str">
        <f t="shared" si="11"/>
        <v>业态</v>
      </c>
      <c r="R38" s="3425" t="s">
        <v>3140</v>
      </c>
      <c r="S38" s="3426">
        <f t="shared" si="12"/>
        <v>100</v>
      </c>
      <c r="T38" s="3425" t="s">
        <v>3140</v>
      </c>
      <c r="U38" s="3426">
        <f t="shared" si="13"/>
        <v>100</v>
      </c>
      <c r="V38" s="3425" t="s">
        <v>3140</v>
      </c>
      <c r="W38" s="3426">
        <f t="shared" si="14"/>
        <v>100</v>
      </c>
      <c r="X38" s="3347"/>
      <c r="Y38" s="3463" t="s">
        <v>3159</v>
      </c>
      <c r="Z38" s="3428" t="str">
        <f t="shared" si="15"/>
        <v>业态</v>
      </c>
      <c r="AA38" s="3429">
        <f t="shared" si="3"/>
        <v>1</v>
      </c>
      <c r="AB38" s="3429">
        <f t="shared" si="4"/>
        <v>1</v>
      </c>
      <c r="AC38" s="3429">
        <f t="shared" si="5"/>
        <v>1</v>
      </c>
    </row>
    <row r="39" spans="1:29" ht="15">
      <c r="A39" s="3476"/>
      <c r="B39" s="3391" t="s">
        <v>3169</v>
      </c>
      <c r="C39" s="3707" t="s">
        <v>3317</v>
      </c>
      <c r="D39" s="3409">
        <v>100</v>
      </c>
      <c r="E39" s="3707" t="s">
        <v>3318</v>
      </c>
      <c r="F39" s="3461">
        <f>SUMIF(116:116,E39,117:117)-SUMIF(116:116,C39,117:117)+100</f>
        <v>97</v>
      </c>
      <c r="G39" s="3707" t="s">
        <v>3317</v>
      </c>
      <c r="H39" s="3409">
        <f>SUMIF(116:116,G39,117:117)-SUMIF(116:116,C39,117:117)+100</f>
        <v>100</v>
      </c>
      <c r="I39" s="3707" t="s">
        <v>3318</v>
      </c>
      <c r="J39" s="3409">
        <f>SUMIF(116:116,I39,117:117)-SUMIF(116:116,C39,117:117)+100</f>
        <v>97</v>
      </c>
      <c r="K39" s="3394">
        <v>3</v>
      </c>
      <c r="L39" s="3410"/>
      <c r="M39" s="3325"/>
      <c r="N39" s="3325"/>
      <c r="O39" s="3325"/>
      <c r="P39" s="3469"/>
      <c r="Q39" s="3424" t="str">
        <f t="shared" si="11"/>
        <v>层高</v>
      </c>
      <c r="R39" s="3425" t="s">
        <v>3140</v>
      </c>
      <c r="S39" s="3426">
        <f t="shared" si="12"/>
        <v>97</v>
      </c>
      <c r="T39" s="3425" t="s">
        <v>3140</v>
      </c>
      <c r="U39" s="3426">
        <f t="shared" si="13"/>
        <v>100</v>
      </c>
      <c r="V39" s="3425" t="s">
        <v>3140</v>
      </c>
      <c r="W39" s="3426">
        <f t="shared" si="14"/>
        <v>97</v>
      </c>
      <c r="X39" s="3347"/>
      <c r="Y39" s="3463"/>
      <c r="Z39" s="3428" t="str">
        <f t="shared" si="15"/>
        <v>层高</v>
      </c>
      <c r="AA39" s="3429">
        <f t="shared" si="3"/>
        <v>1.0309278350515463</v>
      </c>
      <c r="AB39" s="3429">
        <f t="shared" si="4"/>
        <v>1</v>
      </c>
      <c r="AC39" s="3429">
        <f t="shared" si="5"/>
        <v>1.0309278350515463</v>
      </c>
    </row>
    <row r="40" spans="1:29" ht="15">
      <c r="A40" s="3476"/>
      <c r="B40" s="3391" t="s">
        <v>3263</v>
      </c>
      <c r="C40" s="3708"/>
      <c r="D40" s="3409">
        <v>100</v>
      </c>
      <c r="E40" s="3709"/>
      <c r="F40" s="3461">
        <f>SUMIF(118:118,E40,119:119)-SUMIF(118:118,C40,119:119)+100</f>
        <v>100</v>
      </c>
      <c r="G40" s="3709"/>
      <c r="H40" s="3409">
        <f>SUMIF(118:118,G40,119:119)-SUMIF(118:118,C40,119:119)+100</f>
        <v>100</v>
      </c>
      <c r="I40" s="3709"/>
      <c r="J40" s="3409">
        <f>SUMIF(118:118,I40,119:119)-SUMIF(118:118,C40,119:119)+100</f>
        <v>100</v>
      </c>
      <c r="K40" s="3407"/>
      <c r="L40" s="3410"/>
      <c r="M40" s="3325"/>
      <c r="N40" s="3325"/>
      <c r="O40" s="3325"/>
      <c r="P40" s="3469"/>
      <c r="Q40" s="3424" t="str">
        <f t="shared" si="11"/>
        <v>单套建筑面积</v>
      </c>
      <c r="R40" s="3425" t="s">
        <v>3119</v>
      </c>
      <c r="S40" s="3426">
        <f t="shared" si="12"/>
        <v>100</v>
      </c>
      <c r="T40" s="3425" t="s">
        <v>3119</v>
      </c>
      <c r="U40" s="3426">
        <f t="shared" si="13"/>
        <v>100</v>
      </c>
      <c r="V40" s="3425" t="s">
        <v>3119</v>
      </c>
      <c r="W40" s="3426">
        <f t="shared" si="14"/>
        <v>100</v>
      </c>
      <c r="X40" s="3347"/>
      <c r="Y40" s="3463"/>
      <c r="Z40" s="3428" t="str">
        <f t="shared" si="15"/>
        <v>单套建筑面积</v>
      </c>
      <c r="AA40" s="3429">
        <f t="shared" si="3"/>
        <v>1</v>
      </c>
      <c r="AB40" s="3429">
        <f t="shared" si="4"/>
        <v>1</v>
      </c>
      <c r="AC40" s="3429">
        <f t="shared" si="5"/>
        <v>1</v>
      </c>
    </row>
    <row r="41" spans="1:29" s="3475" customFormat="1" ht="15">
      <c r="A41" s="3464"/>
      <c r="B41" s="3480" t="s">
        <v>3319</v>
      </c>
      <c r="C41" s="3452"/>
      <c r="D41" s="3409">
        <v>100</v>
      </c>
      <c r="E41" s="3452"/>
      <c r="F41" s="3461">
        <f>SUMIF(120:120,E41,121:121)-SUMIF(120:120,C41,121:121)+100</f>
        <v>100</v>
      </c>
      <c r="G41" s="3452"/>
      <c r="H41" s="3409">
        <f>SUMIF(120:120,G41,121:121)-SUMIF(120:120,C41,121:121)+100</f>
        <v>100</v>
      </c>
      <c r="I41" s="3452"/>
      <c r="J41" s="3409">
        <f>SUMIF(120:120,I41,121:121)-SUMIF(120:120,C41,121:121)+100</f>
        <v>100</v>
      </c>
      <c r="K41" s="3394">
        <v>3</v>
      </c>
      <c r="L41" s="3401"/>
      <c r="M41" s="3468"/>
      <c r="N41" s="3468"/>
      <c r="O41" s="3468"/>
      <c r="P41" s="3469"/>
      <c r="Q41" s="3470" t="str">
        <f t="shared" si="11"/>
        <v>进深比</v>
      </c>
      <c r="R41" s="3471" t="s">
        <v>3140</v>
      </c>
      <c r="S41" s="3472">
        <f t="shared" si="12"/>
        <v>100</v>
      </c>
      <c r="T41" s="3471" t="s">
        <v>3140</v>
      </c>
      <c r="U41" s="3472">
        <f t="shared" si="13"/>
        <v>100</v>
      </c>
      <c r="V41" s="3471" t="s">
        <v>3140</v>
      </c>
      <c r="W41" s="3472">
        <f t="shared" si="14"/>
        <v>100</v>
      </c>
      <c r="X41" s="3473"/>
      <c r="Y41" s="3463"/>
      <c r="Z41" s="3474" t="str">
        <f t="shared" si="15"/>
        <v>进深比</v>
      </c>
      <c r="AA41" s="3429">
        <f t="shared" si="3"/>
        <v>1</v>
      </c>
      <c r="AB41" s="3429">
        <f t="shared" si="4"/>
        <v>1</v>
      </c>
      <c r="AC41" s="3429">
        <f t="shared" si="5"/>
        <v>1</v>
      </c>
    </row>
    <row r="42" spans="1:29" ht="15">
      <c r="A42" s="3476"/>
      <c r="B42" s="3391" t="s">
        <v>3172</v>
      </c>
      <c r="C42" s="3707" t="s">
        <v>3320</v>
      </c>
      <c r="D42" s="3409">
        <v>100</v>
      </c>
      <c r="E42" s="3707" t="s">
        <v>3321</v>
      </c>
      <c r="F42" s="3461">
        <f>SUMIF(122:122,E42,123:123)-SUMIF(122:122,C42,123:123)+100</f>
        <v>102</v>
      </c>
      <c r="G42" s="3707" t="s">
        <v>3321</v>
      </c>
      <c r="H42" s="3409">
        <f>SUMIF(122:122,G42,123:123)-SUMIF(122:122,C42,123:123)+100</f>
        <v>102</v>
      </c>
      <c r="I42" s="3707" t="s">
        <v>3321</v>
      </c>
      <c r="J42" s="3409">
        <f>SUMIF(122:122,I42,123:123)-SUMIF(122:122,C42,123:123)+100</f>
        <v>102</v>
      </c>
      <c r="K42" s="3394">
        <v>1</v>
      </c>
      <c r="L42" s="3410"/>
      <c r="M42" s="3325"/>
      <c r="N42" s="3325"/>
      <c r="O42" s="3325"/>
      <c r="P42" s="3469"/>
      <c r="Q42" s="3424" t="str">
        <f t="shared" si="11"/>
        <v>内部装修</v>
      </c>
      <c r="R42" s="3425" t="s">
        <v>3140</v>
      </c>
      <c r="S42" s="3426">
        <f t="shared" si="12"/>
        <v>102</v>
      </c>
      <c r="T42" s="3425" t="s">
        <v>3140</v>
      </c>
      <c r="U42" s="3426">
        <f t="shared" si="13"/>
        <v>102</v>
      </c>
      <c r="V42" s="3425" t="s">
        <v>3140</v>
      </c>
      <c r="W42" s="3426">
        <f t="shared" si="14"/>
        <v>102</v>
      </c>
      <c r="X42" s="3347"/>
      <c r="Y42" s="3463"/>
      <c r="Z42" s="3428" t="str">
        <f t="shared" si="15"/>
        <v>内部装修</v>
      </c>
      <c r="AA42" s="3429">
        <f t="shared" si="3"/>
        <v>0.98039215686274506</v>
      </c>
      <c r="AB42" s="3429">
        <f t="shared" si="4"/>
        <v>0.98039215686274506</v>
      </c>
      <c r="AC42" s="3429">
        <f t="shared" si="5"/>
        <v>0.98039215686274506</v>
      </c>
    </row>
    <row r="43" spans="1:29" ht="15">
      <c r="A43" s="3476"/>
      <c r="B43" s="3391" t="s">
        <v>2579</v>
      </c>
      <c r="C43" s="3707" t="s">
        <v>3083</v>
      </c>
      <c r="D43" s="3409">
        <v>100</v>
      </c>
      <c r="E43" s="3707" t="s">
        <v>3083</v>
      </c>
      <c r="F43" s="3461">
        <f>SUMIF(124:124,E43,125:125)-SUMIF(124:124,C43,125:125)+100</f>
        <v>100</v>
      </c>
      <c r="G43" s="3707" t="s">
        <v>3083</v>
      </c>
      <c r="H43" s="3409">
        <f>SUMIF(124:124,G43,125:125)-SUMIF(124:124,C43,125:125)+100</f>
        <v>100</v>
      </c>
      <c r="I43" s="3707" t="s">
        <v>3083</v>
      </c>
      <c r="J43" s="3409">
        <f>SUMIF(124:124,I43,125:125)-SUMIF(124:124,C43,125:125)+100</f>
        <v>100</v>
      </c>
      <c r="K43" s="3394">
        <v>3</v>
      </c>
      <c r="L43" s="3410"/>
      <c r="M43" s="3325"/>
      <c r="N43" s="3325"/>
      <c r="O43" s="3325"/>
      <c r="P43" s="3469"/>
      <c r="Q43" s="3424" t="str">
        <f t="shared" si="11"/>
        <v>内部装修维护情况</v>
      </c>
      <c r="R43" s="3425" t="s">
        <v>3140</v>
      </c>
      <c r="S43" s="3426">
        <f t="shared" si="12"/>
        <v>100</v>
      </c>
      <c r="T43" s="3425" t="s">
        <v>3140</v>
      </c>
      <c r="U43" s="3426">
        <f t="shared" si="13"/>
        <v>100</v>
      </c>
      <c r="V43" s="3425" t="s">
        <v>3140</v>
      </c>
      <c r="W43" s="3426">
        <f t="shared" si="14"/>
        <v>100</v>
      </c>
      <c r="X43" s="3347"/>
      <c r="Y43" s="3463"/>
      <c r="Z43" s="3428" t="str">
        <f t="shared" si="15"/>
        <v>内部装修维护情况</v>
      </c>
      <c r="AA43" s="3429">
        <f t="shared" si="3"/>
        <v>1</v>
      </c>
      <c r="AB43" s="3429">
        <f t="shared" si="4"/>
        <v>1</v>
      </c>
      <c r="AC43" s="3429">
        <f t="shared" si="5"/>
        <v>1</v>
      </c>
    </row>
    <row r="44" spans="1:29" s="3380" customFormat="1" ht="15">
      <c r="A44" s="3479"/>
      <c r="B44" s="3703">
        <v>111</v>
      </c>
      <c r="C44" s="3466"/>
      <c r="D44" s="3393">
        <v>100</v>
      </c>
      <c r="E44" s="3408"/>
      <c r="F44" s="3467">
        <f>SUMIF(126:126,E44,127:127)-SUMIF(126:126,C44,127:127)+100</f>
        <v>100</v>
      </c>
      <c r="G44" s="3408"/>
      <c r="H44" s="3393">
        <f>SUMIF(126:126,G44,127:127)-SUMIF(126:126,C44,127:127)+100</f>
        <v>100</v>
      </c>
      <c r="I44" s="3408"/>
      <c r="J44" s="3393">
        <f>SUMIF(126:126,I44,127:127)-SUMIF(126:126,C44,127:127)+100</f>
        <v>100</v>
      </c>
      <c r="K44" s="3407"/>
      <c r="L44" s="3369"/>
      <c r="M44" s="3370"/>
      <c r="N44" s="3370"/>
      <c r="O44" s="3370"/>
      <c r="P44" s="3469"/>
      <c r="Q44" s="3387">
        <f t="shared" si="11"/>
        <v>111</v>
      </c>
      <c r="R44" s="3373" t="s">
        <v>3140</v>
      </c>
      <c r="S44" s="3374">
        <f t="shared" si="12"/>
        <v>100</v>
      </c>
      <c r="T44" s="3373" t="s">
        <v>3140</v>
      </c>
      <c r="U44" s="3374">
        <f t="shared" si="13"/>
        <v>100</v>
      </c>
      <c r="V44" s="3373" t="s">
        <v>3140</v>
      </c>
      <c r="W44" s="3374">
        <f t="shared" si="14"/>
        <v>100</v>
      </c>
      <c r="X44" s="3375"/>
      <c r="Y44" s="3463"/>
      <c r="Z44" s="3389">
        <f t="shared" si="15"/>
        <v>111</v>
      </c>
      <c r="AA44" s="3378">
        <f t="shared" si="3"/>
        <v>1</v>
      </c>
      <c r="AB44" s="3378">
        <f t="shared" si="4"/>
        <v>1</v>
      </c>
      <c r="AC44" s="3378">
        <f t="shared" si="5"/>
        <v>1</v>
      </c>
    </row>
    <row r="45" spans="1:29" ht="15">
      <c r="A45" s="3476"/>
      <c r="B45" s="3703">
        <v>111</v>
      </c>
      <c r="C45" s="3408"/>
      <c r="D45" s="3409">
        <v>100</v>
      </c>
      <c r="E45" s="3408"/>
      <c r="F45" s="3461">
        <f>SUMIF(128:128,E45,129:129)-SUMIF(128:128,C45,129:129)+100</f>
        <v>100</v>
      </c>
      <c r="G45" s="3408"/>
      <c r="H45" s="3409">
        <f>SUMIF(128:128,G45,129:129)-SUMIF(128:128,C45,129:129)+100</f>
        <v>100</v>
      </c>
      <c r="I45" s="3408"/>
      <c r="J45" s="3409">
        <f>SUMIF(128:128,I45,129:129)-SUMIF(128:128,C45,129:129)+100</f>
        <v>100</v>
      </c>
      <c r="K45" s="3407"/>
      <c r="L45" s="3410"/>
      <c r="M45" s="3325"/>
      <c r="N45" s="3325"/>
      <c r="O45" s="3325"/>
      <c r="P45" s="3469"/>
      <c r="Q45" s="3424">
        <f t="shared" si="11"/>
        <v>111</v>
      </c>
      <c r="R45" s="3425" t="s">
        <v>3140</v>
      </c>
      <c r="S45" s="3426">
        <f t="shared" si="12"/>
        <v>100</v>
      </c>
      <c r="T45" s="3425" t="s">
        <v>3140</v>
      </c>
      <c r="U45" s="3426">
        <f t="shared" si="13"/>
        <v>100</v>
      </c>
      <c r="V45" s="3425" t="s">
        <v>3140</v>
      </c>
      <c r="W45" s="3426">
        <f t="shared" si="14"/>
        <v>100</v>
      </c>
      <c r="X45" s="3347"/>
      <c r="Y45" s="3463"/>
      <c r="Z45" s="3428">
        <f t="shared" si="15"/>
        <v>111</v>
      </c>
      <c r="AA45" s="3429">
        <f t="shared" si="3"/>
        <v>1</v>
      </c>
      <c r="AB45" s="3429">
        <f t="shared" si="4"/>
        <v>1</v>
      </c>
      <c r="AC45" s="3429">
        <f t="shared" si="5"/>
        <v>1</v>
      </c>
    </row>
    <row r="46" spans="1:29" ht="15.75" thickBot="1">
      <c r="A46" s="3484"/>
      <c r="B46" s="3412">
        <v>0.98</v>
      </c>
      <c r="C46" s="3413"/>
      <c r="D46" s="3414">
        <v>100</v>
      </c>
      <c r="E46" s="3408"/>
      <c r="F46" s="3485">
        <f>SUMIF(130:130,E46,131:131)-SUMIF(130:130,C46,131:131)+100</f>
        <v>100</v>
      </c>
      <c r="G46" s="3408"/>
      <c r="H46" s="3414">
        <f>SUMIF(130:130,G46,131:131)-SUMIF(130:130,C46,131:131)+100</f>
        <v>100</v>
      </c>
      <c r="I46" s="3408"/>
      <c r="J46" s="3414">
        <f>SUMIF(130:130,I46,131:131)-SUMIF(130:130,C46,131:131)+100</f>
        <v>100</v>
      </c>
      <c r="K46" s="3407"/>
      <c r="L46" s="3410"/>
      <c r="M46" s="3325"/>
      <c r="N46" s="3325"/>
      <c r="O46" s="3325"/>
      <c r="P46" s="3486"/>
      <c r="Q46" s="3424">
        <f t="shared" si="11"/>
        <v>0.98</v>
      </c>
      <c r="R46" s="3425" t="s">
        <v>3140</v>
      </c>
      <c r="S46" s="3426">
        <f t="shared" si="12"/>
        <v>100</v>
      </c>
      <c r="T46" s="3425" t="s">
        <v>3140</v>
      </c>
      <c r="U46" s="3426">
        <f t="shared" si="13"/>
        <v>100</v>
      </c>
      <c r="V46" s="3425" t="s">
        <v>3140</v>
      </c>
      <c r="W46" s="3426">
        <f t="shared" si="14"/>
        <v>100</v>
      </c>
      <c r="X46" s="3347"/>
      <c r="Y46" s="3487"/>
      <c r="Z46" s="3428">
        <f t="shared" si="15"/>
        <v>0.98</v>
      </c>
      <c r="AA46" s="3429">
        <f t="shared" si="3"/>
        <v>1</v>
      </c>
      <c r="AB46" s="3429">
        <f t="shared" si="4"/>
        <v>1</v>
      </c>
      <c r="AC46" s="3429">
        <f t="shared" si="5"/>
        <v>1</v>
      </c>
    </row>
    <row r="47" spans="1:29" ht="15">
      <c r="A47" s="3488" t="s">
        <v>3182</v>
      </c>
      <c r="B47" s="3489"/>
      <c r="C47" s="3490" t="s">
        <v>3183</v>
      </c>
      <c r="D47" s="3491"/>
      <c r="E47" s="3492">
        <f>ROUND(50847*B46,0)</f>
        <v>49830</v>
      </c>
      <c r="F47" s="3493"/>
      <c r="G47" s="3494">
        <f>ROUND(47539*B46,0)</f>
        <v>46588</v>
      </c>
      <c r="H47" s="3495"/>
      <c r="I47" s="3492">
        <f>ROUND(55000*B46,0)</f>
        <v>53900</v>
      </c>
      <c r="J47" s="3495"/>
      <c r="K47" s="3497"/>
      <c r="L47" s="3498"/>
      <c r="M47" s="3520"/>
      <c r="N47" s="3325"/>
      <c r="O47" s="3520"/>
      <c r="P47" s="3499" t="str">
        <f>A47</f>
        <v>成交单价（元/平方米）</v>
      </c>
      <c r="Q47" s="3499"/>
      <c r="R47" s="3346">
        <f>E47</f>
        <v>49830</v>
      </c>
      <c r="S47" s="3346"/>
      <c r="T47" s="3346">
        <f>G47</f>
        <v>46588</v>
      </c>
      <c r="U47" s="3346"/>
      <c r="V47" s="3346">
        <f>I47</f>
        <v>53900</v>
      </c>
      <c r="W47" s="3346"/>
      <c r="X47" s="3538"/>
      <c r="Y47" s="3502"/>
      <c r="Z47" s="3538"/>
      <c r="AA47" s="3538"/>
      <c r="AB47" s="3538"/>
      <c r="AC47" s="3538"/>
    </row>
    <row r="48" spans="1:29" ht="15.75" thickBot="1">
      <c r="A48" s="3503" t="s">
        <v>3184</v>
      </c>
      <c r="B48" s="3504"/>
      <c r="C48" s="3505">
        <f>R49</f>
        <v>49857</v>
      </c>
      <c r="D48" s="3506"/>
      <c r="E48" s="3507">
        <f>R48</f>
        <v>49396</v>
      </c>
      <c r="F48" s="3507"/>
      <c r="G48" s="3505">
        <f>T48</f>
        <v>45675</v>
      </c>
      <c r="H48" s="3506"/>
      <c r="I48" s="3507">
        <f>V48</f>
        <v>54499</v>
      </c>
      <c r="J48" s="3506"/>
      <c r="K48" s="3509"/>
      <c r="L48" s="3498"/>
      <c r="M48" s="3520"/>
      <c r="N48" s="3325"/>
      <c r="O48" s="3520"/>
      <c r="P48" s="3499" t="str">
        <f>A48</f>
        <v>比较价值（元/平方米）</v>
      </c>
      <c r="Q48" s="3499"/>
      <c r="R48" s="3500">
        <f>IF(F1="售价",ROUND(PRODUCT(R47,AA7:AA46),0),ROUND(PRODUCT(R47,AA7:AA46),1))</f>
        <v>49396</v>
      </c>
      <c r="S48" s="3500"/>
      <c r="T48" s="3500">
        <f>IF(F1="售价",ROUND(PRODUCT(T47,AB7:AB46),0),ROUND(PRODUCT(T47,AB7:AB46),1))</f>
        <v>45675</v>
      </c>
      <c r="U48" s="3500"/>
      <c r="V48" s="3500">
        <f>IF(F1="售价",ROUND(PRODUCT(V47,AC7:AC46),0),ROUND(PRODUCT(V47,AC7:AC46),1))</f>
        <v>54499</v>
      </c>
      <c r="W48" s="3500"/>
      <c r="X48" s="3538"/>
      <c r="Y48" s="3538"/>
      <c r="Z48" s="3538"/>
      <c r="AA48" s="3538"/>
      <c r="AB48" s="3538"/>
      <c r="AC48" s="3538"/>
    </row>
    <row r="49" spans="1:29" ht="15.75" thickBot="1">
      <c r="A49" s="3510" t="s">
        <v>3185</v>
      </c>
      <c r="B49" s="3511"/>
      <c r="C49" s="3512">
        <f>R49</f>
        <v>49857</v>
      </c>
      <c r="D49" s="3512"/>
      <c r="E49" s="3512"/>
      <c r="F49" s="3512"/>
      <c r="G49" s="3512"/>
      <c r="H49" s="3512"/>
      <c r="I49" s="3512"/>
      <c r="J49" s="3512"/>
      <c r="K49" s="3514"/>
      <c r="L49" s="3498"/>
      <c r="M49" s="3520"/>
      <c r="N49" s="3325"/>
      <c r="O49" s="3520"/>
      <c r="P49" s="3710" t="str">
        <f>A49</f>
        <v>估价对象XX用房的比较价值（楼面单价，元/平方米）</v>
      </c>
      <c r="Q49" s="3711"/>
      <c r="R49" s="3712">
        <f>IF(F1="售价",ROUND(AVERAGE(R48:V48),0),ROUND(AVERAGE(R48:V48),1))</f>
        <v>49857</v>
      </c>
      <c r="S49" s="3712"/>
      <c r="T49" s="3712"/>
      <c r="U49" s="3712"/>
      <c r="V49" s="3712"/>
      <c r="W49" s="3712"/>
      <c r="X49" s="3538"/>
      <c r="Y49" s="3538"/>
      <c r="Z49" s="3538"/>
      <c r="AA49" s="3538"/>
      <c r="AB49" s="3538"/>
      <c r="AC49" s="3538"/>
    </row>
    <row r="50" spans="1:29">
      <c r="A50" s="3520"/>
      <c r="B50" s="3520"/>
      <c r="C50" s="3520"/>
      <c r="D50" s="3520"/>
      <c r="E50" s="3520"/>
      <c r="F50" s="3520"/>
      <c r="G50" s="3521"/>
      <c r="H50" s="3520"/>
      <c r="I50" s="3520"/>
      <c r="J50" s="3520"/>
      <c r="K50" s="3522"/>
      <c r="L50" s="3523"/>
      <c r="M50" s="3520"/>
      <c r="N50" s="3520"/>
      <c r="O50" s="3520"/>
      <c r="P50" s="3713"/>
      <c r="Q50" s="3538"/>
      <c r="R50" s="3538"/>
      <c r="S50" s="3538"/>
      <c r="T50" s="3538"/>
      <c r="U50" s="3538"/>
      <c r="V50" s="3538"/>
      <c r="W50" s="3538"/>
      <c r="X50" s="3538"/>
      <c r="Y50" s="3538"/>
      <c r="Z50" s="3538"/>
      <c r="AA50" s="3538"/>
      <c r="AB50" s="3538"/>
      <c r="AC50" s="3538"/>
    </row>
    <row r="51" spans="1:29">
      <c r="A51" s="3520"/>
      <c r="B51" s="3520"/>
      <c r="C51" s="3520"/>
      <c r="D51" s="3520"/>
      <c r="E51" s="3520"/>
      <c r="F51" s="3520"/>
      <c r="G51" s="3520"/>
      <c r="H51" s="3520"/>
      <c r="I51" s="3520"/>
      <c r="J51" s="3520"/>
      <c r="K51" s="3522"/>
      <c r="L51" s="3523"/>
      <c r="M51" s="3520"/>
      <c r="N51" s="3520"/>
      <c r="O51" s="3520"/>
      <c r="P51" s="3713"/>
      <c r="Q51" s="3538"/>
      <c r="R51" s="3538"/>
      <c r="S51" s="3538"/>
      <c r="T51" s="3538"/>
      <c r="U51" s="3538"/>
      <c r="V51" s="3538"/>
      <c r="W51" s="3538"/>
      <c r="X51" s="3538"/>
      <c r="Y51" s="3538"/>
      <c r="Z51" s="3538"/>
      <c r="AA51" s="3538"/>
      <c r="AB51" s="3538"/>
      <c r="AC51" s="3538"/>
    </row>
    <row r="52" spans="1:29" ht="13.5" customHeight="1">
      <c r="A52" s="3520"/>
      <c r="B52" s="3520"/>
      <c r="C52" s="3525" t="s">
        <v>3186</v>
      </c>
      <c r="D52" s="3526"/>
      <c r="E52" s="3527">
        <f>IF(E47&lt;E48,E48/E47-1,E47/E48-1)</f>
        <v>8.7861365292736249E-3</v>
      </c>
      <c r="F52" s="3528" t="str">
        <f>IF(OR(E52&gt;=0.3,E52&lt;=-0.3),"超过30%","")</f>
        <v/>
      </c>
      <c r="G52" s="3527">
        <f>IF(G47&lt;G48,G48/G47-1,G47/G48-1)</f>
        <v>1.9989053092501319E-2</v>
      </c>
      <c r="H52" s="3528" t="str">
        <f>IF(OR(G52&gt;=0.3,G52&lt;=-0.3),"超过30%","")</f>
        <v/>
      </c>
      <c r="I52" s="3527">
        <f>IF(I47&lt;I48,I48/I47-1,I47/I48-1)</f>
        <v>1.1113172541743932E-2</v>
      </c>
      <c r="J52" s="3528" t="str">
        <f>IF(OR(I52&gt;=0.3,I52&lt;=-0.3),"超过30%","")</f>
        <v/>
      </c>
      <c r="K52" s="3522"/>
      <c r="L52" s="3523"/>
      <c r="M52" s="3520"/>
      <c r="N52" s="3520"/>
      <c r="O52" s="3520"/>
      <c r="P52" s="3713"/>
      <c r="Q52" s="3538"/>
      <c r="R52" s="3538"/>
      <c r="S52" s="3538"/>
      <c r="T52" s="3538"/>
      <c r="U52" s="3538"/>
      <c r="V52" s="3538"/>
      <c r="W52" s="3538"/>
      <c r="X52" s="3538"/>
      <c r="Y52" s="3538"/>
      <c r="Z52" s="3538"/>
      <c r="AA52" s="3538"/>
      <c r="AB52" s="3538"/>
      <c r="AC52" s="3538"/>
    </row>
    <row r="53" spans="1:29" ht="13.5" customHeight="1">
      <c r="A53" s="3520"/>
      <c r="B53" s="3520"/>
      <c r="C53" s="3525" t="s">
        <v>3187</v>
      </c>
      <c r="D53" s="3529"/>
      <c r="E53" s="3527">
        <f>IF(E48&lt;G48,G48/E48-1,E48/G48-1)</f>
        <v>8.146688560481663E-2</v>
      </c>
      <c r="F53" s="3528" t="str">
        <f>IF(OR(E53&gt;=0.2,E53&lt;=-0.2),"超过20%","")</f>
        <v/>
      </c>
      <c r="G53" s="3527">
        <f>IF(G48&lt;I48,I48/G48-1,G48/I48-1)</f>
        <v>0.19319102353585116</v>
      </c>
      <c r="H53" s="3528" t="str">
        <f>IF(OR(G53&gt;=0.2,G53&lt;=-0.2),"超过20%","")</f>
        <v/>
      </c>
      <c r="I53" s="3527">
        <f>IF(I48&lt;E48,E48/I48-1,I48/E48-1)</f>
        <v>0.10330796015871724</v>
      </c>
      <c r="J53" s="3528" t="str">
        <f>IF(OR(I53&gt;=0.2,I53&lt;=-0.2),"超过20%","")</f>
        <v/>
      </c>
      <c r="K53" s="3522"/>
      <c r="L53" s="3523"/>
      <c r="M53" s="3520"/>
      <c r="N53" s="3520"/>
      <c r="O53" s="3520"/>
      <c r="P53" s="3713"/>
      <c r="Q53" s="3538"/>
      <c r="R53" s="3538"/>
      <c r="S53" s="3538"/>
      <c r="T53" s="3538"/>
      <c r="U53" s="3538"/>
      <c r="V53" s="3538"/>
      <c r="W53" s="3538"/>
      <c r="X53" s="3538"/>
      <c r="Y53" s="3538"/>
      <c r="Z53" s="3538"/>
      <c r="AA53" s="3538"/>
      <c r="AB53" s="3538"/>
      <c r="AC53" s="3538"/>
    </row>
    <row r="54" spans="1:29" s="3534" customFormat="1" ht="13.5" customHeight="1">
      <c r="A54" s="3530"/>
      <c r="B54" s="3530"/>
      <c r="C54" s="3525" t="s">
        <v>3322</v>
      </c>
      <c r="D54" s="3529"/>
      <c r="E54" s="3527">
        <f>IF(E47&lt;G47,G47/E47-1,E47/G47-1)</f>
        <v>6.958873529664289E-2</v>
      </c>
      <c r="F54" s="3528" t="str">
        <f>IF(OR(E54&gt;=0.3,E54&lt;=-0.3),"超过30%","")</f>
        <v/>
      </c>
      <c r="G54" s="3527">
        <f>IF(G47&lt;I47,I47/G47-1,G47/I47-1)</f>
        <v>0.15695028762771535</v>
      </c>
      <c r="H54" s="3528" t="str">
        <f>IF(OR(G54&gt;=0.3,G54&lt;=-0.3),"超过30%","")</f>
        <v/>
      </c>
      <c r="I54" s="3527">
        <f>IF(I47&lt;E47,E47/I47-1,I47/E47-1)</f>
        <v>8.1677704194260459E-2</v>
      </c>
      <c r="J54" s="3528" t="str">
        <f>IF(OR(I54&gt;=0.3,I54&lt;=-0.3),"超过30%","")</f>
        <v/>
      </c>
      <c r="K54" s="3531"/>
      <c r="L54" s="3532"/>
      <c r="M54" s="3530"/>
      <c r="N54" s="3530"/>
      <c r="O54" s="3530"/>
      <c r="P54" s="3714"/>
      <c r="Q54" s="3715"/>
      <c r="R54" s="3715"/>
      <c r="S54" s="3715"/>
      <c r="T54" s="3715"/>
      <c r="U54" s="3715"/>
      <c r="V54" s="3715"/>
      <c r="W54" s="3715"/>
      <c r="X54" s="3715"/>
      <c r="Y54" s="3715"/>
      <c r="Z54" s="3715"/>
      <c r="AA54" s="3715"/>
      <c r="AB54" s="3715"/>
      <c r="AC54" s="3715"/>
    </row>
    <row r="55" spans="1:29" s="3534" customFormat="1">
      <c r="A55" s="3530"/>
      <c r="B55" s="3535"/>
      <c r="C55" s="3536"/>
      <c r="D55" s="3530"/>
      <c r="E55" s="3530"/>
      <c r="F55" s="3530"/>
      <c r="G55" s="3530"/>
      <c r="H55" s="3530"/>
      <c r="I55" s="3530"/>
      <c r="J55" s="3530"/>
      <c r="K55" s="3531"/>
      <c r="L55" s="3532"/>
      <c r="M55" s="3530"/>
      <c r="N55" s="3530"/>
      <c r="O55" s="3530"/>
      <c r="P55" s="3714"/>
      <c r="Q55" s="3715"/>
      <c r="R55" s="3715"/>
      <c r="S55" s="3715"/>
      <c r="T55" s="3715"/>
      <c r="U55" s="3715"/>
      <c r="V55" s="3715"/>
      <c r="W55" s="3715"/>
      <c r="X55" s="3715"/>
      <c r="Y55" s="3715"/>
      <c r="Z55" s="3715"/>
      <c r="AA55" s="3715"/>
      <c r="AB55" s="3715"/>
      <c r="AC55" s="3715"/>
    </row>
    <row r="56" spans="1:29">
      <c r="A56" s="3520"/>
      <c r="B56" s="3535"/>
      <c r="C56" s="3536"/>
      <c r="D56" s="3520"/>
      <c r="E56" s="3520"/>
      <c r="F56" s="3520"/>
      <c r="G56" s="3520"/>
      <c r="H56" s="3520"/>
      <c r="I56" s="3520"/>
      <c r="J56" s="3520"/>
      <c r="K56" s="3522"/>
      <c r="L56" s="3523"/>
      <c r="M56" s="3520"/>
      <c r="N56" s="3520"/>
      <c r="O56" s="3520"/>
      <c r="P56" s="3713"/>
      <c r="Q56" s="3538"/>
      <c r="R56" s="3538"/>
      <c r="S56" s="3538"/>
      <c r="T56" s="3538"/>
      <c r="U56" s="3538"/>
      <c r="V56" s="3538"/>
      <c r="W56" s="3538"/>
      <c r="X56" s="3538"/>
      <c r="Y56" s="3538"/>
      <c r="Z56" s="3538"/>
      <c r="AA56" s="3538"/>
      <c r="AB56" s="3538"/>
      <c r="AC56" s="3538"/>
    </row>
    <row r="57" spans="1:29" ht="21.75" thickBot="1">
      <c r="A57" s="3537" t="s">
        <v>3323</v>
      </c>
      <c r="B57" s="3538"/>
      <c r="C57" s="3539"/>
      <c r="D57" s="3539"/>
      <c r="E57" s="3539"/>
      <c r="F57" s="3540"/>
      <c r="G57" s="3540"/>
      <c r="H57" s="3539"/>
      <c r="I57" s="3539"/>
      <c r="J57" s="3539"/>
      <c r="K57" s="3541"/>
      <c r="L57" s="3542"/>
      <c r="M57" s="3543"/>
      <c r="N57" s="3543"/>
      <c r="O57" s="3543"/>
      <c r="P57" s="3716"/>
      <c r="Q57" s="3717"/>
      <c r="R57" s="3538"/>
      <c r="S57" s="3538"/>
      <c r="T57" s="3538"/>
      <c r="U57" s="3538"/>
      <c r="V57" s="3538"/>
      <c r="W57" s="3538"/>
      <c r="X57" s="3538"/>
      <c r="Y57" s="3538"/>
      <c r="Z57" s="3538"/>
      <c r="AA57" s="3538"/>
      <c r="AB57" s="3538"/>
      <c r="AC57" s="3538"/>
    </row>
    <row r="58" spans="1:29" s="3551" customFormat="1" ht="15">
      <c r="A58" s="3546" t="s">
        <v>3288</v>
      </c>
      <c r="B58" s="3547"/>
      <c r="C58" s="3548" t="str">
        <f>YEAR(C7)&amp;"-"&amp;MONTH(C7)</f>
        <v>2018-6</v>
      </c>
      <c r="D58" s="3549">
        <f>EDATE(C58,-1)</f>
        <v>43221</v>
      </c>
      <c r="E58" s="3549">
        <f t="shared" ref="E58:N58" si="16">EDATE(D58,-1)</f>
        <v>43191</v>
      </c>
      <c r="F58" s="3549">
        <f t="shared" si="16"/>
        <v>43160</v>
      </c>
      <c r="G58" s="3549">
        <f t="shared" si="16"/>
        <v>43132</v>
      </c>
      <c r="H58" s="3549">
        <f t="shared" si="16"/>
        <v>43101</v>
      </c>
      <c r="I58" s="3549">
        <f t="shared" si="16"/>
        <v>43070</v>
      </c>
      <c r="J58" s="3549">
        <f t="shared" si="16"/>
        <v>43040</v>
      </c>
      <c r="K58" s="3549">
        <f t="shared" si="16"/>
        <v>43009</v>
      </c>
      <c r="L58" s="3549">
        <f t="shared" si="16"/>
        <v>42979</v>
      </c>
      <c r="M58" s="3549">
        <f t="shared" si="16"/>
        <v>42948</v>
      </c>
      <c r="N58" s="3549">
        <f t="shared" si="16"/>
        <v>42917</v>
      </c>
      <c r="O58" s="3549">
        <f>EDATE(N58,-1)</f>
        <v>42887</v>
      </c>
      <c r="P58" s="3718"/>
    </row>
    <row r="59" spans="1:29" s="3380" customFormat="1" ht="15">
      <c r="A59" s="3552"/>
      <c r="B59" s="3553"/>
      <c r="C59" s="3554">
        <v>100</v>
      </c>
      <c r="D59" s="3555"/>
      <c r="E59" s="3555"/>
      <c r="F59" s="3555"/>
      <c r="G59" s="3555"/>
      <c r="H59" s="3555"/>
      <c r="I59" s="3555"/>
      <c r="J59" s="3555"/>
      <c r="K59" s="3555"/>
      <c r="L59" s="3555"/>
      <c r="M59" s="3556"/>
      <c r="N59" s="3555"/>
      <c r="O59" s="3556"/>
      <c r="P59" s="3719"/>
    </row>
    <row r="60" spans="1:29" s="3380" customFormat="1" ht="15.75" thickBot="1">
      <c r="A60" s="3558" t="s">
        <v>3324</v>
      </c>
      <c r="B60" s="3559"/>
      <c r="C60" s="3560"/>
      <c r="D60" s="3561"/>
      <c r="E60" s="3561"/>
      <c r="F60" s="3561"/>
      <c r="G60" s="3561"/>
      <c r="H60" s="3561"/>
      <c r="I60" s="3561"/>
      <c r="J60" s="3561"/>
      <c r="K60" s="3561"/>
      <c r="L60" s="3561"/>
      <c r="M60" s="3562"/>
      <c r="N60" s="3561"/>
      <c r="O60" s="3562"/>
      <c r="P60" s="3719"/>
      <c r="Q60" s="3545"/>
    </row>
    <row r="61" spans="1:29" s="3380" customFormat="1" ht="15">
      <c r="A61" s="3563" t="s">
        <v>3290</v>
      </c>
      <c r="B61" s="3553"/>
      <c r="C61" s="3564" t="s">
        <v>3291</v>
      </c>
      <c r="D61" s="3565"/>
      <c r="E61" s="3565"/>
      <c r="F61" s="3565"/>
      <c r="G61" s="3565"/>
      <c r="H61" s="3565"/>
      <c r="I61" s="3565"/>
      <c r="J61" s="3565"/>
      <c r="K61" s="3565"/>
      <c r="L61" s="3566"/>
      <c r="M61" s="3567"/>
      <c r="N61" s="3568"/>
      <c r="O61" s="3568"/>
      <c r="P61" s="3720"/>
      <c r="Q61" s="3545"/>
    </row>
    <row r="62" spans="1:29" s="3380" customFormat="1" ht="15.75" thickBot="1">
      <c r="A62" s="3563"/>
      <c r="B62" s="3553"/>
      <c r="C62" s="3570">
        <v>100</v>
      </c>
      <c r="D62" s="3555"/>
      <c r="E62" s="3555"/>
      <c r="F62" s="3555"/>
      <c r="G62" s="3555"/>
      <c r="H62" s="3555"/>
      <c r="I62" s="3555"/>
      <c r="J62" s="3555"/>
      <c r="K62" s="3555"/>
      <c r="L62" s="3555"/>
      <c r="M62" s="3571"/>
      <c r="N62" s="3568"/>
      <c r="O62" s="3568"/>
      <c r="P62" s="3719"/>
      <c r="Q62" s="3545"/>
    </row>
    <row r="63" spans="1:29">
      <c r="A63" s="3572" t="s">
        <v>3325</v>
      </c>
      <c r="B63" s="3573" t="s">
        <v>3294</v>
      </c>
      <c r="C63" s="3574" t="str">
        <f>C9</f>
        <v>商业</v>
      </c>
      <c r="D63" s="3575"/>
      <c r="E63" s="3575"/>
      <c r="F63" s="3575"/>
      <c r="G63" s="3575"/>
      <c r="H63" s="3575"/>
      <c r="I63" s="3575"/>
      <c r="J63" s="3575"/>
      <c r="K63" s="3576"/>
      <c r="L63" s="3577"/>
      <c r="M63" s="3578"/>
      <c r="N63" s="3579"/>
      <c r="O63" s="3579"/>
      <c r="P63" s="3721"/>
      <c r="Q63" s="3545"/>
    </row>
    <row r="64" spans="1:29" ht="15.75" thickBot="1">
      <c r="A64" s="3581"/>
      <c r="B64" s="3582"/>
      <c r="C64" s="3583">
        <v>100</v>
      </c>
      <c r="D64" s="3583"/>
      <c r="E64" s="3583"/>
      <c r="F64" s="3583"/>
      <c r="G64" s="3583"/>
      <c r="H64" s="3583"/>
      <c r="I64" s="3583"/>
      <c r="J64" s="3583"/>
      <c r="K64" s="3583"/>
      <c r="L64" s="3583"/>
      <c r="M64" s="3584"/>
      <c r="N64" s="3585"/>
      <c r="O64" s="3585"/>
      <c r="P64" s="3721"/>
      <c r="Q64" s="3545"/>
    </row>
    <row r="65" spans="1:17" ht="27.75" thickTop="1">
      <c r="A65" s="3581"/>
      <c r="B65" s="3586" t="s">
        <v>3297</v>
      </c>
      <c r="C65" s="3587" t="s">
        <v>3326</v>
      </c>
      <c r="D65" s="3587" t="s">
        <v>3327</v>
      </c>
      <c r="E65" s="3587" t="s">
        <v>3328</v>
      </c>
      <c r="F65" s="3587" t="s">
        <v>3329</v>
      </c>
      <c r="G65" s="3587" t="s">
        <v>3330</v>
      </c>
      <c r="H65" s="3587" t="s">
        <v>3331</v>
      </c>
      <c r="I65" s="3587" t="s">
        <v>3332</v>
      </c>
      <c r="J65" s="3587"/>
      <c r="K65" s="3588"/>
      <c r="L65" s="3589"/>
      <c r="M65" s="3590"/>
      <c r="N65" s="3579"/>
      <c r="O65" s="3579"/>
      <c r="P65" s="3721"/>
      <c r="Q65" s="3545"/>
    </row>
    <row r="66" spans="1:17" ht="15.75" thickBot="1">
      <c r="A66" s="3581"/>
      <c r="B66" s="3591"/>
      <c r="C66" s="3592" t="s">
        <v>3333</v>
      </c>
      <c r="D66" s="3592" t="s">
        <v>3333</v>
      </c>
      <c r="E66" s="3592" t="s">
        <v>3333</v>
      </c>
      <c r="F66" s="3592">
        <v>100</v>
      </c>
      <c r="G66" s="3592">
        <f>F66-$K10</f>
        <v>99</v>
      </c>
      <c r="H66" s="3592">
        <f>G66-$K10</f>
        <v>98</v>
      </c>
      <c r="I66" s="3592">
        <f>H66-$K10</f>
        <v>97</v>
      </c>
      <c r="J66" s="3592"/>
      <c r="K66" s="3592"/>
      <c r="L66" s="3592"/>
      <c r="M66" s="3593"/>
      <c r="N66" s="3585"/>
      <c r="O66" s="3585"/>
      <c r="P66" s="3721"/>
      <c r="Q66" s="3545"/>
    </row>
    <row r="67" spans="1:17" ht="15.75" thickTop="1">
      <c r="A67" s="3581"/>
      <c r="B67" s="3594" t="s">
        <v>3299</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33" t="str">
        <f>M68&amp;"（含）"&amp;"-"&amp;P68</f>
        <v>（含）-</v>
      </c>
      <c r="N67" s="3585"/>
      <c r="O67" s="3585"/>
      <c r="P67" s="3721"/>
      <c r="Q67" s="3545"/>
    </row>
    <row r="68" spans="1:17" ht="15">
      <c r="A68" s="3581"/>
      <c r="B68" s="3596"/>
      <c r="C68" s="3597">
        <v>0</v>
      </c>
      <c r="D68" s="3597">
        <v>1</v>
      </c>
      <c r="E68" s="3597"/>
      <c r="F68" s="3597"/>
      <c r="G68" s="3597"/>
      <c r="H68" s="3597"/>
      <c r="I68" s="3597"/>
      <c r="J68" s="3597"/>
      <c r="K68" s="3598"/>
      <c r="L68" s="3599"/>
      <c r="M68" s="3600"/>
      <c r="N68" s="3579"/>
      <c r="O68" s="3579"/>
      <c r="P68" s="3721"/>
      <c r="Q68" s="3545"/>
    </row>
    <row r="69" spans="1:17" ht="15.75" thickBot="1">
      <c r="A69" s="3581"/>
      <c r="B69" s="3582"/>
      <c r="C69" s="3592">
        <v>100</v>
      </c>
      <c r="D69" s="3592">
        <f t="shared" ref="D69:M69" si="18">C69-$K11</f>
        <v>98</v>
      </c>
      <c r="E69" s="3592">
        <f t="shared" si="18"/>
        <v>96</v>
      </c>
      <c r="F69" s="3592">
        <f t="shared" si="18"/>
        <v>94</v>
      </c>
      <c r="G69" s="3592">
        <f t="shared" si="18"/>
        <v>92</v>
      </c>
      <c r="H69" s="3592">
        <f t="shared" si="18"/>
        <v>90</v>
      </c>
      <c r="I69" s="3592">
        <f t="shared" si="18"/>
        <v>88</v>
      </c>
      <c r="J69" s="3592">
        <f t="shared" si="18"/>
        <v>86</v>
      </c>
      <c r="K69" s="3592">
        <f t="shared" si="18"/>
        <v>84</v>
      </c>
      <c r="L69" s="3592">
        <f t="shared" si="18"/>
        <v>82</v>
      </c>
      <c r="M69" s="3593">
        <f t="shared" si="18"/>
        <v>80</v>
      </c>
      <c r="N69" s="3585"/>
      <c r="O69" s="3585"/>
      <c r="P69" s="3721"/>
      <c r="Q69" s="3545"/>
    </row>
    <row r="70" spans="1:17" s="3475" customFormat="1" ht="15.75" thickTop="1">
      <c r="A70" s="3601"/>
      <c r="B70" s="3586">
        <f>B12</f>
        <v>111</v>
      </c>
      <c r="C70" s="3602"/>
      <c r="D70" s="3602"/>
      <c r="E70" s="3602"/>
      <c r="F70" s="3602"/>
      <c r="G70" s="3602"/>
      <c r="H70" s="3603"/>
      <c r="I70" s="3603"/>
      <c r="J70" s="3603"/>
      <c r="K70" s="3603"/>
      <c r="L70" s="3604"/>
      <c r="M70" s="3605"/>
      <c r="N70" s="3606"/>
      <c r="O70" s="3606"/>
      <c r="P70" s="3722"/>
      <c r="Q70" s="3608"/>
    </row>
    <row r="71" spans="1:17" s="3475" customFormat="1" ht="15.75" thickBot="1">
      <c r="A71" s="3601"/>
      <c r="B71" s="3591"/>
      <c r="C71" s="3609"/>
      <c r="D71" s="3583"/>
      <c r="E71" s="3583"/>
      <c r="F71" s="3583"/>
      <c r="G71" s="3583"/>
      <c r="H71" s="3583"/>
      <c r="I71" s="3583"/>
      <c r="J71" s="3583"/>
      <c r="K71" s="3583"/>
      <c r="L71" s="3583"/>
      <c r="M71" s="3584"/>
      <c r="N71" s="3585"/>
      <c r="O71" s="3585"/>
      <c r="P71" s="3722"/>
      <c r="Q71" s="3608"/>
    </row>
    <row r="72" spans="1:17" s="3475" customFormat="1" ht="15.75" thickTop="1">
      <c r="A72" s="3601"/>
      <c r="B72" s="3586">
        <f>B13</f>
        <v>111</v>
      </c>
      <c r="C72" s="3602"/>
      <c r="D72" s="3602"/>
      <c r="E72" s="3602"/>
      <c r="F72" s="3602"/>
      <c r="G72" s="3602"/>
      <c r="H72" s="3603"/>
      <c r="I72" s="3603"/>
      <c r="J72" s="3603"/>
      <c r="K72" s="3603"/>
      <c r="L72" s="3604"/>
      <c r="M72" s="3605"/>
      <c r="N72" s="3606"/>
      <c r="O72" s="3606"/>
      <c r="P72" s="3723"/>
      <c r="Q72" s="3611"/>
    </row>
    <row r="73" spans="1:17" s="3475" customFormat="1" ht="15.75" thickBot="1">
      <c r="A73" s="3601"/>
      <c r="B73" s="3591"/>
      <c r="C73" s="3609"/>
      <c r="D73" s="3583"/>
      <c r="E73" s="3583"/>
      <c r="F73" s="3583"/>
      <c r="G73" s="3609"/>
      <c r="H73" s="3612"/>
      <c r="I73" s="3612"/>
      <c r="J73" s="3612"/>
      <c r="K73" s="3612"/>
      <c r="L73" s="3612"/>
      <c r="M73" s="3613"/>
      <c r="N73" s="3606"/>
      <c r="O73" s="3606"/>
      <c r="P73" s="3722"/>
      <c r="Q73" s="3608"/>
    </row>
    <row r="74" spans="1:17" s="3475" customFormat="1" ht="15.75" thickTop="1">
      <c r="A74" s="3601"/>
      <c r="B74" s="3594">
        <f>B14</f>
        <v>111</v>
      </c>
      <c r="C74" s="3602"/>
      <c r="D74" s="3602"/>
      <c r="E74" s="3602"/>
      <c r="F74" s="3602"/>
      <c r="G74" s="3565"/>
      <c r="H74" s="3614"/>
      <c r="I74" s="3614"/>
      <c r="J74" s="3614"/>
      <c r="K74" s="3614"/>
      <c r="L74" s="3615"/>
      <c r="M74" s="3616"/>
      <c r="N74" s="3606"/>
      <c r="O74" s="3606"/>
      <c r="P74" s="3724"/>
      <c r="Q74" s="3608"/>
    </row>
    <row r="75" spans="1:17" s="3475" customFormat="1" ht="15.75" thickBot="1">
      <c r="A75" s="3618"/>
      <c r="B75" s="3619"/>
      <c r="C75" s="3620"/>
      <c r="D75" s="3620"/>
      <c r="E75" s="3620"/>
      <c r="F75" s="3620"/>
      <c r="G75" s="3620"/>
      <c r="H75" s="3621"/>
      <c r="I75" s="3621"/>
      <c r="J75" s="3621"/>
      <c r="K75" s="3621"/>
      <c r="L75" s="3621"/>
      <c r="M75" s="3622"/>
      <c r="N75" s="3606"/>
      <c r="O75" s="3606"/>
      <c r="P75" s="3722"/>
      <c r="Q75" s="3608"/>
    </row>
    <row r="76" spans="1:17">
      <c r="A76" s="3572" t="s">
        <v>3334</v>
      </c>
      <c r="B76" s="3573" t="s">
        <v>3335</v>
      </c>
      <c r="C76" s="3623" t="s">
        <v>3336</v>
      </c>
      <c r="D76" s="3623" t="s">
        <v>3337</v>
      </c>
      <c r="E76" s="3623" t="s">
        <v>3338</v>
      </c>
      <c r="F76" s="3623" t="s">
        <v>3339</v>
      </c>
      <c r="G76" s="3623" t="s">
        <v>3340</v>
      </c>
      <c r="H76" s="3574"/>
      <c r="I76" s="3574"/>
      <c r="J76" s="3574"/>
      <c r="K76" s="3624"/>
      <c r="L76" s="3625"/>
      <c r="M76" s="3626"/>
      <c r="N76" s="3579"/>
      <c r="O76" s="3579"/>
      <c r="P76" s="3725"/>
      <c r="Q76" s="3545"/>
    </row>
    <row r="77" spans="1:17" ht="15.75" thickBot="1">
      <c r="A77" s="3581"/>
      <c r="B77" s="3591"/>
      <c r="C77" s="3592">
        <v>100</v>
      </c>
      <c r="D77" s="3592">
        <f>C77-$K15</f>
        <v>98</v>
      </c>
      <c r="E77" s="3592">
        <f>D77-$K15</f>
        <v>96</v>
      </c>
      <c r="F77" s="3592">
        <f>E77-$K15</f>
        <v>94</v>
      </c>
      <c r="G77" s="3592">
        <f>F77-$K15</f>
        <v>92</v>
      </c>
      <c r="H77" s="3592"/>
      <c r="I77" s="3592"/>
      <c r="J77" s="3592"/>
      <c r="K77" s="3592"/>
      <c r="L77" s="3592"/>
      <c r="M77" s="3593"/>
      <c r="N77" s="3585"/>
      <c r="O77" s="3585"/>
      <c r="P77" s="3721"/>
      <c r="Q77" s="3545"/>
    </row>
    <row r="78" spans="1:17" ht="15.75" thickTop="1">
      <c r="A78" s="3581"/>
      <c r="B78" s="3586" t="s">
        <v>3341</v>
      </c>
      <c r="C78" s="3628" t="s">
        <v>3336</v>
      </c>
      <c r="D78" s="3628" t="s">
        <v>3337</v>
      </c>
      <c r="E78" s="3628" t="s">
        <v>3338</v>
      </c>
      <c r="F78" s="3628" t="s">
        <v>3339</v>
      </c>
      <c r="G78" s="3628" t="s">
        <v>3340</v>
      </c>
      <c r="H78" s="3587"/>
      <c r="I78" s="3587"/>
      <c r="J78" s="3587"/>
      <c r="K78" s="3588"/>
      <c r="L78" s="3589"/>
      <c r="M78" s="3590"/>
      <c r="N78" s="3579"/>
      <c r="O78" s="3579"/>
      <c r="P78" s="3721"/>
      <c r="Q78" s="3545"/>
    </row>
    <row r="79" spans="1:17" ht="15.75" thickBot="1">
      <c r="A79" s="3581"/>
      <c r="B79" s="3591"/>
      <c r="C79" s="3592">
        <v>100</v>
      </c>
      <c r="D79" s="3592">
        <f>C79-$K17</f>
        <v>97</v>
      </c>
      <c r="E79" s="3592">
        <f>D79-$K17</f>
        <v>94</v>
      </c>
      <c r="F79" s="3592">
        <f>E79-$K17</f>
        <v>91</v>
      </c>
      <c r="G79" s="3592">
        <f>F79-$K17</f>
        <v>88</v>
      </c>
      <c r="H79" s="3592"/>
      <c r="I79" s="3592"/>
      <c r="J79" s="3592"/>
      <c r="K79" s="3592"/>
      <c r="L79" s="3592"/>
      <c r="M79" s="3593"/>
      <c r="N79" s="3585"/>
      <c r="O79" s="3585"/>
      <c r="P79" s="3721"/>
      <c r="Q79" s="3545"/>
    </row>
    <row r="80" spans="1:17" ht="15.75" thickTop="1">
      <c r="A80" s="3581"/>
      <c r="B80" s="3586" t="s">
        <v>3342</v>
      </c>
      <c r="C80" s="3628" t="s">
        <v>3336</v>
      </c>
      <c r="D80" s="3628" t="s">
        <v>3337</v>
      </c>
      <c r="E80" s="3628" t="s">
        <v>3338</v>
      </c>
      <c r="F80" s="3628" t="s">
        <v>3339</v>
      </c>
      <c r="G80" s="3628" t="s">
        <v>3340</v>
      </c>
      <c r="H80" s="3587"/>
      <c r="I80" s="3587"/>
      <c r="J80" s="3587"/>
      <c r="K80" s="3588"/>
      <c r="L80" s="3589"/>
      <c r="M80" s="3590"/>
      <c r="N80" s="3579"/>
      <c r="O80" s="3579"/>
      <c r="P80" s="3721"/>
      <c r="Q80" s="3545"/>
    </row>
    <row r="81" spans="1:17" ht="15.75" thickBot="1">
      <c r="A81" s="3581"/>
      <c r="B81" s="3591"/>
      <c r="C81" s="3592">
        <v>100</v>
      </c>
      <c r="D81" s="3592">
        <f>C81-$K19</f>
        <v>97</v>
      </c>
      <c r="E81" s="3592">
        <f>D81-$K19</f>
        <v>94</v>
      </c>
      <c r="F81" s="3592">
        <f>E81-$K19</f>
        <v>91</v>
      </c>
      <c r="G81" s="3592">
        <f>F81-$K19</f>
        <v>88</v>
      </c>
      <c r="H81" s="3592"/>
      <c r="I81" s="3592"/>
      <c r="J81" s="3592"/>
      <c r="K81" s="3592"/>
      <c r="L81" s="3592"/>
      <c r="M81" s="3593"/>
      <c r="N81" s="3585"/>
      <c r="O81" s="3585"/>
      <c r="P81" s="3721"/>
      <c r="Q81" s="3545"/>
    </row>
    <row r="82" spans="1:17" ht="15.75" thickTop="1">
      <c r="A82" s="3581"/>
      <c r="B82" s="3594" t="s">
        <v>3343</v>
      </c>
      <c r="C82" s="3629" t="s">
        <v>3344</v>
      </c>
      <c r="D82" s="3629" t="s">
        <v>3345</v>
      </c>
      <c r="E82" s="3629" t="s">
        <v>3346</v>
      </c>
      <c r="F82" s="3629" t="s">
        <v>3347</v>
      </c>
      <c r="G82" s="3629" t="s">
        <v>3348</v>
      </c>
      <c r="H82" s="3587"/>
      <c r="I82" s="3587"/>
      <c r="J82" s="3587"/>
      <c r="K82" s="3587"/>
      <c r="L82" s="3587"/>
      <c r="M82" s="3630"/>
      <c r="N82" s="3585"/>
      <c r="O82" s="3585"/>
      <c r="P82" s="3721"/>
      <c r="Q82" s="3545"/>
    </row>
    <row r="83" spans="1:17" ht="15.75" thickBot="1">
      <c r="A83" s="3581"/>
      <c r="B83" s="3594"/>
      <c r="C83" s="3592">
        <v>100</v>
      </c>
      <c r="D83" s="3592">
        <f>C83-$K21</f>
        <v>98</v>
      </c>
      <c r="E83" s="3592">
        <f t="shared" ref="E83:G83" si="19">D83-$K21</f>
        <v>96</v>
      </c>
      <c r="F83" s="3592">
        <f t="shared" si="19"/>
        <v>94</v>
      </c>
      <c r="G83" s="3592">
        <f t="shared" si="19"/>
        <v>92</v>
      </c>
      <c r="H83" s="3629"/>
      <c r="I83" s="3629"/>
      <c r="J83" s="3629"/>
      <c r="K83" s="3629"/>
      <c r="L83" s="3629"/>
      <c r="M83" s="3435"/>
      <c r="N83" s="3585"/>
      <c r="O83" s="3585"/>
      <c r="P83" s="3721"/>
      <c r="Q83" s="3545"/>
    </row>
    <row r="84" spans="1:17" ht="15.75" thickTop="1">
      <c r="A84" s="3581"/>
      <c r="B84" s="3586" t="s">
        <v>3349</v>
      </c>
      <c r="C84" s="3628" t="s">
        <v>3206</v>
      </c>
      <c r="D84" s="3628" t="s">
        <v>2601</v>
      </c>
      <c r="E84" s="3628" t="s">
        <v>2602</v>
      </c>
      <c r="F84" s="3628" t="s">
        <v>3210</v>
      </c>
      <c r="G84" s="3628" t="s">
        <v>3212</v>
      </c>
      <c r="H84" s="3587"/>
      <c r="I84" s="3587"/>
      <c r="J84" s="3587"/>
      <c r="K84" s="3588"/>
      <c r="L84" s="3589"/>
      <c r="M84" s="3590"/>
      <c r="N84" s="3579"/>
      <c r="O84" s="3579"/>
      <c r="P84" s="3721"/>
      <c r="Q84" s="3545"/>
    </row>
    <row r="85" spans="1:17" ht="15.75" thickBot="1">
      <c r="A85" s="3581"/>
      <c r="B85" s="3591"/>
      <c r="C85" s="3592">
        <v>100</v>
      </c>
      <c r="D85" s="3592">
        <f>C85-$K23</f>
        <v>97</v>
      </c>
      <c r="E85" s="3592">
        <f>D85-$K23</f>
        <v>94</v>
      </c>
      <c r="F85" s="3592">
        <f>E85-$K23</f>
        <v>91</v>
      </c>
      <c r="G85" s="3592">
        <f>F85-$K23</f>
        <v>88</v>
      </c>
      <c r="H85" s="3592"/>
      <c r="I85" s="3592"/>
      <c r="J85" s="3592"/>
      <c r="K85" s="3592"/>
      <c r="L85" s="3592"/>
      <c r="M85" s="3593"/>
      <c r="N85" s="3585"/>
      <c r="O85" s="3585"/>
      <c r="P85" s="3721"/>
      <c r="Q85" s="3545"/>
    </row>
    <row r="86" spans="1:17" s="3380" customFormat="1" ht="15.75" thickTop="1">
      <c r="A86" s="3631"/>
      <c r="B86" s="3586" t="s">
        <v>2683</v>
      </c>
      <c r="C86" s="3667" t="s">
        <v>3350</v>
      </c>
      <c r="D86" s="3667" t="s">
        <v>3351</v>
      </c>
      <c r="E86" s="3667" t="s">
        <v>3352</v>
      </c>
      <c r="F86" s="3667" t="s">
        <v>3353</v>
      </c>
      <c r="G86" s="3602"/>
      <c r="H86" s="3602"/>
      <c r="I86" s="3602"/>
      <c r="J86" s="3602"/>
      <c r="K86" s="3602"/>
      <c r="L86" s="3633"/>
      <c r="M86" s="3634"/>
      <c r="N86" s="3568"/>
      <c r="O86" s="3568"/>
      <c r="P86" s="3721"/>
      <c r="Q86" s="3545"/>
    </row>
    <row r="87" spans="1:17" s="3380" customFormat="1" ht="15.75" thickBot="1">
      <c r="A87" s="3631"/>
      <c r="B87" s="3591"/>
      <c r="C87" s="3635">
        <v>100</v>
      </c>
      <c r="D87" s="3592">
        <f t="shared" ref="D87:M87" si="20">C87-$K25</f>
        <v>97</v>
      </c>
      <c r="E87" s="3592">
        <f t="shared" si="20"/>
        <v>94</v>
      </c>
      <c r="F87" s="3592">
        <f t="shared" si="20"/>
        <v>91</v>
      </c>
      <c r="G87" s="3592">
        <f t="shared" si="20"/>
        <v>88</v>
      </c>
      <c r="H87" s="3592">
        <f t="shared" si="20"/>
        <v>85</v>
      </c>
      <c r="I87" s="3592">
        <f t="shared" si="20"/>
        <v>82</v>
      </c>
      <c r="J87" s="3592">
        <f t="shared" si="20"/>
        <v>79</v>
      </c>
      <c r="K87" s="3592">
        <f t="shared" si="20"/>
        <v>76</v>
      </c>
      <c r="L87" s="3592">
        <f t="shared" si="20"/>
        <v>73</v>
      </c>
      <c r="M87" s="3592">
        <f t="shared" si="20"/>
        <v>70</v>
      </c>
      <c r="N87" s="3585"/>
      <c r="O87" s="3585"/>
      <c r="P87" s="3721"/>
      <c r="Q87" s="3545"/>
    </row>
    <row r="88" spans="1:17" s="3380" customFormat="1" ht="15.75" thickTop="1">
      <c r="A88" s="3631"/>
      <c r="B88" s="3586" t="str">
        <f>B26</f>
        <v>平面位置/可视性</v>
      </c>
      <c r="C88" s="3667" t="s">
        <v>3354</v>
      </c>
      <c r="D88" s="3667" t="s">
        <v>3355</v>
      </c>
      <c r="E88" s="3667" t="s">
        <v>3356</v>
      </c>
      <c r="F88" s="3726" t="s">
        <v>3357</v>
      </c>
      <c r="G88" s="3667" t="s">
        <v>3358</v>
      </c>
      <c r="H88" s="3602"/>
      <c r="I88" s="3602"/>
      <c r="J88" s="3602"/>
      <c r="K88" s="3602"/>
      <c r="L88" s="3602"/>
      <c r="M88" s="3634"/>
      <c r="N88" s="3568"/>
      <c r="O88" s="3568"/>
      <c r="P88" s="3721"/>
      <c r="Q88" s="3545"/>
    </row>
    <row r="89" spans="1:17" s="3380" customFormat="1" ht="15.75" thickBot="1">
      <c r="A89" s="3631"/>
      <c r="B89" s="3591"/>
      <c r="C89" s="3609">
        <v>100</v>
      </c>
      <c r="D89" s="3583">
        <v>98</v>
      </c>
      <c r="E89" s="3583">
        <v>96</v>
      </c>
      <c r="F89" s="3583"/>
      <c r="G89" s="3583"/>
      <c r="H89" s="3583"/>
      <c r="I89" s="3583"/>
      <c r="J89" s="3583"/>
      <c r="K89" s="3583"/>
      <c r="L89" s="3583"/>
      <c r="M89" s="3583"/>
      <c r="N89" s="3585"/>
      <c r="O89" s="3585"/>
      <c r="P89" s="3721"/>
      <c r="Q89" s="3545"/>
    </row>
    <row r="90" spans="1:17" s="3475" customFormat="1" ht="15.75" thickTop="1">
      <c r="A90" s="3601"/>
      <c r="B90" s="3586" t="str">
        <f>B27</f>
        <v>人流量</v>
      </c>
      <c r="C90" s="3667" t="s">
        <v>3359</v>
      </c>
      <c r="D90" s="3667" t="s">
        <v>3360</v>
      </c>
      <c r="E90" s="3667" t="s">
        <v>3361</v>
      </c>
      <c r="F90" s="3667" t="s">
        <v>3362</v>
      </c>
      <c r="G90" s="3667" t="s">
        <v>3363</v>
      </c>
      <c r="H90" s="3603"/>
      <c r="I90" s="3603"/>
      <c r="J90" s="3603"/>
      <c r="K90" s="3603"/>
      <c r="L90" s="3604"/>
      <c r="M90" s="3605"/>
      <c r="N90" s="3606"/>
      <c r="O90" s="3606"/>
      <c r="P90" s="3722"/>
      <c r="Q90" s="3608"/>
    </row>
    <row r="91" spans="1:17" s="3475" customFormat="1" ht="15.75" thickBot="1">
      <c r="A91" s="3601"/>
      <c r="B91" s="3591"/>
      <c r="C91" s="3635">
        <v>100</v>
      </c>
      <c r="D91" s="3592">
        <f>C91-$K27</f>
        <v>97</v>
      </c>
      <c r="E91" s="3592">
        <f t="shared" ref="E91:M91" si="21">D91-$K27</f>
        <v>94</v>
      </c>
      <c r="F91" s="3592">
        <f t="shared" si="21"/>
        <v>91</v>
      </c>
      <c r="G91" s="3592">
        <f t="shared" si="21"/>
        <v>88</v>
      </c>
      <c r="H91" s="3592">
        <f t="shared" si="21"/>
        <v>85</v>
      </c>
      <c r="I91" s="3592">
        <f t="shared" si="21"/>
        <v>82</v>
      </c>
      <c r="J91" s="3592">
        <f t="shared" si="21"/>
        <v>79</v>
      </c>
      <c r="K91" s="3592">
        <f t="shared" si="21"/>
        <v>76</v>
      </c>
      <c r="L91" s="3592">
        <f t="shared" si="21"/>
        <v>73</v>
      </c>
      <c r="M91" s="3592">
        <f t="shared" si="21"/>
        <v>70</v>
      </c>
      <c r="N91" s="3606"/>
      <c r="O91" s="3606"/>
      <c r="P91" s="3722"/>
      <c r="Q91" s="3608"/>
    </row>
    <row r="92" spans="1:17" ht="15.75" thickTop="1">
      <c r="A92" s="3581"/>
      <c r="B92" s="3586" t="str">
        <f>B28</f>
        <v>楼层</v>
      </c>
      <c r="C92" s="3602" t="s">
        <v>3364</v>
      </c>
      <c r="D92" s="3602" t="s">
        <v>3365</v>
      </c>
      <c r="E92" s="3602" t="s">
        <v>3366</v>
      </c>
      <c r="F92" s="3602" t="s">
        <v>3367</v>
      </c>
      <c r="G92" s="3602"/>
      <c r="H92" s="3602"/>
      <c r="I92" s="3602"/>
      <c r="J92" s="3602"/>
      <c r="K92" s="3602"/>
      <c r="L92" s="3633"/>
      <c r="M92" s="3634"/>
      <c r="N92" s="3579"/>
      <c r="O92" s="3579"/>
      <c r="P92" s="3721"/>
      <c r="Q92" s="3545"/>
    </row>
    <row r="93" spans="1:17" ht="15.75" thickBot="1">
      <c r="A93" s="3581"/>
      <c r="B93" s="3591"/>
      <c r="C93" s="3583">
        <v>100</v>
      </c>
      <c r="D93" s="3583"/>
      <c r="E93" s="3583"/>
      <c r="F93" s="3583">
        <v>70</v>
      </c>
      <c r="G93" s="3583"/>
      <c r="H93" s="3583"/>
      <c r="I93" s="3583"/>
      <c r="J93" s="3583"/>
      <c r="K93" s="3583"/>
      <c r="L93" s="3583"/>
      <c r="M93" s="3584"/>
      <c r="N93" s="3585"/>
      <c r="O93" s="3585"/>
      <c r="P93" s="3721"/>
      <c r="Q93" s="3545"/>
    </row>
    <row r="94" spans="1:17" ht="15.75" thickTop="1">
      <c r="A94" s="3581"/>
      <c r="B94" s="3586">
        <f>B29</f>
        <v>111</v>
      </c>
      <c r="C94" s="3602"/>
      <c r="D94" s="3602"/>
      <c r="E94" s="3602"/>
      <c r="F94" s="3602"/>
      <c r="G94" s="3636"/>
      <c r="H94" s="3636"/>
      <c r="I94" s="3636"/>
      <c r="J94" s="3636"/>
      <c r="K94" s="3637"/>
      <c r="L94" s="3638"/>
      <c r="M94" s="3639"/>
      <c r="N94" s="3579"/>
      <c r="O94" s="3579"/>
      <c r="P94" s="3721"/>
      <c r="Q94" s="3545"/>
    </row>
    <row r="95" spans="1:17" ht="15.75" thickBot="1">
      <c r="A95" s="3581"/>
      <c r="B95" s="3591"/>
      <c r="C95" s="3609"/>
      <c r="D95" s="3583"/>
      <c r="E95" s="3583"/>
      <c r="F95" s="3583"/>
      <c r="G95" s="3583"/>
      <c r="H95" s="3583"/>
      <c r="I95" s="3583"/>
      <c r="J95" s="3583"/>
      <c r="K95" s="3583"/>
      <c r="L95" s="3583"/>
      <c r="M95" s="3584"/>
      <c r="N95" s="3585"/>
      <c r="O95" s="3585"/>
      <c r="P95" s="3721"/>
      <c r="Q95" s="3545"/>
    </row>
    <row r="96" spans="1:17" ht="15.75" thickTop="1">
      <c r="A96" s="3581"/>
      <c r="B96" s="3586">
        <f>B30</f>
        <v>111</v>
      </c>
      <c r="C96" s="3602"/>
      <c r="D96" s="3602"/>
      <c r="E96" s="3602"/>
      <c r="F96" s="3602"/>
      <c r="G96" s="3636"/>
      <c r="H96" s="3636"/>
      <c r="I96" s="3636"/>
      <c r="J96" s="3636"/>
      <c r="K96" s="3637"/>
      <c r="L96" s="3638"/>
      <c r="M96" s="3639"/>
      <c r="N96" s="3579"/>
      <c r="O96" s="3579"/>
      <c r="P96" s="3721"/>
      <c r="Q96" s="3545"/>
    </row>
    <row r="97" spans="1:17" ht="15.75" thickBot="1">
      <c r="A97" s="3581"/>
      <c r="B97" s="3591"/>
      <c r="C97" s="3609"/>
      <c r="D97" s="3583"/>
      <c r="E97" s="3583"/>
      <c r="F97" s="3583"/>
      <c r="G97" s="3583"/>
      <c r="H97" s="3583"/>
      <c r="I97" s="3583"/>
      <c r="J97" s="3583"/>
      <c r="K97" s="3583"/>
      <c r="L97" s="3583"/>
      <c r="M97" s="3584"/>
      <c r="N97" s="3585"/>
      <c r="O97" s="3585"/>
      <c r="P97" s="3721"/>
      <c r="Q97" s="3545"/>
    </row>
    <row r="98" spans="1:17" ht="15.75" thickTop="1">
      <c r="A98" s="3581"/>
      <c r="B98" s="3594">
        <f>B31</f>
        <v>111</v>
      </c>
      <c r="C98" s="3602"/>
      <c r="D98" s="3602"/>
      <c r="E98" s="3602"/>
      <c r="F98" s="3602"/>
      <c r="G98" s="3640"/>
      <c r="H98" s="3640"/>
      <c r="I98" s="3640"/>
      <c r="J98" s="3640"/>
      <c r="K98" s="3641"/>
      <c r="L98" s="3642"/>
      <c r="M98" s="3643"/>
      <c r="N98" s="3579"/>
      <c r="O98" s="3579"/>
      <c r="P98" s="3721"/>
      <c r="Q98" s="3545"/>
    </row>
    <row r="99" spans="1:17" ht="15.75" thickBot="1">
      <c r="A99" s="3644"/>
      <c r="B99" s="3619"/>
      <c r="C99" s="3620"/>
      <c r="D99" s="3620"/>
      <c r="E99" s="3620"/>
      <c r="F99" s="3620"/>
      <c r="G99" s="3645"/>
      <c r="H99" s="3645"/>
      <c r="I99" s="3645"/>
      <c r="J99" s="3645"/>
      <c r="K99" s="3645"/>
      <c r="L99" s="3645"/>
      <c r="M99" s="3646"/>
      <c r="N99" s="3585"/>
      <c r="O99" s="3585"/>
      <c r="P99" s="3721"/>
      <c r="Q99" s="3545"/>
    </row>
    <row r="100" spans="1:17">
      <c r="A100" s="3572" t="s">
        <v>3154</v>
      </c>
      <c r="B100" s="3573" t="s">
        <v>3311</v>
      </c>
      <c r="C100" s="3727" t="s">
        <v>3368</v>
      </c>
      <c r="D100" s="3727" t="s">
        <v>3369</v>
      </c>
      <c r="E100" s="3727" t="s">
        <v>3370</v>
      </c>
      <c r="F100" s="3727" t="s">
        <v>3371</v>
      </c>
      <c r="G100" s="3727" t="s">
        <v>3372</v>
      </c>
      <c r="H100" s="3727"/>
      <c r="I100" s="3575"/>
      <c r="J100" s="3575"/>
      <c r="K100" s="3576"/>
      <c r="L100" s="3577"/>
      <c r="M100" s="3578"/>
      <c r="N100" s="3579"/>
      <c r="O100" s="3579"/>
      <c r="P100" s="3721"/>
      <c r="Q100" s="3545"/>
    </row>
    <row r="101" spans="1:17" ht="15.75" thickBot="1">
      <c r="A101" s="3581"/>
      <c r="B101" s="3591"/>
      <c r="C101" s="3592">
        <v>100</v>
      </c>
      <c r="D101" s="3592">
        <f t="shared" ref="D101:M101" si="22">C101-$K32</f>
        <v>98</v>
      </c>
      <c r="E101" s="3592">
        <f t="shared" si="22"/>
        <v>96</v>
      </c>
      <c r="F101" s="3592">
        <f t="shared" si="22"/>
        <v>94</v>
      </c>
      <c r="G101" s="3592">
        <f t="shared" si="22"/>
        <v>92</v>
      </c>
      <c r="H101" s="3592">
        <f t="shared" si="22"/>
        <v>90</v>
      </c>
      <c r="I101" s="3592">
        <f t="shared" si="22"/>
        <v>88</v>
      </c>
      <c r="J101" s="3592">
        <f t="shared" si="22"/>
        <v>86</v>
      </c>
      <c r="K101" s="3592">
        <f t="shared" si="22"/>
        <v>84</v>
      </c>
      <c r="L101" s="3592">
        <f t="shared" si="22"/>
        <v>82</v>
      </c>
      <c r="M101" s="3593">
        <f t="shared" si="22"/>
        <v>80</v>
      </c>
      <c r="N101" s="3585"/>
      <c r="O101" s="3585"/>
      <c r="P101" s="3721"/>
      <c r="Q101" s="3545"/>
    </row>
    <row r="102" spans="1:17" ht="29.25" thickTop="1">
      <c r="A102" s="3581"/>
      <c r="B102" s="3586" t="s">
        <v>3238</v>
      </c>
      <c r="C102" s="3628" t="str">
        <f>C103&amp;"(含)"&amp;"-"&amp;D103</f>
        <v>0(含)-100</v>
      </c>
      <c r="D102" s="3628" t="str">
        <f t="shared" ref="D102:L102" si="23">D103&amp;"(含)"&amp;"-"&amp;E103</f>
        <v>100(含)-200</v>
      </c>
      <c r="E102" s="3628" t="str">
        <f t="shared" si="23"/>
        <v>200(含)-500</v>
      </c>
      <c r="F102" s="3628" t="str">
        <f t="shared" si="23"/>
        <v>500(含)-1000</v>
      </c>
      <c r="G102" s="3628" t="str">
        <f t="shared" si="23"/>
        <v>1000(含)-5000</v>
      </c>
      <c r="H102" s="3628" t="str">
        <f t="shared" si="23"/>
        <v>5000(含)-10000</v>
      </c>
      <c r="I102" s="3628" t="str">
        <f t="shared" si="23"/>
        <v>10000(含)-20000</v>
      </c>
      <c r="J102" s="3628" t="str">
        <f t="shared" si="23"/>
        <v>20000(含)-</v>
      </c>
      <c r="K102" s="3628" t="str">
        <f t="shared" si="23"/>
        <v>(含)-</v>
      </c>
      <c r="L102" s="3628" t="str">
        <f t="shared" si="23"/>
        <v>(含)-</v>
      </c>
      <c r="M102" s="3648" t="str">
        <f>M103&amp;"(含)"&amp;"-"&amp;P103</f>
        <v>(含)-</v>
      </c>
      <c r="N102" s="3568"/>
      <c r="O102" s="3568"/>
      <c r="P102" s="3721"/>
      <c r="Q102" s="3545"/>
    </row>
    <row r="103" spans="1:17" s="3475" customFormat="1">
      <c r="A103" s="3649"/>
      <c r="B103" s="3650"/>
      <c r="C103" s="3651">
        <v>0</v>
      </c>
      <c r="D103" s="3651">
        <v>100</v>
      </c>
      <c r="E103" s="3651">
        <v>200</v>
      </c>
      <c r="F103" s="3651">
        <v>500</v>
      </c>
      <c r="G103" s="3651">
        <v>1000</v>
      </c>
      <c r="H103" s="3651">
        <v>5000</v>
      </c>
      <c r="I103" s="3651">
        <v>10000</v>
      </c>
      <c r="J103" s="3652">
        <v>20000</v>
      </c>
      <c r="K103" s="3652"/>
      <c r="L103" s="3653"/>
      <c r="M103" s="3654"/>
      <c r="N103" s="3606"/>
      <c r="O103" s="3606"/>
      <c r="P103" s="3722"/>
      <c r="Q103" s="3608"/>
    </row>
    <row r="104" spans="1:17" s="3475" customFormat="1" ht="15.75" thickBot="1">
      <c r="A104" s="3601"/>
      <c r="B104" s="3591"/>
      <c r="C104" s="3609">
        <v>100</v>
      </c>
      <c r="D104" s="3583">
        <v>98</v>
      </c>
      <c r="E104" s="3583">
        <v>96</v>
      </c>
      <c r="F104" s="3583">
        <v>94</v>
      </c>
      <c r="G104" s="3583">
        <v>92</v>
      </c>
      <c r="H104" s="3583">
        <v>90</v>
      </c>
      <c r="I104" s="3583">
        <v>88</v>
      </c>
      <c r="J104" s="3583">
        <v>86</v>
      </c>
      <c r="K104" s="3583"/>
      <c r="L104" s="3583"/>
      <c r="M104" s="3584"/>
      <c r="N104" s="3585"/>
      <c r="O104" s="3585"/>
      <c r="P104" s="3722"/>
      <c r="Q104" s="3608"/>
    </row>
    <row r="105" spans="1:17" ht="15" thickTop="1">
      <c r="A105" s="3655"/>
      <c r="B105" s="3586" t="s">
        <v>3373</v>
      </c>
      <c r="C105" s="3667" t="s">
        <v>3374</v>
      </c>
      <c r="D105" s="3602"/>
      <c r="E105" s="3636"/>
      <c r="F105" s="3636"/>
      <c r="G105" s="3636"/>
      <c r="H105" s="3636"/>
      <c r="I105" s="3636"/>
      <c r="J105" s="3636"/>
      <c r="K105" s="3637"/>
      <c r="L105" s="3638"/>
      <c r="M105" s="3639"/>
      <c r="N105" s="3579"/>
      <c r="O105" s="3579"/>
      <c r="P105" s="3721"/>
      <c r="Q105" s="3545"/>
    </row>
    <row r="106" spans="1:17" ht="15.75" thickBot="1">
      <c r="A106" s="3581"/>
      <c r="B106" s="3591"/>
      <c r="C106" s="3592">
        <v>100</v>
      </c>
      <c r="D106" s="3592">
        <f t="shared" ref="D106:M106" si="24">C106-$K34</f>
        <v>98</v>
      </c>
      <c r="E106" s="3592">
        <f t="shared" si="24"/>
        <v>96</v>
      </c>
      <c r="F106" s="3592">
        <f t="shared" si="24"/>
        <v>94</v>
      </c>
      <c r="G106" s="3592">
        <f t="shared" si="24"/>
        <v>92</v>
      </c>
      <c r="H106" s="3592">
        <f t="shared" si="24"/>
        <v>90</v>
      </c>
      <c r="I106" s="3592">
        <f t="shared" si="24"/>
        <v>88</v>
      </c>
      <c r="J106" s="3592">
        <f t="shared" si="24"/>
        <v>86</v>
      </c>
      <c r="K106" s="3592">
        <f t="shared" si="24"/>
        <v>84</v>
      </c>
      <c r="L106" s="3592">
        <f t="shared" si="24"/>
        <v>82</v>
      </c>
      <c r="M106" s="3593">
        <f t="shared" si="24"/>
        <v>80</v>
      </c>
      <c r="N106" s="3585"/>
      <c r="O106" s="3585"/>
      <c r="P106" s="3721"/>
      <c r="Q106" s="3545"/>
    </row>
    <row r="107" spans="1:17" ht="15" thickTop="1">
      <c r="A107" s="3655"/>
      <c r="B107" s="3586" t="s">
        <v>3375</v>
      </c>
      <c r="C107" s="3667" t="s">
        <v>3376</v>
      </c>
      <c r="D107" s="3667" t="s">
        <v>3377</v>
      </c>
      <c r="E107" s="3667" t="s">
        <v>3378</v>
      </c>
      <c r="F107" s="3728" t="s">
        <v>3379</v>
      </c>
      <c r="G107" s="3636"/>
      <c r="H107" s="3636"/>
      <c r="I107" s="3636"/>
      <c r="J107" s="3636"/>
      <c r="K107" s="3637"/>
      <c r="L107" s="3638"/>
      <c r="M107" s="3639"/>
      <c r="N107" s="3579"/>
      <c r="O107" s="3579"/>
      <c r="P107" s="3721"/>
      <c r="Q107" s="3545"/>
    </row>
    <row r="108" spans="1:17" ht="15.75" thickBot="1">
      <c r="A108" s="3581"/>
      <c r="B108" s="3591"/>
      <c r="C108" s="3592">
        <v>100</v>
      </c>
      <c r="D108" s="3592">
        <f t="shared" ref="D108:M108" si="25">C108-$K35</f>
        <v>97</v>
      </c>
      <c r="E108" s="3592">
        <f t="shared" si="25"/>
        <v>94</v>
      </c>
      <c r="F108" s="3592">
        <f t="shared" si="25"/>
        <v>91</v>
      </c>
      <c r="G108" s="3592">
        <f t="shared" si="25"/>
        <v>88</v>
      </c>
      <c r="H108" s="3592">
        <f t="shared" si="25"/>
        <v>85</v>
      </c>
      <c r="I108" s="3592">
        <f t="shared" si="25"/>
        <v>82</v>
      </c>
      <c r="J108" s="3592">
        <f t="shared" si="25"/>
        <v>79</v>
      </c>
      <c r="K108" s="3592">
        <f t="shared" si="25"/>
        <v>76</v>
      </c>
      <c r="L108" s="3592">
        <f t="shared" si="25"/>
        <v>73</v>
      </c>
      <c r="M108" s="3593">
        <f t="shared" si="25"/>
        <v>70</v>
      </c>
      <c r="N108" s="3585"/>
      <c r="O108" s="3585"/>
      <c r="P108" s="3721"/>
      <c r="Q108" s="3545"/>
    </row>
    <row r="109" spans="1:17" ht="15" thickTop="1">
      <c r="A109" s="3655"/>
      <c r="B109" s="3586" t="s">
        <v>3380</v>
      </c>
      <c r="C109" s="3628" t="str">
        <f>C110&amp;"(含)"&amp;"-"&amp;D110</f>
        <v>0.5(含)-0.6</v>
      </c>
      <c r="D109" s="3628" t="str">
        <f>D110&amp;"(含)"&amp;"-"&amp;E110</f>
        <v>0.6(含)-0.7</v>
      </c>
      <c r="E109" s="3628" t="str">
        <f>E110&amp;"(含)"&amp;"-"&amp;F110</f>
        <v>0.7(含)-0.8</v>
      </c>
      <c r="F109" s="3628" t="str">
        <f>F110&amp;"(含)"&amp;"-"&amp;G110</f>
        <v>0.8(含)-0.9</v>
      </c>
      <c r="G109" s="3628" t="str">
        <f>G110&amp;"(含)"&amp;"-"&amp;ROUND(H110,0)&amp;"(含)"</f>
        <v>0.9(含)-1(含)</v>
      </c>
      <c r="H109" s="3628"/>
      <c r="I109" s="3636"/>
      <c r="J109" s="3636"/>
      <c r="K109" s="3637"/>
      <c r="L109" s="3638"/>
      <c r="M109" s="3639"/>
      <c r="N109" s="3579"/>
      <c r="O109" s="3579"/>
      <c r="P109" s="3721"/>
      <c r="Q109" s="3545"/>
    </row>
    <row r="110" spans="1:17">
      <c r="A110" s="3655"/>
      <c r="B110" s="3594"/>
      <c r="C110" s="3657">
        <v>0.5</v>
      </c>
      <c r="D110" s="3657">
        <v>0.6</v>
      </c>
      <c r="E110" s="3657">
        <v>0.7</v>
      </c>
      <c r="F110" s="3657">
        <v>0.8</v>
      </c>
      <c r="G110" s="3657">
        <v>0.9</v>
      </c>
      <c r="H110" s="3657">
        <v>1.0001</v>
      </c>
      <c r="I110" s="3658"/>
      <c r="J110" s="3658"/>
      <c r="K110" s="3659"/>
      <c r="L110" s="3660"/>
      <c r="M110" s="3661"/>
      <c r="N110" s="3579"/>
      <c r="O110" s="3579"/>
      <c r="P110" s="3721"/>
      <c r="Q110" s="3545"/>
    </row>
    <row r="111" spans="1:17" ht="15.75" thickBot="1">
      <c r="A111" s="3581"/>
      <c r="B111" s="3591"/>
      <c r="C111" s="3635">
        <v>100</v>
      </c>
      <c r="D111" s="3592">
        <f>C111+$K36</f>
        <v>102</v>
      </c>
      <c r="E111" s="3592">
        <f t="shared" ref="E111:M111" si="26">D111+$K36</f>
        <v>104</v>
      </c>
      <c r="F111" s="3592">
        <f t="shared" si="26"/>
        <v>106</v>
      </c>
      <c r="G111" s="3592">
        <f t="shared" si="26"/>
        <v>108</v>
      </c>
      <c r="H111" s="3592">
        <f t="shared" si="26"/>
        <v>110</v>
      </c>
      <c r="I111" s="3592">
        <f t="shared" si="26"/>
        <v>112</v>
      </c>
      <c r="J111" s="3592">
        <f t="shared" si="26"/>
        <v>114</v>
      </c>
      <c r="K111" s="3592">
        <f t="shared" si="26"/>
        <v>116</v>
      </c>
      <c r="L111" s="3592">
        <f t="shared" si="26"/>
        <v>118</v>
      </c>
      <c r="M111" s="3592">
        <f t="shared" si="26"/>
        <v>120</v>
      </c>
      <c r="N111" s="3585"/>
      <c r="O111" s="3585"/>
      <c r="P111" s="3721"/>
      <c r="Q111" s="3545"/>
    </row>
    <row r="112" spans="1:17" s="3475" customFormat="1" ht="15" thickTop="1">
      <c r="A112" s="3649"/>
      <c r="B112" s="3586" t="s">
        <v>3381</v>
      </c>
      <c r="C112" s="3667" t="s">
        <v>3382</v>
      </c>
      <c r="D112" s="3602"/>
      <c r="E112" s="3602"/>
      <c r="F112" s="3602"/>
      <c r="G112" s="3602"/>
      <c r="H112" s="3636"/>
      <c r="I112" s="3636"/>
      <c r="J112" s="3636"/>
      <c r="K112" s="3637"/>
      <c r="L112" s="3638"/>
      <c r="M112" s="3639"/>
      <c r="N112" s="3606"/>
      <c r="O112" s="3606"/>
      <c r="P112" s="3722"/>
      <c r="Q112" s="3608"/>
    </row>
    <row r="113" spans="1:17" s="3475" customFormat="1" ht="15.75" thickBot="1">
      <c r="A113" s="3601"/>
      <c r="B113" s="3591"/>
      <c r="C113" s="3592">
        <v>100</v>
      </c>
      <c r="D113" s="3592">
        <f>C113-$K37</f>
        <v>98</v>
      </c>
      <c r="E113" s="3592">
        <f t="shared" ref="E113:M113" si="27">D113-$K37</f>
        <v>96</v>
      </c>
      <c r="F113" s="3592">
        <f t="shared" si="27"/>
        <v>94</v>
      </c>
      <c r="G113" s="3592">
        <f t="shared" si="27"/>
        <v>92</v>
      </c>
      <c r="H113" s="3592">
        <f t="shared" si="27"/>
        <v>90</v>
      </c>
      <c r="I113" s="3592">
        <f t="shared" si="27"/>
        <v>88</v>
      </c>
      <c r="J113" s="3592">
        <f t="shared" si="27"/>
        <v>86</v>
      </c>
      <c r="K113" s="3592">
        <f t="shared" si="27"/>
        <v>84</v>
      </c>
      <c r="L113" s="3592">
        <f t="shared" si="27"/>
        <v>82</v>
      </c>
      <c r="M113" s="3592">
        <f t="shared" si="27"/>
        <v>80</v>
      </c>
      <c r="N113" s="3606"/>
      <c r="O113" s="3606"/>
      <c r="P113" s="3722"/>
      <c r="Q113" s="3608"/>
    </row>
    <row r="114" spans="1:17" ht="15" thickTop="1">
      <c r="A114" s="3655"/>
      <c r="B114" s="3586" t="s">
        <v>3383</v>
      </c>
      <c r="C114" s="3667" t="s">
        <v>3384</v>
      </c>
      <c r="D114" s="3667" t="s">
        <v>3385</v>
      </c>
      <c r="E114" s="3636"/>
      <c r="F114" s="3636"/>
      <c r="G114" s="3636"/>
      <c r="H114" s="3636"/>
      <c r="I114" s="3636"/>
      <c r="J114" s="3636"/>
      <c r="K114" s="3637"/>
      <c r="L114" s="3638"/>
      <c r="M114" s="3639"/>
      <c r="N114" s="3579"/>
      <c r="O114" s="3579"/>
      <c r="P114" s="3721"/>
      <c r="Q114" s="3545"/>
    </row>
    <row r="115" spans="1:17" ht="15.75" thickBot="1">
      <c r="A115" s="3581"/>
      <c r="B115" s="3591"/>
      <c r="C115" s="3592">
        <v>100</v>
      </c>
      <c r="D115" s="3592">
        <f t="shared" ref="D115:M115" si="28">C115-$K38</f>
        <v>97</v>
      </c>
      <c r="E115" s="3592">
        <f t="shared" si="28"/>
        <v>94</v>
      </c>
      <c r="F115" s="3592">
        <f t="shared" si="28"/>
        <v>91</v>
      </c>
      <c r="G115" s="3592">
        <f t="shared" si="28"/>
        <v>88</v>
      </c>
      <c r="H115" s="3592">
        <f t="shared" si="28"/>
        <v>85</v>
      </c>
      <c r="I115" s="3592">
        <f t="shared" si="28"/>
        <v>82</v>
      </c>
      <c r="J115" s="3592">
        <f t="shared" si="28"/>
        <v>79</v>
      </c>
      <c r="K115" s="3592">
        <f t="shared" si="28"/>
        <v>76</v>
      </c>
      <c r="L115" s="3592">
        <f t="shared" si="28"/>
        <v>73</v>
      </c>
      <c r="M115" s="3593">
        <f t="shared" si="28"/>
        <v>70</v>
      </c>
      <c r="N115" s="3585"/>
      <c r="O115" s="3585"/>
      <c r="P115" s="3721"/>
      <c r="Q115" s="3545"/>
    </row>
    <row r="116" spans="1:17" ht="15" thickTop="1">
      <c r="A116" s="3655"/>
      <c r="B116" s="3586" t="s">
        <v>3386</v>
      </c>
      <c r="C116" s="3667" t="s">
        <v>3387</v>
      </c>
      <c r="D116" s="3667" t="s">
        <v>3388</v>
      </c>
      <c r="E116" s="3667" t="s">
        <v>3389</v>
      </c>
      <c r="F116" s="3602"/>
      <c r="G116" s="3602"/>
      <c r="H116" s="3636"/>
      <c r="I116" s="3636"/>
      <c r="J116" s="3636"/>
      <c r="K116" s="3637"/>
      <c r="L116" s="3638"/>
      <c r="M116" s="3639"/>
      <c r="N116" s="3579"/>
      <c r="O116" s="3579"/>
      <c r="P116" s="3721"/>
      <c r="Q116" s="3545"/>
    </row>
    <row r="117" spans="1:17" ht="15.75" thickBot="1">
      <c r="A117" s="3581"/>
      <c r="B117" s="3591"/>
      <c r="C117" s="3592">
        <v>100</v>
      </c>
      <c r="D117" s="3592">
        <f>C117-$K39</f>
        <v>97</v>
      </c>
      <c r="E117" s="3592">
        <f>D117-$K39</f>
        <v>94</v>
      </c>
      <c r="F117" s="3592">
        <f>E117-$K39</f>
        <v>91</v>
      </c>
      <c r="G117" s="3592">
        <f>F117-$K39</f>
        <v>88</v>
      </c>
      <c r="H117" s="3592"/>
      <c r="I117" s="3592"/>
      <c r="J117" s="3592"/>
      <c r="K117" s="3592"/>
      <c r="L117" s="3592"/>
      <c r="M117" s="3593"/>
      <c r="N117" s="3585"/>
      <c r="O117" s="3585"/>
      <c r="P117" s="3721"/>
      <c r="Q117" s="3545"/>
    </row>
    <row r="118" spans="1:17" ht="15" thickTop="1">
      <c r="A118" s="3655"/>
      <c r="B118" s="3586" t="s">
        <v>3390</v>
      </c>
      <c r="C118" s="3729"/>
      <c r="D118" s="3729"/>
      <c r="E118" s="3729"/>
      <c r="F118" s="3729"/>
      <c r="G118" s="3729"/>
      <c r="H118" s="3603"/>
      <c r="I118" s="3603"/>
      <c r="J118" s="3603"/>
      <c r="K118" s="3603"/>
      <c r="L118" s="3604"/>
      <c r="M118" s="3605"/>
      <c r="N118" s="3579"/>
      <c r="O118" s="3579"/>
      <c r="P118" s="3721"/>
      <c r="Q118" s="3545"/>
    </row>
    <row r="119" spans="1:17" ht="15.75" thickBot="1">
      <c r="A119" s="3581"/>
      <c r="B119" s="3591"/>
      <c r="C119" s="3609"/>
      <c r="D119" s="3583"/>
      <c r="E119" s="3583"/>
      <c r="F119" s="3583"/>
      <c r="G119" s="3583"/>
      <c r="H119" s="3583"/>
      <c r="I119" s="3583"/>
      <c r="J119" s="3583"/>
      <c r="K119" s="3583"/>
      <c r="L119" s="3583"/>
      <c r="M119" s="3584"/>
      <c r="N119" s="3585"/>
      <c r="O119" s="3585"/>
      <c r="P119" s="3721"/>
      <c r="Q119" s="3545"/>
    </row>
    <row r="120" spans="1:17" s="3475" customFormat="1" ht="15" thickTop="1">
      <c r="A120" s="3649"/>
      <c r="B120" s="3586" t="s">
        <v>3391</v>
      </c>
      <c r="C120" s="3636"/>
      <c r="D120" s="3636"/>
      <c r="E120" s="3636"/>
      <c r="F120" s="3636"/>
      <c r="G120" s="3603"/>
      <c r="H120" s="3603"/>
      <c r="I120" s="3603"/>
      <c r="J120" s="3603"/>
      <c r="K120" s="3603"/>
      <c r="L120" s="3604"/>
      <c r="M120" s="3605"/>
      <c r="N120" s="3606"/>
      <c r="O120" s="3606"/>
      <c r="P120" s="3722"/>
      <c r="Q120" s="3608"/>
    </row>
    <row r="121" spans="1:17" s="3475" customFormat="1" ht="15.75" thickBot="1">
      <c r="A121" s="3601"/>
      <c r="B121" s="3582"/>
      <c r="C121" s="3635">
        <v>100</v>
      </c>
      <c r="D121" s="3592">
        <f>C121-$K41</f>
        <v>97</v>
      </c>
      <c r="E121" s="3592">
        <f t="shared" ref="E121:M121" si="29">D121-$K41</f>
        <v>94</v>
      </c>
      <c r="F121" s="3592">
        <f t="shared" si="29"/>
        <v>91</v>
      </c>
      <c r="G121" s="3592">
        <f t="shared" si="29"/>
        <v>88</v>
      </c>
      <c r="H121" s="3592">
        <f t="shared" si="29"/>
        <v>85</v>
      </c>
      <c r="I121" s="3592">
        <f t="shared" si="29"/>
        <v>82</v>
      </c>
      <c r="J121" s="3592">
        <f t="shared" si="29"/>
        <v>79</v>
      </c>
      <c r="K121" s="3592">
        <f t="shared" si="29"/>
        <v>76</v>
      </c>
      <c r="L121" s="3592">
        <f t="shared" si="29"/>
        <v>73</v>
      </c>
      <c r="M121" s="3593">
        <f t="shared" si="29"/>
        <v>70</v>
      </c>
      <c r="N121" s="3606"/>
      <c r="O121" s="3606"/>
      <c r="P121" s="3722"/>
      <c r="Q121" s="3608"/>
    </row>
    <row r="122" spans="1:17" ht="15" thickTop="1">
      <c r="A122" s="3655"/>
      <c r="B122" s="3586" t="s">
        <v>3392</v>
      </c>
      <c r="C122" s="3667" t="s">
        <v>3376</v>
      </c>
      <c r="D122" s="3667" t="s">
        <v>3377</v>
      </c>
      <c r="E122" s="3667" t="s">
        <v>3378</v>
      </c>
      <c r="F122" s="3728" t="s">
        <v>3379</v>
      </c>
      <c r="G122" s="3636"/>
      <c r="H122" s="3636"/>
      <c r="I122" s="3636"/>
      <c r="J122" s="3636"/>
      <c r="K122" s="3637"/>
      <c r="L122" s="3638"/>
      <c r="M122" s="3639"/>
      <c r="N122" s="3579"/>
      <c r="O122" s="3579"/>
      <c r="P122" s="3721"/>
      <c r="Q122" s="3545"/>
    </row>
    <row r="123" spans="1:17" ht="15.75" thickBot="1">
      <c r="A123" s="3581"/>
      <c r="B123" s="3591"/>
      <c r="C123" s="3592">
        <v>100</v>
      </c>
      <c r="D123" s="3592">
        <f t="shared" ref="D123:M123" si="30">C123-$K42</f>
        <v>99</v>
      </c>
      <c r="E123" s="3592">
        <f t="shared" si="30"/>
        <v>98</v>
      </c>
      <c r="F123" s="3592">
        <f t="shared" si="30"/>
        <v>97</v>
      </c>
      <c r="G123" s="3592">
        <f t="shared" si="30"/>
        <v>96</v>
      </c>
      <c r="H123" s="3592">
        <f t="shared" si="30"/>
        <v>95</v>
      </c>
      <c r="I123" s="3592">
        <f t="shared" si="30"/>
        <v>94</v>
      </c>
      <c r="J123" s="3592">
        <f t="shared" si="30"/>
        <v>93</v>
      </c>
      <c r="K123" s="3592">
        <f t="shared" si="30"/>
        <v>92</v>
      </c>
      <c r="L123" s="3592">
        <f t="shared" si="30"/>
        <v>91</v>
      </c>
      <c r="M123" s="3593">
        <f t="shared" si="30"/>
        <v>90</v>
      </c>
      <c r="N123" s="3585"/>
      <c r="O123" s="3585"/>
      <c r="P123" s="3721"/>
      <c r="Q123" s="3545"/>
    </row>
    <row r="124" spans="1:17" ht="15" thickTop="1">
      <c r="A124" s="3655"/>
      <c r="B124" s="3586" t="s">
        <v>3393</v>
      </c>
      <c r="C124" s="3628" t="s">
        <v>3394</v>
      </c>
      <c r="D124" s="3628" t="s">
        <v>3395</v>
      </c>
      <c r="E124" s="3628" t="s">
        <v>3396</v>
      </c>
      <c r="F124" s="3628" t="s">
        <v>3397</v>
      </c>
      <c r="G124" s="3628" t="s">
        <v>3398</v>
      </c>
      <c r="H124" s="3587"/>
      <c r="I124" s="3587"/>
      <c r="J124" s="3587"/>
      <c r="K124" s="3588"/>
      <c r="L124" s="3589"/>
      <c r="M124" s="3590"/>
      <c r="N124" s="3579"/>
      <c r="O124" s="3579"/>
      <c r="P124" s="3722"/>
      <c r="Q124" s="3545"/>
    </row>
    <row r="125" spans="1:17" ht="15.75" thickBot="1">
      <c r="A125" s="3581"/>
      <c r="B125" s="3591"/>
      <c r="C125" s="3592">
        <v>100</v>
      </c>
      <c r="D125" s="3592">
        <f>C125-$K43</f>
        <v>97</v>
      </c>
      <c r="E125" s="3592">
        <f>D125-$K43</f>
        <v>94</v>
      </c>
      <c r="F125" s="3592">
        <f>E125-$K43</f>
        <v>91</v>
      </c>
      <c r="G125" s="3592">
        <f>F125-$K43</f>
        <v>88</v>
      </c>
      <c r="H125" s="3592"/>
      <c r="I125" s="3592"/>
      <c r="J125" s="3592"/>
      <c r="K125" s="3592"/>
      <c r="L125" s="3592"/>
      <c r="M125" s="3593"/>
      <c r="N125" s="3585"/>
      <c r="O125" s="3585"/>
      <c r="P125" s="3721"/>
      <c r="Q125" s="3545"/>
    </row>
    <row r="126" spans="1:17" s="3475" customFormat="1" ht="15" thickTop="1">
      <c r="A126" s="3649"/>
      <c r="B126" s="3586">
        <f>B44</f>
        <v>111</v>
      </c>
      <c r="C126" s="3602"/>
      <c r="D126" s="3602"/>
      <c r="E126" s="3602"/>
      <c r="F126" s="3602"/>
      <c r="G126" s="3602"/>
      <c r="H126" s="3603"/>
      <c r="I126" s="3603"/>
      <c r="J126" s="3603"/>
      <c r="K126" s="3603"/>
      <c r="L126" s="3604"/>
      <c r="M126" s="3605"/>
      <c r="N126" s="3606"/>
      <c r="O126" s="3606"/>
      <c r="P126" s="3722"/>
      <c r="Q126" s="3608"/>
    </row>
    <row r="127" spans="1:17" s="3475" customFormat="1" ht="15.75" thickBot="1">
      <c r="A127" s="3601"/>
      <c r="B127" s="3591"/>
      <c r="C127" s="3609"/>
      <c r="D127" s="3583"/>
      <c r="E127" s="3583"/>
      <c r="F127" s="3583"/>
      <c r="G127" s="3609"/>
      <c r="H127" s="3612"/>
      <c r="I127" s="3612"/>
      <c r="J127" s="3612"/>
      <c r="K127" s="3612"/>
      <c r="L127" s="3612"/>
      <c r="M127" s="3613"/>
      <c r="N127" s="3606"/>
      <c r="O127" s="3606"/>
      <c r="P127" s="3722"/>
      <c r="Q127" s="3608"/>
    </row>
    <row r="128" spans="1:17" ht="15" thickTop="1">
      <c r="A128" s="3655"/>
      <c r="B128" s="3586">
        <f>B45</f>
        <v>111</v>
      </c>
      <c r="C128" s="3602"/>
      <c r="D128" s="3602"/>
      <c r="E128" s="3602"/>
      <c r="F128" s="3602"/>
      <c r="G128" s="3636"/>
      <c r="H128" s="3636"/>
      <c r="I128" s="3636"/>
      <c r="J128" s="3636"/>
      <c r="K128" s="3637"/>
      <c r="L128" s="3638"/>
      <c r="M128" s="3639"/>
      <c r="N128" s="3579"/>
      <c r="O128" s="3579"/>
      <c r="P128" s="3721"/>
      <c r="Q128" s="3545"/>
    </row>
    <row r="129" spans="1:17" ht="15.75" thickBot="1">
      <c r="A129" s="3581"/>
      <c r="B129" s="3591"/>
      <c r="C129" s="3609"/>
      <c r="D129" s="3583"/>
      <c r="E129" s="3583"/>
      <c r="F129" s="3583"/>
      <c r="G129" s="3583"/>
      <c r="H129" s="3583"/>
      <c r="I129" s="3583"/>
      <c r="J129" s="3583"/>
      <c r="K129" s="3583"/>
      <c r="L129" s="3583"/>
      <c r="M129" s="3584"/>
      <c r="N129" s="3585"/>
      <c r="O129" s="3585"/>
      <c r="P129" s="3721"/>
      <c r="Q129" s="3545"/>
    </row>
    <row r="130" spans="1:17" ht="15" thickTop="1">
      <c r="A130" s="3655"/>
      <c r="B130" s="3594">
        <f>B46</f>
        <v>0.98</v>
      </c>
      <c r="C130" s="3602"/>
      <c r="D130" s="3602"/>
      <c r="E130" s="3602"/>
      <c r="F130" s="3602"/>
      <c r="G130" s="3640"/>
      <c r="H130" s="3640"/>
      <c r="I130" s="3640"/>
      <c r="J130" s="3640"/>
      <c r="K130" s="3565"/>
      <c r="L130" s="3566"/>
      <c r="M130" s="3643"/>
      <c r="N130" s="3579"/>
      <c r="O130" s="3579"/>
      <c r="P130" s="3721"/>
      <c r="Q130" s="3545"/>
    </row>
    <row r="131" spans="1:17" ht="15.75" thickBot="1">
      <c r="A131" s="3644"/>
      <c r="B131" s="3619"/>
      <c r="C131" s="3620"/>
      <c r="D131" s="3620"/>
      <c r="E131" s="3620"/>
      <c r="F131" s="3620"/>
      <c r="G131" s="3645"/>
      <c r="H131" s="3645"/>
      <c r="I131" s="3645"/>
      <c r="J131" s="3645"/>
      <c r="K131" s="3645"/>
      <c r="L131" s="3645"/>
      <c r="M131" s="3646"/>
      <c r="N131" s="3585"/>
      <c r="O131" s="3585"/>
      <c r="P131" s="3721"/>
      <c r="Q131" s="354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3" type="noConversion"/>
  <conditionalFormatting sqref="F52 H52">
    <cfRule type="containsText" dxfId="134" priority="16"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0</v>
      </c>
      <c r="D5" s="1822" t="s">
        <v>1402</v>
      </c>
      <c r="E5" s="1293"/>
      <c r="F5" s="1294"/>
      <c r="G5" s="1851"/>
      <c r="H5" s="344">
        <v>1</v>
      </c>
      <c r="I5" s="345" t="s">
        <v>1401</v>
      </c>
      <c r="J5" s="1292">
        <f ca="1">J6+J10+J12</f>
        <v>0</v>
      </c>
      <c r="K5" s="1822" t="s">
        <v>1402</v>
      </c>
      <c r="L5" s="1293"/>
      <c r="M5" s="1294"/>
    </row>
    <row r="6" spans="1:37" ht="18" customHeight="1">
      <c r="A6" s="1291" t="s">
        <v>1035</v>
      </c>
      <c r="B6" s="3154" t="s">
        <v>1403</v>
      </c>
      <c r="C6" s="1296">
        <f ca="1">ROUND(F6*F8*F7*(1-F9)/10000,0)</f>
        <v>0</v>
      </c>
      <c r="D6" s="164" t="s">
        <v>3034</v>
      </c>
      <c r="E6" s="347" t="s">
        <v>1405</v>
      </c>
      <c r="F6" s="348">
        <f ca="1">INDIRECT("'数据-取费表'!u"&amp;$G$1)</f>
        <v>0</v>
      </c>
      <c r="G6" s="1851"/>
      <c r="H6" s="1291" t="s">
        <v>1035</v>
      </c>
      <c r="I6" s="3154" t="s">
        <v>1403</v>
      </c>
      <c r="J6" s="346">
        <f ca="1">ROUND(M6*M8*M7*(1-M9)/10000,0)</f>
        <v>0</v>
      </c>
      <c r="K6" s="164" t="s">
        <v>3033</v>
      </c>
      <c r="L6" s="347" t="s">
        <v>1405</v>
      </c>
      <c r="M6" s="348">
        <f ca="1">INDIRECT("'数据-取费表'!z"&amp;$G$1)</f>
        <v>0</v>
      </c>
    </row>
    <row r="7" spans="1:37" ht="18" customHeight="1">
      <c r="A7" s="1295"/>
      <c r="B7" s="3155"/>
      <c r="C7" s="1297"/>
      <c r="D7" s="352"/>
      <c r="E7" s="1298" t="s">
        <v>1406</v>
      </c>
      <c r="F7" s="348">
        <f ca="1">IF(INDIRECT("'数据-取费表'!ah"&amp;$G$1)="",INDIRECT("'数据-取费表'!k"&amp;$G$1),INDIRECT("'数据-取费表'!ah"&amp;$G$1))</f>
        <v>0</v>
      </c>
      <c r="G7" s="1851"/>
      <c r="H7" s="349"/>
      <c r="I7" s="3155"/>
      <c r="J7" s="351"/>
      <c r="K7" s="352"/>
      <c r="L7" s="347" t="s">
        <v>1406</v>
      </c>
      <c r="M7" s="348">
        <f ca="1">F7</f>
        <v>0</v>
      </c>
    </row>
    <row r="8" spans="1:37" ht="18" customHeight="1">
      <c r="A8" s="349"/>
      <c r="B8" s="3155"/>
      <c r="C8" s="351"/>
      <c r="D8" s="352"/>
      <c r="E8" s="347" t="s">
        <v>1407</v>
      </c>
      <c r="F8" s="348">
        <f ca="1">INDIRECT("'数据-取费表'!ai"&amp;$G$1)</f>
        <v>0</v>
      </c>
      <c r="G8" s="1851"/>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51"/>
      <c r="H9" s="349"/>
      <c r="I9" s="3156"/>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ROUND(F17*(F43+INDIRECT("'数据-取费表'!S"&amp;$G$1))/10000,0)</f>
        <v>0</v>
      </c>
      <c r="D17" s="347" t="s">
        <v>1427</v>
      </c>
      <c r="E17" s="347" t="s">
        <v>1428</v>
      </c>
      <c r="F17" s="26">
        <f>'数据-取费表'!B35</f>
        <v>200</v>
      </c>
      <c r="G17" s="1854"/>
      <c r="H17" s="1201"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ROUND(C13*F37,1)</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52" t="s">
        <v>1548</v>
      </c>
      <c r="L53" s="3153"/>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ROUND(C48*F66,1)</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t="e">
        <f ca="1">ROUND(C68*10000/F71,0)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D8" sqref="D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3070</v>
      </c>
      <c r="D1" s="1820" t="s">
        <v>70</v>
      </c>
      <c r="E1" s="1821" t="s">
        <v>1387</v>
      </c>
      <c r="F1" s="1283">
        <f ca="1">J53</f>
        <v>41.02</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1472</v>
      </c>
      <c r="C2" s="1845" t="s">
        <v>1516</v>
      </c>
      <c r="D2" s="1845"/>
      <c r="E2" s="1846"/>
      <c r="F2" s="1847"/>
      <c r="G2" s="1848"/>
      <c r="H2" s="1840"/>
      <c r="I2" s="1840"/>
      <c r="J2" s="1840"/>
      <c r="K2" s="1841"/>
      <c r="L2" s="1840"/>
      <c r="M2" s="1840"/>
    </row>
    <row r="3" spans="1:37" ht="18" customHeight="1" thickBot="1">
      <c r="A3" s="1849" t="s">
        <v>1517</v>
      </c>
      <c r="B3" s="1850">
        <f ca="1">IF(ISERROR(B2*10000/F43),0,ROUND(B2*10000/F43,0))</f>
        <v>6141</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94</v>
      </c>
      <c r="D5" s="1822" t="s">
        <v>1402</v>
      </c>
      <c r="E5" s="1293"/>
      <c r="F5" s="1294"/>
      <c r="G5" s="1851"/>
      <c r="H5" s="344">
        <v>1</v>
      </c>
      <c r="I5" s="345" t="s">
        <v>1401</v>
      </c>
      <c r="J5" s="1292">
        <f ca="1">J6+J10+J12</f>
        <v>0</v>
      </c>
      <c r="K5" s="1822" t="s">
        <v>1402</v>
      </c>
      <c r="L5" s="1293"/>
      <c r="M5" s="1294"/>
    </row>
    <row r="6" spans="1:37" ht="18" customHeight="1">
      <c r="A6" s="1291" t="s">
        <v>1035</v>
      </c>
      <c r="B6" s="3154" t="s">
        <v>1403</v>
      </c>
      <c r="C6" s="1296">
        <f ca="1">ROUND(F6*F8*F7*(1-F9)/10000,0)</f>
        <v>94</v>
      </c>
      <c r="D6" s="164" t="s">
        <v>3034</v>
      </c>
      <c r="E6" s="347" t="s">
        <v>1405</v>
      </c>
      <c r="F6" s="348">
        <f ca="1">INDIRECT("'数据-取费表'!u"&amp;$G$1)</f>
        <v>1.2</v>
      </c>
      <c r="G6" s="1851"/>
      <c r="H6" s="1291" t="s">
        <v>1035</v>
      </c>
      <c r="I6" s="3154" t="s">
        <v>1403</v>
      </c>
      <c r="J6" s="346">
        <f ca="1">ROUND(M6*M8*M7*(1-M9)/10000,0)</f>
        <v>0</v>
      </c>
      <c r="K6" s="164" t="s">
        <v>3033</v>
      </c>
      <c r="L6" s="347" t="s">
        <v>1405</v>
      </c>
      <c r="M6" s="348">
        <f ca="1">INDIRECT("'数据-取费表'!z"&amp;$G$1)</f>
        <v>0</v>
      </c>
    </row>
    <row r="7" spans="1:37" ht="18" customHeight="1">
      <c r="A7" s="1295"/>
      <c r="B7" s="3155"/>
      <c r="C7" s="1297"/>
      <c r="D7" s="352"/>
      <c r="E7" s="2956" t="s">
        <v>1406</v>
      </c>
      <c r="F7" s="348">
        <f ca="1">IF(INDIRECT("'数据-取费表'!ah"&amp;$G$1)="",INDIRECT("'数据-取费表'!k"&amp;$G$1),INDIRECT("'数据-取费表'!ah"&amp;$G$1))</f>
        <v>2396.8900000000003</v>
      </c>
      <c r="G7" s="1851"/>
      <c r="H7" s="349"/>
      <c r="I7" s="3155"/>
      <c r="J7" s="351"/>
      <c r="K7" s="352"/>
      <c r="L7" s="347" t="s">
        <v>1406</v>
      </c>
      <c r="M7" s="348">
        <f ca="1">F7</f>
        <v>2396.8900000000003</v>
      </c>
    </row>
    <row r="8" spans="1:37" ht="18" customHeight="1">
      <c r="A8" s="349"/>
      <c r="B8" s="3155"/>
      <c r="C8" s="351"/>
      <c r="D8" s="352"/>
      <c r="E8" s="347" t="s">
        <v>1407</v>
      </c>
      <c r="F8" s="348">
        <f ca="1">INDIRECT("'数据-取费表'!ai"&amp;$G$1)</f>
        <v>365</v>
      </c>
      <c r="G8" s="1851"/>
      <c r="H8" s="349"/>
      <c r="I8" s="3155"/>
      <c r="J8" s="351"/>
      <c r="K8" s="352"/>
      <c r="L8" s="347" t="s">
        <v>1407</v>
      </c>
      <c r="M8" s="348">
        <f ca="1">INDIRECT("'数据-取费表'!ai"&amp;$G$1)</f>
        <v>365</v>
      </c>
    </row>
    <row r="9" spans="1:37" ht="18" customHeight="1">
      <c r="A9" s="349"/>
      <c r="B9" s="3156"/>
      <c r="C9" s="351"/>
      <c r="D9" s="352"/>
      <c r="E9" s="347" t="s">
        <v>1408</v>
      </c>
      <c r="F9" s="357">
        <f ca="1">INDIRECT("'数据-取费表'!w"&amp;$G$1)</f>
        <v>0.1</v>
      </c>
      <c r="G9" s="1851"/>
      <c r="H9" s="349"/>
      <c r="I9" s="3156"/>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3399</v>
      </c>
      <c r="G10" s="1851"/>
      <c r="H10" s="1291" t="s">
        <v>1039</v>
      </c>
      <c r="I10" s="1823" t="s">
        <v>1409</v>
      </c>
      <c r="J10" s="346">
        <f ca="1">ROUND(IF(M10="押一",J6/12*M11,IF(M10="押二",J6/12*2*M11,IF(M10="押三",J6/12*3*M11,J11*M11))),0)</f>
        <v>0</v>
      </c>
      <c r="K10" s="1824" t="s">
        <v>3042</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937</v>
      </c>
      <c r="D13" s="1331" t="s">
        <v>1415</v>
      </c>
      <c r="E13" s="1331" t="s">
        <v>1416</v>
      </c>
      <c r="F13" s="1332">
        <f ca="1">INDIRECT("'数据-取费表'!y"&amp;$G$1)</f>
        <v>1</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643</v>
      </c>
      <c r="D14" s="2947" t="s">
        <v>1418</v>
      </c>
      <c r="E14" s="2945"/>
      <c r="F14" s="364"/>
      <c r="G14" s="1851"/>
      <c r="H14" s="1201" t="s">
        <v>1035</v>
      </c>
      <c r="I14" s="347" t="s">
        <v>1419</v>
      </c>
      <c r="J14" s="24">
        <f ca="1">C29</f>
        <v>937</v>
      </c>
      <c r="K14" s="2955"/>
      <c r="L14" s="979"/>
      <c r="M14" s="980"/>
    </row>
    <row r="15" spans="1:37" s="1858" customFormat="1" ht="18" customHeight="1" thickBot="1">
      <c r="A15" s="1201" t="s">
        <v>1036</v>
      </c>
      <c r="B15" s="347" t="s">
        <v>1420</v>
      </c>
      <c r="C15" s="24">
        <f ca="1">ROUND(C14*F15,0)</f>
        <v>19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22</v>
      </c>
      <c r="K16" s="1337" t="s">
        <v>1425</v>
      </c>
      <c r="L16" s="2949"/>
      <c r="M16" s="1294"/>
    </row>
    <row r="17" spans="1:37" s="1858" customFormat="1" ht="18" customHeight="1">
      <c r="A17" s="1201" t="s">
        <v>1390</v>
      </c>
      <c r="B17" s="347" t="s">
        <v>1426</v>
      </c>
      <c r="C17" s="24">
        <f ca="1">ROUND(F17*(F43+INDIRECT("'数据-取费表'!S"&amp;$G$1))/10000,0)</f>
        <v>52</v>
      </c>
      <c r="D17" s="347" t="s">
        <v>1427</v>
      </c>
      <c r="E17" s="347" t="s">
        <v>1428</v>
      </c>
      <c r="F17" s="26">
        <f>'数据-取费表'!B35</f>
        <v>200</v>
      </c>
      <c r="G17" s="1854"/>
      <c r="H17" s="1201" t="s">
        <v>1035</v>
      </c>
      <c r="I17" s="347" t="s">
        <v>1429</v>
      </c>
      <c r="J17" s="24">
        <f ca="1">ROUND(IF(项目基本情况!B11="自然人",J5*M17,J18+J19+J20),1)</f>
        <v>7.9</v>
      </c>
      <c r="K17" s="2947" t="s">
        <v>1430</v>
      </c>
      <c r="L17" s="2946"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10</v>
      </c>
      <c r="D18" s="347" t="s">
        <v>1421</v>
      </c>
      <c r="E18" s="347" t="s">
        <v>1422</v>
      </c>
      <c r="F18" s="367">
        <f>'数据-取费表'!B36</f>
        <v>1.4999999999999999E-2</v>
      </c>
      <c r="G18" s="1854"/>
      <c r="H18" s="1201" t="s">
        <v>1034</v>
      </c>
      <c r="I18" s="347" t="s">
        <v>1433</v>
      </c>
      <c r="J18" s="24">
        <f ca="1">ROUND(J5*M18/(1+'数据-取费表'!C42),2)</f>
        <v>0</v>
      </c>
      <c r="K18" s="2946"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724</v>
      </c>
      <c r="D19" s="140" t="s">
        <v>1436</v>
      </c>
      <c r="E19" s="2954"/>
      <c r="F19" s="26"/>
      <c r="G19" s="1851"/>
      <c r="H19" s="1201"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22</v>
      </c>
      <c r="D20" s="369" t="s">
        <v>1440</v>
      </c>
      <c r="E20" s="347" t="s">
        <v>1422</v>
      </c>
      <c r="F20" s="367">
        <f>'数据-取费表'!B37</f>
        <v>0.03</v>
      </c>
      <c r="G20" s="1854"/>
      <c r="H20" s="1201" t="s">
        <v>1389</v>
      </c>
      <c r="I20" s="164" t="s">
        <v>1441</v>
      </c>
      <c r="J20" s="25">
        <f ca="1">ROUND(M20*M21/10000,2)</f>
        <v>7.0000000000000007E-2</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484.51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54"/>
      <c r="F22" s="26"/>
      <c r="G22" s="1851"/>
      <c r="H22" s="1201" t="s">
        <v>1039</v>
      </c>
      <c r="I22" s="347" t="s">
        <v>1449</v>
      </c>
      <c r="J22" s="24">
        <f ca="1">ROUND(J14*M22,1)</f>
        <v>14.1</v>
      </c>
      <c r="K22" s="2946"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ROUND(J13*M23,1)</f>
        <v>0</v>
      </c>
      <c r="K23" s="2946" t="s">
        <v>1454</v>
      </c>
      <c r="L23" s="347" t="s">
        <v>1422</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1422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2954"/>
      <c r="F25" s="26"/>
      <c r="G25" s="1851"/>
      <c r="H25" s="1329" t="s">
        <v>1031</v>
      </c>
      <c r="I25" s="1344" t="s">
        <v>1463</v>
      </c>
      <c r="J25" s="355">
        <f ca="1">J5-J16</f>
        <v>-22</v>
      </c>
      <c r="K25" s="1345" t="s">
        <v>1464</v>
      </c>
      <c r="L25" s="1346"/>
      <c r="M25" s="1347"/>
    </row>
    <row r="26" spans="1:37">
      <c r="A26" s="1201" t="s">
        <v>1034</v>
      </c>
      <c r="B26" s="347" t="s">
        <v>1465</v>
      </c>
      <c r="C26" s="24">
        <f ca="1">ROUND((C19+C20)*F26,0)</f>
        <v>75</v>
      </c>
      <c r="D26" s="369" t="s">
        <v>1466</v>
      </c>
      <c r="E26" s="358" t="s">
        <v>1467</v>
      </c>
      <c r="F26" s="357">
        <f ca="1">INDIRECT("'数据-取费表'!q"&amp;$G$1)</f>
        <v>0.1</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3.0000000000000001E-3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937</v>
      </c>
      <c r="D29" s="1342"/>
      <c r="E29" s="1340"/>
      <c r="F29" s="1343"/>
      <c r="G29" s="1854"/>
      <c r="H29" s="380" t="s">
        <v>1033</v>
      </c>
      <c r="I29" s="381" t="s">
        <v>1479</v>
      </c>
      <c r="J29" s="382">
        <f ca="1">ROUND(J26/(1+F40)^F41,0)</f>
        <v>0</v>
      </c>
      <c r="K29" s="383" t="s">
        <v>1480</v>
      </c>
      <c r="L29" s="384"/>
      <c r="M29" s="385">
        <f ca="1">INDIRECT("'数据-取费表'!k"&amp;$G$1)</f>
        <v>2396.8900000000003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31</v>
      </c>
      <c r="D30" s="1337" t="s">
        <v>1425</v>
      </c>
      <c r="E30" s="2949"/>
      <c r="F30" s="1294"/>
      <c r="G30" s="1851"/>
      <c r="H30" s="745"/>
      <c r="I30" s="746"/>
      <c r="J30" s="747"/>
      <c r="K30" s="748"/>
      <c r="L30" s="749"/>
      <c r="M30" s="750"/>
    </row>
    <row r="31" spans="1:37" ht="18" customHeight="1">
      <c r="A31" s="1201" t="s">
        <v>1035</v>
      </c>
      <c r="B31" s="347" t="s">
        <v>1429</v>
      </c>
      <c r="C31" s="24">
        <f ca="1">ROUND(IF(项目基本情况!B11="自然人",C5*F31,C32+C33+C34),1)</f>
        <v>12.9</v>
      </c>
      <c r="D31" s="2947" t="s">
        <v>1430</v>
      </c>
      <c r="E31" s="2946"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4.92</v>
      </c>
      <c r="D32" s="2946"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7.87</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7.0000000000000007E-2</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484.51</v>
      </c>
      <c r="G35" s="1851"/>
      <c r="H35" s="745"/>
      <c r="I35" s="1860"/>
      <c r="J35" s="1861"/>
      <c r="K35" s="1862"/>
      <c r="L35" s="1859"/>
      <c r="M35" s="1859"/>
    </row>
    <row r="36" spans="1:18" ht="18" customHeight="1">
      <c r="A36" s="1352" t="s">
        <v>1039</v>
      </c>
      <c r="B36" s="347" t="s">
        <v>1449</v>
      </c>
      <c r="C36" s="24">
        <f ca="1">ROUND(C29*F36,1)</f>
        <v>14.1</v>
      </c>
      <c r="D36" s="2946"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1.9</v>
      </c>
      <c r="D37" s="2946" t="s">
        <v>1454</v>
      </c>
      <c r="E37" s="347" t="s">
        <v>1422</v>
      </c>
      <c r="F37" s="376">
        <f ca="1">INDIRECT("'数据-取费表'!Al"&amp;$G$1)</f>
        <v>2E-3</v>
      </c>
      <c r="G37" s="1851"/>
      <c r="H37" s="1859"/>
      <c r="I37" s="1860"/>
      <c r="J37" s="1861"/>
      <c r="K37" s="751"/>
      <c r="L37" s="1859"/>
      <c r="M37" s="1859"/>
    </row>
    <row r="38" spans="1:18" ht="18" customHeight="1" thickBot="1">
      <c r="A38" s="1339" t="s">
        <v>1393</v>
      </c>
      <c r="B38" s="1340" t="s">
        <v>1439</v>
      </c>
      <c r="C38" s="1341">
        <f ca="1">ROUND(C5*F38,1)</f>
        <v>1.9</v>
      </c>
      <c r="D38" s="1342" t="s">
        <v>1459</v>
      </c>
      <c r="E38" s="1340" t="s">
        <v>1422</v>
      </c>
      <c r="F38" s="1336">
        <f ca="1">INDIRECT("'数据-取费表'!Am"&amp;$G$1)</f>
        <v>0.02</v>
      </c>
      <c r="G38" s="1851"/>
      <c r="H38" s="1859"/>
      <c r="I38" s="1860"/>
      <c r="J38" s="1861"/>
      <c r="K38" s="1865"/>
      <c r="L38" s="1859"/>
      <c r="M38" s="1859"/>
    </row>
    <row r="39" spans="1:18" ht="24.6" customHeight="1" thickTop="1">
      <c r="A39" s="1329" t="s">
        <v>1031</v>
      </c>
      <c r="B39" s="1344" t="s">
        <v>1463</v>
      </c>
      <c r="C39" s="355">
        <f ca="1">C5-C30</f>
        <v>63</v>
      </c>
      <c r="D39" s="1345" t="s">
        <v>1464</v>
      </c>
      <c r="E39" s="1346"/>
      <c r="F39" s="1347"/>
      <c r="G39" s="1851"/>
      <c r="H39" s="1859"/>
      <c r="I39" s="1860"/>
      <c r="J39" s="1861"/>
      <c r="K39" s="1865"/>
      <c r="L39" s="1859"/>
      <c r="M39" s="1859"/>
    </row>
    <row r="40" spans="1:18" ht="18" customHeight="1">
      <c r="A40" s="344" t="s">
        <v>1032</v>
      </c>
      <c r="B40" s="345" t="s">
        <v>1485</v>
      </c>
      <c r="C40" s="346">
        <f ca="1">ROUND(C39*(1-((1+F42)/(1+F40))^F41)/(F40-F42),0)</f>
        <v>1461</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41.02</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6095</v>
      </c>
      <c r="D43" s="383" t="s">
        <v>1488</v>
      </c>
      <c r="E43" s="384" t="s">
        <v>1489</v>
      </c>
      <c r="F43" s="385">
        <f ca="1">INDIRECT("'数据-取费表'!k"&amp;$G$1)</f>
        <v>2396.8900000000003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-1876</v>
      </c>
      <c r="D46" s="1872" t="str">
        <f>C2</f>
        <v>万元</v>
      </c>
      <c r="E46" s="1866"/>
      <c r="F46" s="1866"/>
      <c r="I46" s="1873" t="s">
        <v>1521</v>
      </c>
      <c r="J46" s="1874"/>
      <c r="K46" s="1875"/>
      <c r="L46" s="1876">
        <f ca="1">IF(M47="住宅",0,IF(L48&gt;J51,L60,J60))</f>
        <v>11</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3160</v>
      </c>
      <c r="K47" s="1882" t="s">
        <v>1527</v>
      </c>
      <c r="L47" s="1883">
        <f ca="1">INDIRECT("'数据-取费表'!d"&amp;$G$1)</f>
        <v>50</v>
      </c>
      <c r="M47" s="1838" t="str">
        <f>IF(ISNUMBER(FIND("住宅",C1)),"住宅","非住宅")</f>
        <v>非住宅</v>
      </c>
      <c r="O47" s="1884" t="s">
        <v>1040</v>
      </c>
      <c r="P47" s="1885" t="s">
        <v>1528</v>
      </c>
      <c r="Q47" s="1886">
        <f ca="1">C40+J29</f>
        <v>1461</v>
      </c>
      <c r="R47" s="1886" t="s">
        <v>1529</v>
      </c>
    </row>
    <row r="48" spans="1:18" s="1842" customFormat="1" ht="28.5" thickBot="1">
      <c r="A48" s="1360" t="s">
        <v>1135</v>
      </c>
      <c r="B48" s="345" t="s">
        <v>1401</v>
      </c>
      <c r="C48" s="2953">
        <f ca="1">C49+C53+C55</f>
        <v>0</v>
      </c>
      <c r="D48" s="1362"/>
      <c r="E48" s="1363"/>
      <c r="F48" s="1181"/>
      <c r="G48" s="792"/>
      <c r="H48" s="793"/>
      <c r="I48" s="1887" t="s">
        <v>1530</v>
      </c>
      <c r="J48" s="1888" t="s">
        <v>3400</v>
      </c>
      <c r="K48" s="1889" t="s">
        <v>1531</v>
      </c>
      <c r="L48" s="1890">
        <f ca="1">INDIRECT("'数据-取费表'!f"&amp;$G$1)</f>
        <v>41.02</v>
      </c>
      <c r="O48" s="1884" t="s">
        <v>1041</v>
      </c>
      <c r="P48" s="1885" t="s">
        <v>1532</v>
      </c>
      <c r="Q48" s="1886">
        <f ca="1">J60</f>
        <v>11</v>
      </c>
      <c r="R48" s="1886" t="s">
        <v>1533</v>
      </c>
    </row>
    <row r="49" spans="1:18" s="1842" customFormat="1" ht="13.5" thickBot="1">
      <c r="A49" s="1194" t="s">
        <v>1136</v>
      </c>
      <c r="B49" s="1829" t="s">
        <v>1490</v>
      </c>
      <c r="C49" s="1364">
        <f ca="1">ROUND(F49*F51*F50*(1-F52)/10000,0)</f>
        <v>0</v>
      </c>
      <c r="D49" s="1276" t="s">
        <v>3035</v>
      </c>
      <c r="E49" s="1830" t="s">
        <v>1491</v>
      </c>
      <c r="F49" s="1281"/>
      <c r="G49" s="1891"/>
      <c r="H49" s="793"/>
      <c r="I49" s="1887" t="s">
        <v>1534</v>
      </c>
      <c r="J49" s="1892">
        <v>2018</v>
      </c>
      <c r="K49" s="1889" t="s">
        <v>1535</v>
      </c>
      <c r="L49" s="1893"/>
      <c r="O49" s="1894" t="s">
        <v>1042</v>
      </c>
      <c r="P49" s="1885" t="s">
        <v>1536</v>
      </c>
      <c r="Q49" s="1886">
        <f ca="1">C29</f>
        <v>937</v>
      </c>
      <c r="R49" s="1886" t="s">
        <v>1529</v>
      </c>
    </row>
    <row r="50" spans="1:18" s="1842" customFormat="1" ht="13.5" thickBot="1">
      <c r="A50" s="1195"/>
      <c r="B50" s="1198"/>
      <c r="C50" s="1368"/>
      <c r="D50" s="1172"/>
      <c r="E50" s="1277" t="s">
        <v>1406</v>
      </c>
      <c r="F50" s="1278">
        <f ca="1">F7</f>
        <v>2396.8900000000003</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6"/>
      <c r="B51" s="1198"/>
      <c r="C51" s="1199"/>
      <c r="D51" s="1172"/>
      <c r="E51" s="1200" t="s">
        <v>1407</v>
      </c>
      <c r="F51" s="348">
        <f ca="1">F8</f>
        <v>365</v>
      </c>
      <c r="I51" s="1898" t="s">
        <v>1540</v>
      </c>
      <c r="J51" s="1899">
        <f>IF(J49="",J50,J49+J50-YEAR('数据-取费表'!B2))</f>
        <v>60</v>
      </c>
      <c r="K51" s="1900" t="s">
        <v>1541</v>
      </c>
      <c r="L51" s="1901">
        <f ca="1">ROUND(-PV(INDIRECT("'数据-取费表'!h"&amp;$G$1),L48,(C39-C13*C76),0),0)</f>
        <v>-396</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41.02</v>
      </c>
      <c r="R52" s="1886" t="s">
        <v>1546</v>
      </c>
    </row>
    <row r="53" spans="1:18" s="1842" customFormat="1" ht="24.75" thickBot="1">
      <c r="A53" s="1405" t="s">
        <v>1137</v>
      </c>
      <c r="B53" s="1831" t="s">
        <v>1409</v>
      </c>
      <c r="C53" s="361">
        <f ca="1">ROUND(IF(F53="押一",C49/12*F11,IF(F53="押二",C49/12*2*F11,IF(F53="押三",C49/12*3*F11,C54*F11))),0)</f>
        <v>0</v>
      </c>
      <c r="D53" s="1824" t="s">
        <v>3042</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41.02</v>
      </c>
      <c r="K53" s="3152" t="s">
        <v>1548</v>
      </c>
      <c r="L53" s="3153"/>
      <c r="O53" s="1884" t="s">
        <v>1046</v>
      </c>
      <c r="P53" s="1885" t="s">
        <v>1549</v>
      </c>
      <c r="Q53" s="1886">
        <f ca="1">Q47+Q48</f>
        <v>1472</v>
      </c>
      <c r="R53" s="1886" t="s">
        <v>1047</v>
      </c>
    </row>
    <row r="54" spans="1:18" s="1842" customFormat="1" ht="13.5" thickBot="1">
      <c r="A54" s="1406"/>
      <c r="B54" s="1825" t="s">
        <v>1388</v>
      </c>
      <c r="C54" s="1178"/>
      <c r="D54" s="1824"/>
      <c r="E54" s="2950"/>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2950"/>
      <c r="F55" s="1907"/>
      <c r="I55" s="1910" t="s">
        <v>1551</v>
      </c>
      <c r="J55" s="1911">
        <f ca="1">ROUND(IF(J47="钢混",J57/J50,1-(1-2%)*(J50-J57)/J50),3)</f>
        <v>0.316</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937</v>
      </c>
      <c r="D56" s="1914"/>
      <c r="E56" s="1915"/>
      <c r="F56" s="1907"/>
      <c r="I56" s="1916" t="s">
        <v>1554</v>
      </c>
      <c r="J56" s="1917" t="s">
        <v>3401</v>
      </c>
      <c r="K56" s="1887" t="s">
        <v>1555</v>
      </c>
      <c r="L56" s="1890" t="str">
        <f ca="1">IF(L48&lt;J51,"——",L48-J53)</f>
        <v>——</v>
      </c>
      <c r="O56" s="1884" t="s">
        <v>1040</v>
      </c>
      <c r="P56" s="1885" t="s">
        <v>1528</v>
      </c>
      <c r="Q56" s="1886">
        <f ca="1">C40+J29</f>
        <v>1461</v>
      </c>
      <c r="R56" s="1886" t="s">
        <v>1529</v>
      </c>
    </row>
    <row r="57" spans="1:18" s="1842" customFormat="1" ht="24.75" thickBot="1">
      <c r="A57" s="1918"/>
      <c r="B57" s="1169" t="s">
        <v>1478</v>
      </c>
      <c r="C57" s="282">
        <f ca="1">C29</f>
        <v>937</v>
      </c>
      <c r="D57" s="1919"/>
      <c r="E57" s="1920"/>
      <c r="F57" s="1921"/>
      <c r="I57" s="1922" t="s">
        <v>1556</v>
      </c>
      <c r="J57" s="1923">
        <f ca="1">IF(OR(M47="住宅",J51&lt;L48,J56="是"),"——",J51-L48)</f>
        <v>18.979999999999997</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24</v>
      </c>
      <c r="D58" s="1179" t="s">
        <v>1425</v>
      </c>
      <c r="E58" s="1180"/>
      <c r="F58" s="1181"/>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7.9</v>
      </c>
      <c r="D59" s="1182" t="s">
        <v>1430</v>
      </c>
      <c r="E59" s="1183"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5" t="s">
        <v>1565</v>
      </c>
      <c r="J60" s="1926">
        <f ca="1">IF(OR(M47="住宅",J51&lt;L48,J56="是"),"0",ROUND(J59/(1+J52)^J53,0))</f>
        <v>11</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1437</v>
      </c>
      <c r="C61" s="24">
        <f ca="1">IF(项目基本情况!B11="自然人","——",IF(D61="按租金收入计税",ROUND(C48*F61,2),IF(D61="按房产原值计税",ROUND(C57*F61*0.7,2),INDIRECT("'数据-取费表'!Aj"&amp;$G$1))))</f>
        <v>7.87</v>
      </c>
      <c r="D61" s="1828" t="s">
        <v>1438</v>
      </c>
      <c r="E61" s="1169" t="s">
        <v>1422</v>
      </c>
      <c r="F61" s="367">
        <f t="shared" si="0"/>
        <v>1.2E-2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7.0000000000000007E-2</v>
      </c>
      <c r="D62" s="1184" t="s">
        <v>1442</v>
      </c>
      <c r="E62" s="1169" t="s">
        <v>1443</v>
      </c>
      <c r="F62" s="371">
        <f t="shared" si="0"/>
        <v>1.5</v>
      </c>
      <c r="I62" s="1929" t="s">
        <v>1570</v>
      </c>
      <c r="J62" s="1930" t="s">
        <v>1571</v>
      </c>
      <c r="K62" s="1930" t="s">
        <v>1572</v>
      </c>
      <c r="L62" s="1930" t="s">
        <v>1573</v>
      </c>
      <c r="M62" s="1931" t="s">
        <v>1574</v>
      </c>
      <c r="O62" s="1884" t="s">
        <v>1046</v>
      </c>
      <c r="P62" s="1885" t="s">
        <v>1575</v>
      </c>
      <c r="Q62" s="1886">
        <f ca="1">Q56+Q57</f>
        <v>1461</v>
      </c>
      <c r="R62" s="1886" t="s">
        <v>1047</v>
      </c>
    </row>
    <row r="63" spans="1:18" s="1842" customFormat="1" ht="13.5" thickBot="1">
      <c r="A63" s="372"/>
      <c r="B63" s="1175"/>
      <c r="C63" s="29"/>
      <c r="D63" s="1185"/>
      <c r="E63" s="1169" t="s">
        <v>1447</v>
      </c>
      <c r="F63" s="348">
        <f t="shared" ca="1" si="0"/>
        <v>484.51</v>
      </c>
      <c r="I63" s="1929" t="s">
        <v>1576</v>
      </c>
      <c r="J63" s="1930">
        <v>70</v>
      </c>
      <c r="K63" s="1930">
        <v>50</v>
      </c>
      <c r="L63" s="1930">
        <v>80</v>
      </c>
      <c r="M63" s="1932">
        <v>0.02</v>
      </c>
      <c r="O63" s="1869" t="s">
        <v>1577</v>
      </c>
      <c r="P63" s="1839"/>
      <c r="Q63" s="1839"/>
      <c r="R63" s="1839"/>
    </row>
    <row r="64" spans="1:18" s="1842" customFormat="1" ht="13.5" thickBot="1">
      <c r="A64" s="1201" t="s">
        <v>1039</v>
      </c>
      <c r="B64" s="1169" t="s">
        <v>1449</v>
      </c>
      <c r="C64" s="24">
        <f ca="1">ROUND(C57*F64,1)</f>
        <v>14.1</v>
      </c>
      <c r="D64" s="1183" t="s">
        <v>1482</v>
      </c>
      <c r="E64" s="1169" t="s">
        <v>1422</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1.9</v>
      </c>
      <c r="D65" s="1183" t="s">
        <v>1454</v>
      </c>
      <c r="E65" s="1169" t="s">
        <v>1422</v>
      </c>
      <c r="F65" s="376">
        <f t="shared" ca="1" si="0"/>
        <v>2E-3</v>
      </c>
      <c r="I65" s="1929" t="s">
        <v>1579</v>
      </c>
      <c r="J65" s="1930">
        <v>40</v>
      </c>
      <c r="K65" s="1930">
        <v>30</v>
      </c>
      <c r="L65" s="1930">
        <v>50</v>
      </c>
      <c r="M65" s="1932">
        <v>0.02</v>
      </c>
      <c r="O65" s="1884" t="s">
        <v>1040</v>
      </c>
      <c r="P65" s="1885" t="s">
        <v>1528</v>
      </c>
      <c r="Q65" s="1886">
        <f ca="1">C40+J29</f>
        <v>1461</v>
      </c>
      <c r="R65" s="1886" t="s">
        <v>1529</v>
      </c>
    </row>
    <row r="66" spans="1:18" s="1842" customFormat="1" ht="16.5" thickBot="1">
      <c r="A66" s="1201" t="s">
        <v>1504</v>
      </c>
      <c r="B66" s="1169" t="s">
        <v>1439</v>
      </c>
      <c r="C66" s="24">
        <f ca="1">ROUND(C48*F66,1)</f>
        <v>0</v>
      </c>
      <c r="D66" s="1183" t="s">
        <v>1459</v>
      </c>
      <c r="E66" s="1169" t="s">
        <v>1422</v>
      </c>
      <c r="F66" s="357">
        <f t="shared" ca="1" si="0"/>
        <v>0.02</v>
      </c>
      <c r="O66" s="1884" t="s">
        <v>1041</v>
      </c>
      <c r="P66" s="1885" t="s">
        <v>1558</v>
      </c>
      <c r="Q66" s="1886">
        <f ca="1">L60</f>
        <v>0</v>
      </c>
      <c r="R66" s="1886" t="s">
        <v>1581</v>
      </c>
    </row>
    <row r="67" spans="1:18" s="1842" customFormat="1" ht="16.5" thickBot="1">
      <c r="A67" s="1176" t="s">
        <v>1031</v>
      </c>
      <c r="B67" s="1186" t="s">
        <v>1463</v>
      </c>
      <c r="C67" s="361">
        <f ca="1">C48-C58</f>
        <v>-24</v>
      </c>
      <c r="D67" s="1182" t="s">
        <v>1464</v>
      </c>
      <c r="E67" s="1187"/>
      <c r="F67" s="1188"/>
      <c r="O67" s="1894" t="s">
        <v>1042</v>
      </c>
      <c r="P67" s="1885" t="s">
        <v>1562</v>
      </c>
      <c r="Q67" s="1933">
        <f ca="1">L51</f>
        <v>-396</v>
      </c>
      <c r="R67" s="1886" t="s">
        <v>1582</v>
      </c>
    </row>
    <row r="68" spans="1:18" s="1842" customFormat="1" ht="16.5" thickBot="1">
      <c r="A68" s="1166" t="s">
        <v>1032</v>
      </c>
      <c r="B68" s="1167" t="s">
        <v>1485</v>
      </c>
      <c r="C68" s="346">
        <f ca="1">ROUND(C67*(1-((1+F70)/(1+F68))^F69)/(F68-F70),0)</f>
        <v>-415</v>
      </c>
      <c r="D68" s="1184" t="s">
        <v>1469</v>
      </c>
      <c r="E68" s="1169" t="s">
        <v>1470</v>
      </c>
      <c r="F68" s="357">
        <f ca="1">F40</f>
        <v>0.05</v>
      </c>
      <c r="O68" s="1894" t="s">
        <v>1043</v>
      </c>
      <c r="P68" s="1934" t="s">
        <v>1583</v>
      </c>
      <c r="Q68" s="1886">
        <f ca="1">ROUND(Q69-Q70*Q71,0)</f>
        <v>-21</v>
      </c>
      <c r="R68" s="1886" t="s">
        <v>1051</v>
      </c>
    </row>
    <row r="69" spans="1:18" s="1842" customFormat="1" ht="13.5" thickBot="1">
      <c r="A69" s="1170"/>
      <c r="B69" s="1171"/>
      <c r="C69" s="351"/>
      <c r="D69" s="1189" t="s">
        <v>1473</v>
      </c>
      <c r="E69" s="1169" t="s">
        <v>1474</v>
      </c>
      <c r="F69" s="379">
        <f ca="1">F41</f>
        <v>41.02</v>
      </c>
      <c r="O69" s="1894" t="s">
        <v>1048</v>
      </c>
      <c r="P69" s="1934" t="s">
        <v>1584</v>
      </c>
      <c r="Q69" s="1886">
        <f ca="1">C39</f>
        <v>63</v>
      </c>
      <c r="R69" s="1886" t="s">
        <v>1529</v>
      </c>
    </row>
    <row r="70" spans="1:18" s="1842" customFormat="1" ht="13.5" thickBot="1">
      <c r="A70" s="1173"/>
      <c r="B70" s="1174"/>
      <c r="C70" s="355"/>
      <c r="D70" s="1185"/>
      <c r="E70" s="1169" t="s">
        <v>1477</v>
      </c>
      <c r="F70" s="1275"/>
      <c r="O70" s="1894" t="s">
        <v>1049</v>
      </c>
      <c r="P70" s="1934" t="s">
        <v>1585</v>
      </c>
      <c r="Q70" s="1886">
        <f ca="1">C13</f>
        <v>937</v>
      </c>
      <c r="R70" s="1886" t="s">
        <v>1529</v>
      </c>
    </row>
    <row r="71" spans="1:18" s="1842" customFormat="1" ht="13.5" thickBot="1">
      <c r="A71" s="1190" t="s">
        <v>1033</v>
      </c>
      <c r="B71" s="1191" t="s">
        <v>1487</v>
      </c>
      <c r="C71" s="382">
        <f ca="1">ROUND(C68*10000/F71,0)</f>
        <v>-1731</v>
      </c>
      <c r="D71" s="1192" t="s">
        <v>1488</v>
      </c>
      <c r="E71" s="1193" t="s">
        <v>1489</v>
      </c>
      <c r="F71" s="385">
        <f ca="1">F43</f>
        <v>2396.8900000000003</v>
      </c>
      <c r="O71" s="1894" t="s">
        <v>1050</v>
      </c>
      <c r="P71" s="1934" t="s">
        <v>1586</v>
      </c>
      <c r="Q71" s="1897">
        <f ca="1">C76</f>
        <v>0.09</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84</v>
      </c>
      <c r="D75" s="1842"/>
      <c r="E75" s="1842"/>
      <c r="F75" s="1842"/>
      <c r="K75" s="1868"/>
      <c r="L75" s="1842"/>
      <c r="O75" s="1884" t="s">
        <v>1046</v>
      </c>
      <c r="P75" s="1885" t="s">
        <v>1549</v>
      </c>
      <c r="Q75" s="1886">
        <f ca="1">Q65+Q66</f>
        <v>1461</v>
      </c>
      <c r="R75" s="1886" t="s">
        <v>1047</v>
      </c>
    </row>
    <row r="76" spans="1:18">
      <c r="B76" s="388" t="s">
        <v>1507</v>
      </c>
      <c r="C76" s="389">
        <f ca="1">INDIRECT("'数据-取费表'!j"&amp;$G$1)</f>
        <v>0.09</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-0.33299999999999996</v>
      </c>
    </row>
    <row r="80" spans="1:18">
      <c r="B80" s="386" t="s">
        <v>1511</v>
      </c>
      <c r="C80" s="318">
        <f ca="1">ROUND(C75/C39,3)</f>
        <v>1.333</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154" t="s">
        <v>1403</v>
      </c>
      <c r="C6" s="1296">
        <f ca="1">ROUND(F6*F8*F7*(1-F9),0)</f>
        <v>0</v>
      </c>
      <c r="D6" s="164" t="s">
        <v>3031</v>
      </c>
      <c r="E6" s="347" t="s">
        <v>1405</v>
      </c>
      <c r="F6" s="348">
        <f ca="1">INDIRECT("'数据-取费表'!u"&amp;$G$1)</f>
        <v>0</v>
      </c>
      <c r="G6" s="1851"/>
      <c r="H6" s="1291" t="s">
        <v>1035</v>
      </c>
      <c r="I6" s="3154" t="s">
        <v>1403</v>
      </c>
      <c r="J6" s="346">
        <f ca="1">ROUND(M6*M8*M7*(1-M9),0)</f>
        <v>0</v>
      </c>
      <c r="K6" s="1834" t="s">
        <v>3032</v>
      </c>
      <c r="L6" s="347" t="s">
        <v>1405</v>
      </c>
      <c r="M6" s="348">
        <f ca="1">INDIRECT("'数据-取费表'!z"&amp;$G$1)</f>
        <v>0</v>
      </c>
    </row>
    <row r="7" spans="1:37" ht="18" customHeight="1">
      <c r="A7" s="1295"/>
      <c r="B7" s="3155"/>
      <c r="C7" s="1297"/>
      <c r="D7" s="352"/>
      <c r="E7" s="1298" t="s">
        <v>1406</v>
      </c>
      <c r="F7" s="348">
        <f ca="1">IF(INDIRECT("'数据-取费表'!ah"&amp;$G$1)="",INDIRECT("'数据-取费表'!k"&amp;$G$1),INDIRECT("'数据-取费表'!ah"&amp;$G$1))</f>
        <v>0</v>
      </c>
      <c r="G7" s="1851"/>
      <c r="H7" s="349"/>
      <c r="I7" s="3155"/>
      <c r="J7" s="351"/>
      <c r="K7" s="352"/>
      <c r="L7" s="347" t="s">
        <v>1406</v>
      </c>
      <c r="M7" s="348">
        <f ca="1">F7</f>
        <v>0</v>
      </c>
    </row>
    <row r="8" spans="1:37" ht="18" customHeight="1">
      <c r="A8" s="349"/>
      <c r="B8" s="3155"/>
      <c r="C8" s="351"/>
      <c r="D8" s="352"/>
      <c r="E8" s="347" t="s">
        <v>1407</v>
      </c>
      <c r="F8" s="348">
        <f ca="1">INDIRECT("'数据-取费表'!ai"&amp;$G$1)</f>
        <v>0</v>
      </c>
      <c r="G8" s="1851"/>
      <c r="H8" s="349"/>
      <c r="I8" s="3155"/>
      <c r="J8" s="351"/>
      <c r="K8" s="352"/>
      <c r="L8" s="347" t="s">
        <v>1407</v>
      </c>
      <c r="M8" s="348">
        <f ca="1">INDIRECT("'数据-取费表'!ai"&amp;$G$1)</f>
        <v>0</v>
      </c>
    </row>
    <row r="9" spans="1:37" ht="18" customHeight="1">
      <c r="A9" s="349"/>
      <c r="B9" s="3156"/>
      <c r="C9" s="351"/>
      <c r="D9" s="352"/>
      <c r="E9" s="347" t="s">
        <v>1408</v>
      </c>
      <c r="F9" s="357">
        <f ca="1">INDIRECT("'数据-取费表'!w"&amp;$G$1)</f>
        <v>0</v>
      </c>
      <c r="G9" s="1851"/>
      <c r="H9" s="349"/>
      <c r="I9" s="3156"/>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3042</v>
      </c>
      <c r="E10" s="358" t="s">
        <v>1410</v>
      </c>
      <c r="F10" s="1366"/>
      <c r="G10" s="1851"/>
      <c r="H10" s="1291" t="s">
        <v>1039</v>
      </c>
      <c r="I10" s="1823" t="s">
        <v>1409</v>
      </c>
      <c r="J10" s="346">
        <f ca="1">ROUND(IF(M10="押一",J6/12*M11,IF(M10="押二",J6/12*2*M11,IF(M10="押三",J6/12*3*M11,J11*M11))),0)</f>
        <v>0</v>
      </c>
      <c r="K10" s="1835" t="s">
        <v>3044</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0.03</v>
      </c>
      <c r="G20" s="1854"/>
      <c r="H20" s="1201"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1.5</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3045</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52" t="s">
        <v>1548</v>
      </c>
      <c r="L53" s="3153"/>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1612</v>
      </c>
    </row>
    <row r="6" spans="1:1" ht="18.75">
      <c r="A6" s="1950" t="s">
        <v>1613</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估价对象为北京市出让国有建设用地使用权及在建建筑物房地产，为所有。根据《国有土地使用证》[]，估价对象（分摊）出让国有建设用地使用权面积为14769.13平方米，建筑面积为79815.24平方米。</v>
      </c>
    </row>
    <row r="8" spans="1:1" ht="57.75">
      <c r="A8" s="1951" t="s">
        <v>1614</v>
      </c>
    </row>
    <row r="9" spans="1:1" ht="18.75">
      <c r="A9" s="1950" t="s">
        <v>1615</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商业、办公），该项目尚在开发建设中。根据《国有土地使用证》[]，估价对象（分摊）出让国有建设用地使用权面积为14769.13平方米，规划建筑面积为79815.24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2018年6月22日（评估专业人员实地查勘之日）</v>
      </c>
    </row>
    <row r="16" spans="1:1" ht="18.75">
      <c r="A16" s="1953" t="s">
        <v>1619</v>
      </c>
    </row>
    <row r="17" spans="1:1" ht="75">
      <c r="A17" s="1948" t="s">
        <v>1620</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2333</v>
      </c>
      <c r="B2" s="2568" t="e">
        <f ca="1">SUMIF(B6:B13,"&lt;&gt;#ref!",B6:B13)</f>
        <v>#DIV/0!</v>
      </c>
      <c r="C2" s="2569" t="s">
        <v>2522</v>
      </c>
      <c r="D2" s="2570" t="s">
        <v>2523</v>
      </c>
      <c r="E2" s="2571">
        <f>SUM(E6:E13)</f>
        <v>69852.989999999991</v>
      </c>
    </row>
    <row r="3" spans="1:6" ht="15.75">
      <c r="A3" s="2567" t="s">
        <v>1395</v>
      </c>
      <c r="B3" s="2568" t="e">
        <f ca="1">ROUND(B2*10000/E2,0)</f>
        <v>#DIV/0!</v>
      </c>
      <c r="C3" s="2569" t="s">
        <v>2530</v>
      </c>
      <c r="D3" s="2572"/>
      <c r="E3" s="2573"/>
    </row>
    <row r="4" spans="1:6" ht="15.75">
      <c r="A4" s="2574"/>
      <c r="B4" s="2572"/>
      <c r="C4" s="2572"/>
      <c r="D4" s="2572"/>
      <c r="E4" s="2573"/>
    </row>
    <row r="5" spans="1:6" ht="15">
      <c r="A5" s="2575" t="s">
        <v>2524</v>
      </c>
      <c r="B5" s="3157" t="s">
        <v>2525</v>
      </c>
      <c r="C5" s="3157"/>
      <c r="D5" s="2576"/>
      <c r="E5" s="2577" t="s">
        <v>2526</v>
      </c>
      <c r="F5" s="2578" t="s">
        <v>2527</v>
      </c>
    </row>
    <row r="6" spans="1:6">
      <c r="A6" s="2579" t="str">
        <f>'数据-取费表'!AN6</f>
        <v>收益法办公</v>
      </c>
      <c r="B6" s="2578" t="e">
        <f ca="1">IF(F6="是",'数据-取费表'!AO6,0)</f>
        <v>#DIV/0!</v>
      </c>
      <c r="C6" s="2569" t="s">
        <v>2522</v>
      </c>
      <c r="D6" s="2572"/>
      <c r="E6" s="2580">
        <f>IF(OR(A6=0,F6="否"),0,'数据-取费表'!K6+'数据-取费表'!S6)</f>
        <v>67234.559999999998</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t="str">
        <f>'数据-取费表'!AN8</f>
        <v>收益法仓储</v>
      </c>
      <c r="B8" s="2578">
        <f ca="1">IF(F8="是",'数据-取费表'!AO8,0)</f>
        <v>1472</v>
      </c>
      <c r="C8" s="2569" t="s">
        <v>2522</v>
      </c>
      <c r="D8" s="2572"/>
      <c r="E8" s="2580">
        <f>IF(OR(A8=0,F8="否"),0,'数据-取费表'!K8+'数据-取费表'!S8)</f>
        <v>2618.4300000000003</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63" t="s">
        <v>1077</v>
      </c>
      <c r="B2" s="3164" t="s">
        <v>1078</v>
      </c>
      <c r="C2" s="3164"/>
      <c r="D2" s="1301" t="s">
        <v>1079</v>
      </c>
      <c r="E2" s="1301" t="s">
        <v>1080</v>
      </c>
      <c r="F2" s="1301" t="s">
        <v>1081</v>
      </c>
      <c r="G2" s="1301" t="s">
        <v>1082</v>
      </c>
      <c r="H2" s="1301" t="s">
        <v>1083</v>
      </c>
      <c r="I2" s="1302" t="s">
        <v>1084</v>
      </c>
    </row>
    <row r="3" spans="1:9">
      <c r="A3" s="3163"/>
      <c r="B3" s="3164" t="s">
        <v>1085</v>
      </c>
      <c r="C3" s="3164"/>
      <c r="D3" s="1303"/>
      <c r="E3" s="1301"/>
      <c r="F3" s="1304"/>
      <c r="G3" s="1304"/>
      <c r="H3" s="1305"/>
      <c r="I3" s="1306">
        <f>ROUND(D3*E3*F3*G3*H3/10000,0)</f>
        <v>0</v>
      </c>
    </row>
    <row r="4" spans="1:9">
      <c r="A4" s="3163"/>
      <c r="B4" s="3164" t="s">
        <v>1086</v>
      </c>
      <c r="C4" s="3164"/>
      <c r="D4" s="1303"/>
      <c r="E4" s="1301"/>
      <c r="F4" s="1304"/>
      <c r="G4" s="1304"/>
      <c r="H4" s="1305"/>
      <c r="I4" s="1306">
        <f t="shared" ref="I4:I9" si="0">ROUND(D4*E4*F4*G4*H4/10000,0)</f>
        <v>0</v>
      </c>
    </row>
    <row r="5" spans="1:9">
      <c r="A5" s="3163"/>
      <c r="B5" s="3164" t="s">
        <v>1087</v>
      </c>
      <c r="C5" s="3164"/>
      <c r="D5" s="1303"/>
      <c r="E5" s="1301"/>
      <c r="F5" s="1304"/>
      <c r="G5" s="1304"/>
      <c r="H5" s="1305"/>
      <c r="I5" s="1306">
        <f t="shared" si="0"/>
        <v>0</v>
      </c>
    </row>
    <row r="6" spans="1:9">
      <c r="A6" s="3163"/>
      <c r="B6" s="3164" t="s">
        <v>1088</v>
      </c>
      <c r="C6" s="3164"/>
      <c r="D6" s="1303"/>
      <c r="E6" s="1301"/>
      <c r="F6" s="1304"/>
      <c r="G6" s="1304"/>
      <c r="H6" s="1305"/>
      <c r="I6" s="1306">
        <f t="shared" si="0"/>
        <v>0</v>
      </c>
    </row>
    <row r="7" spans="1:9">
      <c r="A7" s="3163"/>
      <c r="B7" s="3164" t="s">
        <v>1089</v>
      </c>
      <c r="C7" s="3164"/>
      <c r="D7" s="1303"/>
      <c r="E7" s="1301"/>
      <c r="F7" s="1304"/>
      <c r="G7" s="1304"/>
      <c r="H7" s="1305"/>
      <c r="I7" s="1306">
        <f t="shared" si="0"/>
        <v>0</v>
      </c>
    </row>
    <row r="8" spans="1:9">
      <c r="A8" s="3163"/>
      <c r="B8" s="3164" t="s">
        <v>1090</v>
      </c>
      <c r="C8" s="3164"/>
      <c r="D8" s="1303"/>
      <c r="E8" s="1301"/>
      <c r="F8" s="1304"/>
      <c r="G8" s="1304"/>
      <c r="H8" s="1305"/>
      <c r="I8" s="1306">
        <f t="shared" si="0"/>
        <v>0</v>
      </c>
    </row>
    <row r="9" spans="1:9">
      <c r="A9" s="3163"/>
      <c r="B9" s="3164" t="s">
        <v>1091</v>
      </c>
      <c r="C9" s="3164"/>
      <c r="D9" s="1303"/>
      <c r="E9" s="1301"/>
      <c r="F9" s="1304"/>
      <c r="G9" s="1304"/>
      <c r="H9" s="1305"/>
      <c r="I9" s="1306">
        <f t="shared" si="0"/>
        <v>0</v>
      </c>
    </row>
    <row r="10" spans="1:9">
      <c r="A10" s="3163"/>
      <c r="B10" s="3165" t="s">
        <v>1092</v>
      </c>
      <c r="C10" s="3165"/>
      <c r="D10" s="1307"/>
      <c r="E10" s="1307" t="e">
        <f>ROUND(D1*10000/D10/H9,0)</f>
        <v>#DIV/0!</v>
      </c>
      <c r="F10" s="1308"/>
      <c r="G10" s="1308"/>
      <c r="H10" s="1309"/>
      <c r="I10" s="1310">
        <f>SUM(I3:I9)</f>
        <v>0</v>
      </c>
    </row>
    <row r="11" spans="1:9" ht="14.25">
      <c r="A11" s="3163" t="s">
        <v>1093</v>
      </c>
      <c r="B11" s="3164" t="s">
        <v>1094</v>
      </c>
      <c r="C11" s="3164"/>
      <c r="D11" s="1303" t="s">
        <v>1095</v>
      </c>
      <c r="E11" s="1303" t="s">
        <v>1096</v>
      </c>
      <c r="F11" s="1304" t="s">
        <v>1097</v>
      </c>
      <c r="G11" s="1304" t="s">
        <v>1083</v>
      </c>
      <c r="H11" s="1311" t="s">
        <v>1098</v>
      </c>
      <c r="I11" s="1302" t="s">
        <v>1084</v>
      </c>
    </row>
    <row r="12" spans="1:9">
      <c r="A12" s="3163"/>
      <c r="B12" s="3164" t="s">
        <v>1099</v>
      </c>
      <c r="C12" s="3164"/>
      <c r="D12" s="1303"/>
      <c r="E12" s="1303"/>
      <c r="F12" s="1304"/>
      <c r="G12" s="1305"/>
      <c r="H12" s="1312"/>
      <c r="I12" s="1302">
        <f>ROUND(D12*E12*F12*G12/10000,0)</f>
        <v>0</v>
      </c>
    </row>
    <row r="13" spans="1:9">
      <c r="A13" s="3163"/>
      <c r="B13" s="3164" t="s">
        <v>1100</v>
      </c>
      <c r="C13" s="3164"/>
      <c r="D13" s="1303"/>
      <c r="E13" s="1303"/>
      <c r="F13" s="1304"/>
      <c r="G13" s="1305"/>
      <c r="H13" s="1312"/>
      <c r="I13" s="1302">
        <f>ROUND(D13*E13*F13*G13/10000,0)</f>
        <v>0</v>
      </c>
    </row>
    <row r="14" spans="1:9">
      <c r="A14" s="3163"/>
      <c r="B14" s="3164" t="s">
        <v>1101</v>
      </c>
      <c r="C14" s="3164"/>
      <c r="D14" s="1303"/>
      <c r="E14" s="1303"/>
      <c r="F14" s="1304"/>
      <c r="G14" s="1305"/>
      <c r="H14" s="1312"/>
      <c r="I14" s="1302">
        <f>ROUND(D14*E14*F14*G14/10000,0)</f>
        <v>0</v>
      </c>
    </row>
    <row r="15" spans="1:9">
      <c r="A15" s="3163"/>
      <c r="B15" s="3165" t="s">
        <v>1092</v>
      </c>
      <c r="C15" s="3165"/>
      <c r="D15" s="1307"/>
      <c r="E15" s="1307">
        <f>SUM(E12:E14)</f>
        <v>0</v>
      </c>
      <c r="F15" s="1308"/>
      <c r="G15" s="1305"/>
      <c r="H15" s="1312"/>
      <c r="I15" s="1313">
        <f>SUM(I12:I14)</f>
        <v>0</v>
      </c>
    </row>
    <row r="16" spans="1:9" ht="24">
      <c r="A16" s="3163" t="s">
        <v>1102</v>
      </c>
      <c r="B16" s="3164" t="s">
        <v>1103</v>
      </c>
      <c r="C16" s="3164"/>
      <c r="D16" s="1303" t="s">
        <v>1079</v>
      </c>
      <c r="E16" s="1314" t="s">
        <v>1104</v>
      </c>
      <c r="F16" s="1304" t="s">
        <v>1105</v>
      </c>
      <c r="G16" s="1305" t="s">
        <v>1083</v>
      </c>
      <c r="H16" s="1311" t="s">
        <v>1098</v>
      </c>
      <c r="I16" s="1302" t="s">
        <v>1084</v>
      </c>
    </row>
    <row r="17" spans="1:9" ht="14.25">
      <c r="A17" s="3163"/>
      <c r="B17" s="3164" t="s">
        <v>1106</v>
      </c>
      <c r="C17" s="3164"/>
      <c r="D17" s="1303"/>
      <c r="E17" s="1303"/>
      <c r="F17" s="1304"/>
      <c r="G17" s="1305"/>
      <c r="H17" s="1315"/>
      <c r="I17" s="1316">
        <f>ROUND(D17*E17*F17*G17/10000,0)</f>
        <v>0</v>
      </c>
    </row>
    <row r="18" spans="1:9" ht="14.25">
      <c r="A18" s="3163"/>
      <c r="B18" s="3164" t="s">
        <v>1107</v>
      </c>
      <c r="C18" s="3164"/>
      <c r="D18" s="1303"/>
      <c r="E18" s="1303"/>
      <c r="F18" s="1304"/>
      <c r="G18" s="1305"/>
      <c r="H18" s="1315"/>
      <c r="I18" s="1316">
        <f>ROUND(D18*E18*F18*G18/10000,0)</f>
        <v>0</v>
      </c>
    </row>
    <row r="19" spans="1:9" ht="14.25">
      <c r="A19" s="3163"/>
      <c r="B19" s="3164" t="s">
        <v>1108</v>
      </c>
      <c r="C19" s="3164"/>
      <c r="D19" s="1303"/>
      <c r="E19" s="1303"/>
      <c r="F19" s="1304"/>
      <c r="G19" s="1305"/>
      <c r="H19" s="1315"/>
      <c r="I19" s="1316">
        <f>ROUND(D19*E19*F19*G19/10000,0)</f>
        <v>0</v>
      </c>
    </row>
    <row r="20" spans="1:9">
      <c r="A20" s="3163"/>
      <c r="B20" s="3165" t="s">
        <v>1092</v>
      </c>
      <c r="C20" s="3165"/>
      <c r="D20" s="1307">
        <f>SUM(D17:D19)</f>
        <v>0</v>
      </c>
      <c r="E20" s="1307"/>
      <c r="F20" s="1308"/>
      <c r="G20" s="1305"/>
      <c r="H20" s="1312"/>
      <c r="I20" s="1313">
        <f>SUM(I17:I19)</f>
        <v>0</v>
      </c>
    </row>
    <row r="21" spans="1:9">
      <c r="A21" s="3163" t="s">
        <v>1109</v>
      </c>
      <c r="B21" s="3167"/>
      <c r="C21" s="3167"/>
      <c r="D21" s="3167"/>
      <c r="E21" s="3167"/>
      <c r="F21" s="3167"/>
      <c r="G21" s="3167"/>
      <c r="H21" s="1765">
        <v>0.1</v>
      </c>
      <c r="I21" s="1310">
        <f>ROUND(I10*H21,0)</f>
        <v>0</v>
      </c>
    </row>
    <row r="22" spans="1:9" ht="14.25">
      <c r="A22" s="3168" t="s">
        <v>1110</v>
      </c>
      <c r="B22" s="3169"/>
      <c r="C22" s="3170"/>
      <c r="D22" s="1317" t="s">
        <v>1111</v>
      </c>
      <c r="E22" s="1317" t="s">
        <v>1112</v>
      </c>
      <c r="F22" s="1318" t="s">
        <v>1113</v>
      </c>
      <c r="G22" s="1318" t="s">
        <v>1114</v>
      </c>
      <c r="H22" s="1311" t="s">
        <v>1115</v>
      </c>
      <c r="I22" s="1302" t="s">
        <v>1116</v>
      </c>
    </row>
    <row r="23" spans="1:9" ht="14.25" thickBot="1">
      <c r="A23" s="3171"/>
      <c r="B23" s="3172"/>
      <c r="C23" s="3173"/>
      <c r="D23" s="1319"/>
      <c r="E23" s="1319"/>
      <c r="F23" s="1319"/>
      <c r="G23" s="1320"/>
      <c r="H23" s="1321"/>
      <c r="I23" s="1322">
        <f>ROUND(E23*D23*F23*(1-G23)/10000,0)</f>
        <v>0</v>
      </c>
    </row>
    <row r="26" spans="1:9">
      <c r="A26" s="1323" t="s">
        <v>1117</v>
      </c>
      <c r="B26" s="1323"/>
      <c r="C26" s="1323"/>
      <c r="D26" s="1323"/>
      <c r="E26" s="3174">
        <f>C27-C30-C31-C32</f>
        <v>0</v>
      </c>
      <c r="F26" s="3174"/>
      <c r="G26" s="3174"/>
      <c r="H26" s="1737" t="s">
        <v>1340</v>
      </c>
    </row>
    <row r="27" spans="1:9">
      <c r="A27" s="1324">
        <v>1</v>
      </c>
      <c r="B27" s="1325" t="s">
        <v>1118</v>
      </c>
      <c r="C27" s="1325">
        <f>C28+C29</f>
        <v>0</v>
      </c>
      <c r="D27" s="1325"/>
      <c r="E27" s="3175"/>
      <c r="F27" s="3175"/>
      <c r="G27" s="3175"/>
    </row>
    <row r="28" spans="1:9">
      <c r="A28" s="1326" t="s">
        <v>1119</v>
      </c>
      <c r="B28" s="1325" t="s">
        <v>1120</v>
      </c>
      <c r="C28" s="1325"/>
      <c r="D28" s="1325"/>
      <c r="E28" s="3175"/>
      <c r="F28" s="3175"/>
      <c r="G28" s="317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66"/>
      <c r="F32" s="3166"/>
      <c r="G32" s="3166"/>
    </row>
    <row r="33" spans="1:7" hidden="1">
      <c r="A33" s="3176" t="s">
        <v>1129</v>
      </c>
      <c r="B33" s="3177"/>
      <c r="C33" s="3177"/>
      <c r="D33" s="3178"/>
      <c r="E33" s="3174"/>
      <c r="F33" s="3174"/>
      <c r="G33" s="3174"/>
    </row>
    <row r="34" spans="1:7" hidden="1">
      <c r="A34" s="1328">
        <v>1</v>
      </c>
      <c r="B34" s="1325" t="s">
        <v>1130</v>
      </c>
      <c r="C34" s="1325"/>
      <c r="D34" s="1325"/>
      <c r="E34" s="3175"/>
      <c r="F34" s="3175"/>
      <c r="G34" s="3175"/>
    </row>
    <row r="35" spans="1:7" hidden="1">
      <c r="A35" s="1328">
        <v>2</v>
      </c>
      <c r="B35" s="1325" t="s">
        <v>1131</v>
      </c>
      <c r="C35" s="1325"/>
      <c r="D35" s="1325"/>
      <c r="E35" s="3175"/>
      <c r="F35" s="3175"/>
      <c r="G35" s="3175"/>
    </row>
    <row r="36" spans="1:7" hidden="1">
      <c r="A36" s="1328">
        <v>3</v>
      </c>
      <c r="B36" s="1325" t="s">
        <v>1132</v>
      </c>
      <c r="C36" s="1325"/>
      <c r="D36" s="1325"/>
      <c r="E36" s="3175"/>
      <c r="F36" s="3175"/>
      <c r="G36" s="3175"/>
    </row>
    <row r="37" spans="1:7" hidden="1">
      <c r="A37" s="1328">
        <v>4</v>
      </c>
      <c r="B37" s="1325" t="s">
        <v>1133</v>
      </c>
      <c r="C37" s="1325"/>
      <c r="D37" s="1325"/>
      <c r="E37" s="3175"/>
      <c r="F37" s="3175"/>
      <c r="G37" s="3175"/>
    </row>
    <row r="38" spans="1:7" hidden="1">
      <c r="A38" s="3176" t="s">
        <v>1134</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79815.240000000005</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197" t="s">
        <v>2539</v>
      </c>
      <c r="D4" s="3198"/>
      <c r="E4" s="3199" t="s">
        <v>2540</v>
      </c>
      <c r="F4" s="3200"/>
      <c r="G4" s="3197" t="s">
        <v>2541</v>
      </c>
      <c r="H4" s="3198"/>
      <c r="I4" s="3197" t="s">
        <v>2542</v>
      </c>
      <c r="J4" s="3198"/>
      <c r="K4" s="2599" t="s">
        <v>2543</v>
      </c>
      <c r="L4" s="1130"/>
      <c r="M4" s="1131"/>
      <c r="N4" s="1131"/>
      <c r="O4" s="1131"/>
      <c r="P4" s="3201" t="s">
        <v>2544</v>
      </c>
      <c r="Q4" s="3202"/>
      <c r="R4" s="3184" t="s">
        <v>2540</v>
      </c>
      <c r="S4" s="3185"/>
      <c r="T4" s="3184" t="s">
        <v>2541</v>
      </c>
      <c r="U4" s="3185"/>
      <c r="V4" s="3209" t="s">
        <v>2542</v>
      </c>
      <c r="W4" s="3209"/>
      <c r="X4" s="1813"/>
      <c r="Y4" s="3184" t="s">
        <v>2544</v>
      </c>
      <c r="Z4" s="3185"/>
      <c r="AA4" s="3179" t="s">
        <v>2540</v>
      </c>
      <c r="AB4" s="3179" t="s">
        <v>2541</v>
      </c>
      <c r="AC4" s="3179" t="s">
        <v>2542</v>
      </c>
    </row>
    <row r="5" spans="1:29" ht="15">
      <c r="A5" s="404"/>
      <c r="B5" s="405"/>
      <c r="C5" s="3190" t="s">
        <v>2545</v>
      </c>
      <c r="D5" s="3191"/>
      <c r="E5" s="3188" t="s">
        <v>2546</v>
      </c>
      <c r="F5" s="3189"/>
      <c r="G5" s="3190" t="s">
        <v>2547</v>
      </c>
      <c r="H5" s="3191"/>
      <c r="I5" s="3190" t="s">
        <v>2548</v>
      </c>
      <c r="J5" s="3191"/>
      <c r="K5" s="260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2549</v>
      </c>
      <c r="D6" s="3193"/>
      <c r="E6" s="3194" t="s">
        <v>2549</v>
      </c>
      <c r="F6" s="3195"/>
      <c r="G6" s="3192" t="s">
        <v>2549</v>
      </c>
      <c r="H6" s="3193"/>
      <c r="I6" s="3192" t="s">
        <v>2549</v>
      </c>
      <c r="J6" s="3193"/>
      <c r="K6" s="2600" t="s">
        <v>2550</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2551</v>
      </c>
      <c r="B7" s="409"/>
      <c r="C7" s="410">
        <f>'数据-取费表'!B2</f>
        <v>43273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82" t="s">
        <v>2552</v>
      </c>
      <c r="Q7" s="3210"/>
      <c r="R7" s="770" t="s">
        <v>23</v>
      </c>
      <c r="S7" s="771">
        <f t="shared" ref="S7:S15" si="0">F7</f>
        <v>0</v>
      </c>
      <c r="T7" s="770" t="s">
        <v>23</v>
      </c>
      <c r="U7" s="771">
        <f t="shared" ref="U7:U15" si="1">H7</f>
        <v>0</v>
      </c>
      <c r="V7" s="770" t="s">
        <v>23</v>
      </c>
      <c r="W7" s="771">
        <f t="shared" ref="W7:W15" si="2">J7</f>
        <v>0</v>
      </c>
      <c r="X7" s="772"/>
      <c r="Y7" s="3182" t="s">
        <v>2552</v>
      </c>
      <c r="Z7" s="3183"/>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82" t="s">
        <v>2555</v>
      </c>
      <c r="Q8" s="3183"/>
      <c r="R8" s="770" t="s">
        <v>23</v>
      </c>
      <c r="S8" s="771">
        <f t="shared" si="0"/>
        <v>0</v>
      </c>
      <c r="T8" s="770" t="s">
        <v>23</v>
      </c>
      <c r="U8" s="771">
        <f t="shared" si="1"/>
        <v>0</v>
      </c>
      <c r="V8" s="770" t="s">
        <v>23</v>
      </c>
      <c r="W8" s="771">
        <f t="shared" si="2"/>
        <v>0</v>
      </c>
      <c r="X8" s="772"/>
      <c r="Y8" s="3182" t="s">
        <v>2555</v>
      </c>
      <c r="Z8" s="318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96"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2563</v>
      </c>
      <c r="Q15" s="1810" t="str">
        <f t="shared" si="6"/>
        <v>居住社区成熟度</v>
      </c>
      <c r="R15" s="774" t="s">
        <v>21</v>
      </c>
      <c r="S15" s="775">
        <f t="shared" si="0"/>
        <v>100</v>
      </c>
      <c r="T15" s="774" t="s">
        <v>21</v>
      </c>
      <c r="U15" s="775">
        <f t="shared" si="1"/>
        <v>100</v>
      </c>
      <c r="V15" s="774" t="s">
        <v>21</v>
      </c>
      <c r="W15" s="775">
        <f t="shared" si="2"/>
        <v>100</v>
      </c>
      <c r="X15" s="1813"/>
      <c r="Y15" s="3216" t="s">
        <v>2563</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24"/>
      <c r="Q16" s="1810"/>
      <c r="R16" s="774"/>
      <c r="S16" s="775"/>
      <c r="T16" s="774"/>
      <c r="U16" s="775"/>
      <c r="V16" s="774"/>
      <c r="W16" s="775"/>
      <c r="X16" s="1813"/>
      <c r="Y16" s="3217"/>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10" t="str">
        <f>B17</f>
        <v>交通便捷度</v>
      </c>
      <c r="R17" s="774" t="s">
        <v>21</v>
      </c>
      <c r="S17" s="775">
        <f>F17</f>
        <v>100</v>
      </c>
      <c r="T17" s="774" t="s">
        <v>21</v>
      </c>
      <c r="U17" s="775">
        <f>H17</f>
        <v>100</v>
      </c>
      <c r="V17" s="774" t="s">
        <v>21</v>
      </c>
      <c r="W17" s="775">
        <f>J17</f>
        <v>100</v>
      </c>
      <c r="X17" s="1813"/>
      <c r="Y17" s="3217"/>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24"/>
      <c r="Q18" s="1810"/>
      <c r="R18" s="774"/>
      <c r="S18" s="775"/>
      <c r="T18" s="774"/>
      <c r="U18" s="775"/>
      <c r="V18" s="774"/>
      <c r="W18" s="775"/>
      <c r="X18" s="1813"/>
      <c r="Y18" s="3217"/>
      <c r="Z18" s="1814"/>
      <c r="AA18" s="1811">
        <v>1</v>
      </c>
      <c r="AB18" s="1811">
        <v>1</v>
      </c>
      <c r="AC18" s="1811">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10" t="str">
        <f>B19</f>
        <v>公共配套设施</v>
      </c>
      <c r="R19" s="774" t="s">
        <v>21</v>
      </c>
      <c r="S19" s="775">
        <f>F19</f>
        <v>100</v>
      </c>
      <c r="T19" s="774" t="s">
        <v>21</v>
      </c>
      <c r="U19" s="775">
        <f>H19</f>
        <v>100</v>
      </c>
      <c r="V19" s="774" t="s">
        <v>21</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24"/>
      <c r="Q20" s="1810"/>
      <c r="R20" s="774"/>
      <c r="S20" s="775"/>
      <c r="T20" s="774"/>
      <c r="U20" s="775"/>
      <c r="V20" s="774"/>
      <c r="W20" s="775"/>
      <c r="X20" s="1813"/>
      <c r="Y20" s="3217"/>
      <c r="Z20" s="1814"/>
      <c r="AA20" s="1811">
        <v>1</v>
      </c>
      <c r="AB20" s="1811">
        <v>1</v>
      </c>
      <c r="AC20" s="1811">
        <v>1</v>
      </c>
    </row>
    <row r="21" spans="1:29" ht="28.5">
      <c r="A21" s="428"/>
      <c r="B21" s="1384"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24"/>
      <c r="Q22" s="1810"/>
      <c r="R22" s="774"/>
      <c r="S22" s="775"/>
      <c r="T22" s="774"/>
      <c r="U22" s="775"/>
      <c r="V22" s="774"/>
      <c r="W22" s="775"/>
      <c r="X22" s="1813"/>
      <c r="Y22" s="3217"/>
      <c r="Z22" s="1814"/>
      <c r="AA22" s="1811">
        <v>1</v>
      </c>
      <c r="AB22" s="1811">
        <v>1</v>
      </c>
      <c r="AC22" s="1811">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10" t="str">
        <f>B23</f>
        <v>自然及人文环境</v>
      </c>
      <c r="R23" s="774" t="s">
        <v>21</v>
      </c>
      <c r="S23" s="775">
        <f>F23</f>
        <v>100</v>
      </c>
      <c r="T23" s="774" t="s">
        <v>21</v>
      </c>
      <c r="U23" s="775">
        <f>H23</f>
        <v>100</v>
      </c>
      <c r="V23" s="774" t="s">
        <v>21</v>
      </c>
      <c r="W23" s="775">
        <f>J23</f>
        <v>100</v>
      </c>
      <c r="X23" s="1813"/>
      <c r="Y23" s="3217"/>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2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7"/>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24"/>
      <c r="Q26" s="1810" t="str">
        <f t="shared" si="11"/>
        <v>朝向</v>
      </c>
      <c r="R26" s="774" t="s">
        <v>21</v>
      </c>
      <c r="S26" s="775">
        <f t="shared" si="12"/>
        <v>100</v>
      </c>
      <c r="T26" s="774" t="s">
        <v>21</v>
      </c>
      <c r="U26" s="775">
        <f t="shared" si="13"/>
        <v>100</v>
      </c>
      <c r="V26" s="774" t="s">
        <v>21</v>
      </c>
      <c r="W26" s="775">
        <f t="shared" si="14"/>
        <v>100</v>
      </c>
      <c r="X26" s="1813"/>
      <c r="Y26" s="321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24"/>
      <c r="Q27" s="1795">
        <f t="shared" si="11"/>
        <v>111</v>
      </c>
      <c r="R27" s="770" t="s">
        <v>21</v>
      </c>
      <c r="S27" s="771">
        <f t="shared" si="12"/>
        <v>100</v>
      </c>
      <c r="T27" s="770" t="s">
        <v>21</v>
      </c>
      <c r="U27" s="771">
        <f t="shared" si="13"/>
        <v>100</v>
      </c>
      <c r="V27" s="770" t="s">
        <v>21</v>
      </c>
      <c r="W27" s="771">
        <f t="shared" si="14"/>
        <v>100</v>
      </c>
      <c r="X27" s="772"/>
      <c r="Y27" s="321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24"/>
      <c r="Q28" s="1810">
        <f t="shared" si="11"/>
        <v>111</v>
      </c>
      <c r="R28" s="774" t="s">
        <v>21</v>
      </c>
      <c r="S28" s="775">
        <f t="shared" si="12"/>
        <v>100</v>
      </c>
      <c r="T28" s="774" t="s">
        <v>21</v>
      </c>
      <c r="U28" s="775">
        <f t="shared" si="13"/>
        <v>100</v>
      </c>
      <c r="V28" s="774" t="s">
        <v>21</v>
      </c>
      <c r="W28" s="775">
        <f t="shared" si="14"/>
        <v>100</v>
      </c>
      <c r="X28" s="1813"/>
      <c r="Y28" s="321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24"/>
      <c r="Q29" s="1810">
        <f t="shared" si="11"/>
        <v>111</v>
      </c>
      <c r="R29" s="774" t="s">
        <v>21</v>
      </c>
      <c r="S29" s="775">
        <f t="shared" si="12"/>
        <v>100</v>
      </c>
      <c r="T29" s="774" t="s">
        <v>21</v>
      </c>
      <c r="U29" s="775">
        <f t="shared" si="13"/>
        <v>100</v>
      </c>
      <c r="V29" s="774" t="s">
        <v>21</v>
      </c>
      <c r="W29" s="775">
        <f t="shared" si="14"/>
        <v>100</v>
      </c>
      <c r="X29" s="1813"/>
      <c r="Y29" s="321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24"/>
      <c r="Q30" s="1810">
        <f t="shared" si="11"/>
        <v>111</v>
      </c>
      <c r="R30" s="774" t="s">
        <v>21</v>
      </c>
      <c r="S30" s="775">
        <f t="shared" si="12"/>
        <v>100</v>
      </c>
      <c r="T30" s="774" t="s">
        <v>21</v>
      </c>
      <c r="U30" s="775">
        <f t="shared" si="13"/>
        <v>100</v>
      </c>
      <c r="V30" s="774" t="s">
        <v>21</v>
      </c>
      <c r="W30" s="775">
        <f t="shared" si="14"/>
        <v>100</v>
      </c>
      <c r="X30" s="1813"/>
      <c r="Y30" s="321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24"/>
      <c r="Q31" s="1810">
        <f t="shared" si="11"/>
        <v>111</v>
      </c>
      <c r="R31" s="774" t="s">
        <v>21</v>
      </c>
      <c r="S31" s="775">
        <f t="shared" si="12"/>
        <v>100</v>
      </c>
      <c r="T31" s="774" t="s">
        <v>21</v>
      </c>
      <c r="U31" s="775">
        <f t="shared" si="13"/>
        <v>100</v>
      </c>
      <c r="V31" s="774" t="s">
        <v>21</v>
      </c>
      <c r="W31" s="775">
        <f t="shared" si="14"/>
        <v>100</v>
      </c>
      <c r="X31" s="1813"/>
      <c r="Y31" s="3217"/>
      <c r="Z31" s="1814">
        <f t="shared" si="18"/>
        <v>111</v>
      </c>
      <c r="AA31" s="1811">
        <f t="shared" si="15"/>
        <v>1</v>
      </c>
      <c r="AB31" s="1811">
        <f t="shared" si="16"/>
        <v>1</v>
      </c>
      <c r="AC31" s="1811">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8" t="s">
        <v>2568</v>
      </c>
      <c r="Q32" s="1810" t="str">
        <f t="shared" si="11"/>
        <v>建筑类型</v>
      </c>
      <c r="R32" s="774" t="s">
        <v>21</v>
      </c>
      <c r="S32" s="775">
        <f t="shared" si="12"/>
        <v>100</v>
      </c>
      <c r="T32" s="774" t="s">
        <v>21</v>
      </c>
      <c r="U32" s="775">
        <f t="shared" si="13"/>
        <v>100</v>
      </c>
      <c r="V32" s="774" t="s">
        <v>21</v>
      </c>
      <c r="W32" s="775">
        <f t="shared" si="14"/>
        <v>100</v>
      </c>
      <c r="X32" s="1813"/>
      <c r="Y32" s="3221"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11" t="e">
        <f t="shared" si="15"/>
        <v>#N/A</v>
      </c>
      <c r="AB33" s="1811" t="e">
        <f t="shared" si="16"/>
        <v>#N/A</v>
      </c>
      <c r="AC33" s="1811"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9"/>
      <c r="Q34" s="1810" t="str">
        <f t="shared" si="11"/>
        <v>建筑结构</v>
      </c>
      <c r="R34" s="774" t="s">
        <v>21</v>
      </c>
      <c r="S34" s="775">
        <f t="shared" si="12"/>
        <v>100</v>
      </c>
      <c r="T34" s="774" t="s">
        <v>21</v>
      </c>
      <c r="U34" s="775">
        <f t="shared" si="13"/>
        <v>100</v>
      </c>
      <c r="V34" s="774" t="s">
        <v>21</v>
      </c>
      <c r="W34" s="775">
        <f t="shared" si="14"/>
        <v>100</v>
      </c>
      <c r="X34" s="1813"/>
      <c r="Y34" s="3221"/>
      <c r="Z34" s="1814" t="str">
        <f t="shared" si="18"/>
        <v>建筑结构</v>
      </c>
      <c r="AA34" s="1811">
        <f t="shared" si="15"/>
        <v>1</v>
      </c>
      <c r="AB34" s="1811">
        <f t="shared" si="16"/>
        <v>1</v>
      </c>
      <c r="AC34" s="1811">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9"/>
      <c r="Q35" s="1810" t="str">
        <f t="shared" si="11"/>
        <v>建筑品质</v>
      </c>
      <c r="R35" s="774" t="s">
        <v>21</v>
      </c>
      <c r="S35" s="775">
        <f t="shared" si="12"/>
        <v>100</v>
      </c>
      <c r="T35" s="774" t="s">
        <v>21</v>
      </c>
      <c r="U35" s="775">
        <f t="shared" si="13"/>
        <v>100</v>
      </c>
      <c r="V35" s="774" t="s">
        <v>21</v>
      </c>
      <c r="W35" s="775">
        <f t="shared" si="14"/>
        <v>100</v>
      </c>
      <c r="X35" s="1813"/>
      <c r="Y35" s="3221"/>
      <c r="Z35" s="1814" t="str">
        <f t="shared" si="18"/>
        <v>建筑品质</v>
      </c>
      <c r="AA35" s="1811">
        <f t="shared" si="15"/>
        <v>1</v>
      </c>
      <c r="AB35" s="1811">
        <f t="shared" si="16"/>
        <v>1</v>
      </c>
      <c r="AC35" s="1811">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9"/>
      <c r="Q36" s="1810" t="str">
        <f t="shared" si="11"/>
        <v>公共部分装修</v>
      </c>
      <c r="R36" s="774" t="s">
        <v>21</v>
      </c>
      <c r="S36" s="775">
        <f t="shared" si="12"/>
        <v>100</v>
      </c>
      <c r="T36" s="774" t="s">
        <v>21</v>
      </c>
      <c r="U36" s="775">
        <f t="shared" si="13"/>
        <v>100</v>
      </c>
      <c r="V36" s="774" t="s">
        <v>21</v>
      </c>
      <c r="W36" s="775">
        <f t="shared" si="14"/>
        <v>100</v>
      </c>
      <c r="X36" s="1813"/>
      <c r="Y36" s="3221"/>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95"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9" t="s">
        <v>2568</v>
      </c>
      <c r="Q38" s="1810" t="str">
        <f t="shared" si="11"/>
        <v>物业管理</v>
      </c>
      <c r="R38" s="774" t="s">
        <v>21</v>
      </c>
      <c r="S38" s="775">
        <f t="shared" si="12"/>
        <v>100</v>
      </c>
      <c r="T38" s="774" t="s">
        <v>21</v>
      </c>
      <c r="U38" s="775">
        <f t="shared" si="13"/>
        <v>100</v>
      </c>
      <c r="V38" s="774" t="s">
        <v>21</v>
      </c>
      <c r="W38" s="775">
        <f t="shared" si="14"/>
        <v>100</v>
      </c>
      <c r="X38" s="1813"/>
      <c r="Y38" s="3221" t="s">
        <v>2568</v>
      </c>
      <c r="Z38" s="1814" t="str">
        <f t="shared" si="18"/>
        <v>物业管理</v>
      </c>
      <c r="AA38" s="1811">
        <f t="shared" si="15"/>
        <v>1</v>
      </c>
      <c r="AB38" s="1811">
        <f t="shared" si="16"/>
        <v>1</v>
      </c>
      <c r="AC38" s="1811">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9"/>
      <c r="Q39" s="1810" t="str">
        <f t="shared" si="11"/>
        <v>市政基础设施</v>
      </c>
      <c r="R39" s="774" t="s">
        <v>21</v>
      </c>
      <c r="S39" s="775">
        <f t="shared" si="12"/>
        <v>100</v>
      </c>
      <c r="T39" s="774" t="s">
        <v>21</v>
      </c>
      <c r="U39" s="775">
        <f t="shared" si="13"/>
        <v>100</v>
      </c>
      <c r="V39" s="774" t="s">
        <v>21</v>
      </c>
      <c r="W39" s="775">
        <f t="shared" si="14"/>
        <v>100</v>
      </c>
      <c r="X39" s="1813"/>
      <c r="Y39" s="3221"/>
      <c r="Z39" s="1814" t="str">
        <f t="shared" si="18"/>
        <v>市政基础设施</v>
      </c>
      <c r="AA39" s="1811">
        <f t="shared" si="15"/>
        <v>1</v>
      </c>
      <c r="AB39" s="1811">
        <f t="shared" si="16"/>
        <v>1</v>
      </c>
      <c r="AC39" s="1811">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9"/>
      <c r="Q40" s="1810" t="str">
        <f t="shared" si="11"/>
        <v>房型</v>
      </c>
      <c r="R40" s="774" t="s">
        <v>21</v>
      </c>
      <c r="S40" s="775">
        <f t="shared" si="12"/>
        <v>100</v>
      </c>
      <c r="T40" s="774" t="s">
        <v>21</v>
      </c>
      <c r="U40" s="775">
        <f t="shared" si="13"/>
        <v>100</v>
      </c>
      <c r="V40" s="774" t="s">
        <v>21</v>
      </c>
      <c r="W40" s="775">
        <f t="shared" si="14"/>
        <v>100</v>
      </c>
      <c r="X40" s="1813"/>
      <c r="Y40" s="3221"/>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11">
        <f t="shared" si="15"/>
        <v>1</v>
      </c>
      <c r="AB41" s="1811">
        <f t="shared" si="16"/>
        <v>1</v>
      </c>
      <c r="AC41" s="1811">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9"/>
      <c r="Q42" s="1810" t="str">
        <f t="shared" si="11"/>
        <v>内部装修</v>
      </c>
      <c r="R42" s="774" t="s">
        <v>21</v>
      </c>
      <c r="S42" s="775">
        <f t="shared" si="12"/>
        <v>100</v>
      </c>
      <c r="T42" s="774" t="s">
        <v>21</v>
      </c>
      <c r="U42" s="775">
        <f t="shared" si="13"/>
        <v>100</v>
      </c>
      <c r="V42" s="774" t="s">
        <v>21</v>
      </c>
      <c r="W42" s="775">
        <f t="shared" si="14"/>
        <v>100</v>
      </c>
      <c r="X42" s="1813"/>
      <c r="Y42" s="3221"/>
      <c r="Z42" s="1814" t="str">
        <f t="shared" si="18"/>
        <v>内部装修</v>
      </c>
      <c r="AA42" s="1811">
        <f t="shared" si="15"/>
        <v>1</v>
      </c>
      <c r="AB42" s="1811">
        <f t="shared" si="16"/>
        <v>1</v>
      </c>
      <c r="AC42" s="1811">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9"/>
      <c r="Q43" s="1810" t="str">
        <f t="shared" si="11"/>
        <v>内部装修维护情况</v>
      </c>
      <c r="R43" s="774" t="s">
        <v>21</v>
      </c>
      <c r="S43" s="775">
        <f t="shared" si="12"/>
        <v>100</v>
      </c>
      <c r="T43" s="774" t="s">
        <v>21</v>
      </c>
      <c r="U43" s="775">
        <f t="shared" si="13"/>
        <v>100</v>
      </c>
      <c r="V43" s="774" t="s">
        <v>21</v>
      </c>
      <c r="W43" s="775">
        <f t="shared" si="14"/>
        <v>100</v>
      </c>
      <c r="X43" s="1813"/>
      <c r="Y43" s="322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9"/>
      <c r="Q44" s="1795">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9"/>
      <c r="Q45" s="1810">
        <f t="shared" si="11"/>
        <v>111</v>
      </c>
      <c r="R45" s="774" t="s">
        <v>21</v>
      </c>
      <c r="S45" s="775">
        <f t="shared" si="12"/>
        <v>100</v>
      </c>
      <c r="T45" s="774" t="s">
        <v>21</v>
      </c>
      <c r="U45" s="775">
        <f t="shared" si="13"/>
        <v>100</v>
      </c>
      <c r="V45" s="774" t="s">
        <v>21</v>
      </c>
      <c r="W45" s="775">
        <f t="shared" si="14"/>
        <v>100</v>
      </c>
      <c r="X45" s="1813"/>
      <c r="Y45" s="3221"/>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20"/>
      <c r="Q46" s="1810">
        <f t="shared" si="11"/>
        <v>111</v>
      </c>
      <c r="R46" s="774" t="s">
        <v>20</v>
      </c>
      <c r="S46" s="775">
        <f t="shared" si="12"/>
        <v>100</v>
      </c>
      <c r="T46" s="774" t="s">
        <v>20</v>
      </c>
      <c r="U46" s="775">
        <f t="shared" si="13"/>
        <v>100</v>
      </c>
      <c r="V46" s="774" t="s">
        <v>20</v>
      </c>
      <c r="W46" s="775">
        <f t="shared" si="14"/>
        <v>100</v>
      </c>
      <c r="X46" s="1813"/>
      <c r="Y46" s="3222"/>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4"/>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6"/>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9"/>
      <c r="Q57" s="504"/>
    </row>
    <row r="58" spans="1:29" s="508" customFormat="1" ht="15">
      <c r="A58" s="505" t="s">
        <v>2587</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t="e">
        <f ca="1">IF(C2="——",ROUND(C49*D3/10000,0),ROUND(C49*D3/10000,0)-D2)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t="e">
        <f ca="1">IF(C2="——",C49,ROUND(B2*10000/D3,0))</f>
        <v>#DIV/0!</v>
      </c>
      <c r="C3" s="400" t="s">
        <v>2647</v>
      </c>
      <c r="D3" s="399">
        <f>IF(D1="",'数据-汇总表'!E3,SUMIF('数据-汇总表'!$C19:$C33,D1,'数据-汇总表'!$E19:$E33))</f>
        <v>79815.240000000005</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209" t="s">
        <v>2651</v>
      </c>
      <c r="AC4" s="3179" t="s">
        <v>2652</v>
      </c>
    </row>
    <row r="5" spans="1:29"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209"/>
      <c r="AC5" s="3180"/>
    </row>
    <row r="6" spans="1:29" ht="15.75" thickBot="1">
      <c r="A6" s="406"/>
      <c r="B6" s="407"/>
      <c r="C6" s="3192" t="s">
        <v>2549</v>
      </c>
      <c r="D6" s="3193"/>
      <c r="E6" s="3194" t="s">
        <v>2549</v>
      </c>
      <c r="F6" s="3195"/>
      <c r="G6" s="3192" t="s">
        <v>2549</v>
      </c>
      <c r="H6" s="3193"/>
      <c r="I6" s="3192" t="s">
        <v>2549</v>
      </c>
      <c r="J6" s="3193"/>
      <c r="K6" s="610" t="s">
        <v>2550</v>
      </c>
      <c r="L6" s="1130"/>
      <c r="M6" s="1131"/>
      <c r="N6" s="1131"/>
      <c r="O6" s="1131"/>
      <c r="P6" s="3205"/>
      <c r="Q6" s="3206"/>
      <c r="R6" s="3186"/>
      <c r="S6" s="3187"/>
      <c r="T6" s="3207"/>
      <c r="U6" s="3208"/>
      <c r="V6" s="3209"/>
      <c r="W6" s="3209"/>
      <c r="X6" s="1813"/>
      <c r="Y6" s="3207"/>
      <c r="Z6" s="3208"/>
      <c r="AA6" s="3181"/>
      <c r="AB6" s="3209"/>
      <c r="AC6" s="3181"/>
    </row>
    <row r="7" spans="1:29" s="117" customFormat="1" ht="15.75" thickBot="1">
      <c r="A7" s="408" t="s">
        <v>2551</v>
      </c>
      <c r="B7" s="409"/>
      <c r="C7" s="410">
        <f>'数据-取费表'!B2</f>
        <v>43273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2552</v>
      </c>
      <c r="Q7" s="3210"/>
      <c r="R7" s="770" t="s">
        <v>17</v>
      </c>
      <c r="S7" s="771">
        <f t="shared" ref="S7:S15" si="0">F7</f>
        <v>0</v>
      </c>
      <c r="T7" s="770" t="s">
        <v>17</v>
      </c>
      <c r="U7" s="771">
        <f t="shared" ref="U7:U15" si="1">H7</f>
        <v>0</v>
      </c>
      <c r="V7" s="770" t="s">
        <v>17</v>
      </c>
      <c r="W7" s="771">
        <f t="shared" ref="W7:W15" si="2">J7</f>
        <v>0</v>
      </c>
      <c r="X7" s="772"/>
      <c r="Y7" s="3182" t="s">
        <v>2552</v>
      </c>
      <c r="Z7" s="318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2563</v>
      </c>
      <c r="Q15" s="1810" t="str">
        <f t="shared" si="6"/>
        <v>商业繁华度</v>
      </c>
      <c r="R15" s="774" t="s">
        <v>17</v>
      </c>
      <c r="S15" s="775">
        <f t="shared" si="0"/>
        <v>100</v>
      </c>
      <c r="T15" s="774" t="s">
        <v>17</v>
      </c>
      <c r="U15" s="775">
        <f t="shared" si="1"/>
        <v>100</v>
      </c>
      <c r="V15" s="774" t="s">
        <v>17</v>
      </c>
      <c r="W15" s="775">
        <f t="shared" si="2"/>
        <v>100</v>
      </c>
      <c r="X15" s="1813"/>
      <c r="Y15" s="3216"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24"/>
      <c r="Q18" s="1810"/>
      <c r="R18" s="774"/>
      <c r="S18" s="775"/>
      <c r="T18" s="774"/>
      <c r="U18" s="775"/>
      <c r="V18" s="774"/>
      <c r="W18" s="775"/>
      <c r="X18" s="1813"/>
      <c r="Y18" s="3217"/>
      <c r="Z18" s="1814"/>
      <c r="AA18" s="1811">
        <v>1</v>
      </c>
      <c r="AB18" s="1811">
        <v>1</v>
      </c>
      <c r="AC18" s="1811">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24"/>
      <c r="Q20" s="1810"/>
      <c r="R20" s="774"/>
      <c r="S20" s="775"/>
      <c r="T20" s="774"/>
      <c r="U20" s="775"/>
      <c r="V20" s="774"/>
      <c r="W20" s="775"/>
      <c r="X20" s="1813"/>
      <c r="Y20" s="3217"/>
      <c r="Z20" s="1814"/>
      <c r="AA20" s="1811">
        <v>1</v>
      </c>
      <c r="AB20" s="1811">
        <v>1</v>
      </c>
      <c r="AC20" s="1811">
        <v>1</v>
      </c>
    </row>
    <row r="21" spans="1:29" ht="28.5">
      <c r="A21" s="428"/>
      <c r="B21" s="1384"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24"/>
      <c r="Q22" s="1810"/>
      <c r="R22" s="774"/>
      <c r="S22" s="775"/>
      <c r="T22" s="774"/>
      <c r="U22" s="775"/>
      <c r="V22" s="774"/>
      <c r="W22" s="775"/>
      <c r="X22" s="1813"/>
      <c r="Y22" s="3217"/>
      <c r="Z22" s="1814"/>
      <c r="AA22" s="1811">
        <v>1</v>
      </c>
      <c r="AB22" s="1811">
        <v>1</v>
      </c>
      <c r="AC22" s="1811">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10" t="str">
        <f>B23</f>
        <v>自然及人文环境</v>
      </c>
      <c r="R23" s="774" t="s">
        <v>17</v>
      </c>
      <c r="S23" s="775">
        <f>F23</f>
        <v>100</v>
      </c>
      <c r="T23" s="774" t="s">
        <v>17</v>
      </c>
      <c r="U23" s="775">
        <f>H23</f>
        <v>100</v>
      </c>
      <c r="V23" s="774" t="s">
        <v>17</v>
      </c>
      <c r="W23" s="775">
        <f>J23</f>
        <v>100</v>
      </c>
      <c r="X23" s="1813"/>
      <c r="Y23" s="3217"/>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24"/>
      <c r="Q24" s="1810"/>
      <c r="R24" s="774"/>
      <c r="S24" s="775"/>
      <c r="T24" s="774"/>
      <c r="U24" s="775"/>
      <c r="V24" s="774"/>
      <c r="W24" s="775"/>
      <c r="X24" s="1813"/>
      <c r="Y24" s="3217"/>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10" t="str">
        <f t="shared" ref="Q25:Q46" si="11">B25</f>
        <v>临街状况</v>
      </c>
      <c r="R25" s="774" t="s">
        <v>17</v>
      </c>
      <c r="S25" s="775">
        <f>F25</f>
        <v>100</v>
      </c>
      <c r="T25" s="774" t="s">
        <v>17</v>
      </c>
      <c r="U25" s="775">
        <f>H25</f>
        <v>100</v>
      </c>
      <c r="V25" s="774" t="s">
        <v>17</v>
      </c>
      <c r="W25" s="775">
        <f>J25</f>
        <v>100</v>
      </c>
      <c r="X25" s="1813"/>
      <c r="Y25" s="3217"/>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10" t="str">
        <f t="shared" si="11"/>
        <v>平面位置/可视性</v>
      </c>
      <c r="R26" s="774" t="s">
        <v>17</v>
      </c>
      <c r="S26" s="775">
        <f>F26</f>
        <v>100</v>
      </c>
      <c r="T26" s="774" t="s">
        <v>17</v>
      </c>
      <c r="U26" s="775">
        <f>H26</f>
        <v>100</v>
      </c>
      <c r="V26" s="774" t="s">
        <v>17</v>
      </c>
      <c r="W26" s="775">
        <f>J26</f>
        <v>100</v>
      </c>
      <c r="X26" s="1813"/>
      <c r="Y26" s="3217"/>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24"/>
      <c r="Q27" s="1795" t="str">
        <f t="shared" si="11"/>
        <v>人流量</v>
      </c>
      <c r="R27" s="770" t="s">
        <v>17</v>
      </c>
      <c r="S27" s="771">
        <f>F27</f>
        <v>100</v>
      </c>
      <c r="T27" s="770" t="s">
        <v>17</v>
      </c>
      <c r="U27" s="771">
        <f>H27</f>
        <v>100</v>
      </c>
      <c r="V27" s="770" t="s">
        <v>17</v>
      </c>
      <c r="W27" s="771">
        <f>J27</f>
        <v>100</v>
      </c>
      <c r="X27" s="772"/>
      <c r="Y27" s="3217"/>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10">
        <f t="shared" si="11"/>
        <v>111</v>
      </c>
      <c r="R29" s="774" t="s">
        <v>17</v>
      </c>
      <c r="S29" s="775">
        <f t="shared" si="12"/>
        <v>100</v>
      </c>
      <c r="T29" s="774" t="s">
        <v>17</v>
      </c>
      <c r="U29" s="775">
        <f t="shared" si="13"/>
        <v>100</v>
      </c>
      <c r="V29" s="774" t="s">
        <v>17</v>
      </c>
      <c r="W29" s="775">
        <f t="shared" si="14"/>
        <v>100</v>
      </c>
      <c r="X29" s="1813"/>
      <c r="Y29" s="321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1811">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8" t="s">
        <v>2568</v>
      </c>
      <c r="Q32" s="1810" t="str">
        <f t="shared" si="11"/>
        <v>商业类型</v>
      </c>
      <c r="R32" s="774" t="s">
        <v>17</v>
      </c>
      <c r="S32" s="775">
        <f t="shared" si="12"/>
        <v>100</v>
      </c>
      <c r="T32" s="774" t="s">
        <v>17</v>
      </c>
      <c r="U32" s="775">
        <f t="shared" si="13"/>
        <v>100</v>
      </c>
      <c r="V32" s="774" t="s">
        <v>17</v>
      </c>
      <c r="W32" s="775">
        <f t="shared" si="14"/>
        <v>100</v>
      </c>
      <c r="X32" s="1813"/>
      <c r="Y32" s="3221"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11" t="e">
        <f t="shared" si="3"/>
        <v>#N/A</v>
      </c>
      <c r="AB33" s="1811" t="e">
        <f t="shared" si="4"/>
        <v>#N/A</v>
      </c>
      <c r="AC33" s="1811"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9"/>
      <c r="Q34" s="1810" t="str">
        <f t="shared" si="11"/>
        <v>建筑结构</v>
      </c>
      <c r="R34" s="774" t="s">
        <v>17</v>
      </c>
      <c r="S34" s="775">
        <f t="shared" si="12"/>
        <v>100</v>
      </c>
      <c r="T34" s="774" t="s">
        <v>17</v>
      </c>
      <c r="U34" s="775">
        <f t="shared" si="13"/>
        <v>100</v>
      </c>
      <c r="V34" s="774" t="s">
        <v>17</v>
      </c>
      <c r="W34" s="775">
        <f t="shared" si="14"/>
        <v>100</v>
      </c>
      <c r="X34" s="1813"/>
      <c r="Y34" s="3221"/>
      <c r="Z34" s="1814" t="str">
        <f t="shared" si="15"/>
        <v>建筑结构</v>
      </c>
      <c r="AA34" s="1811">
        <f t="shared" si="3"/>
        <v>1</v>
      </c>
      <c r="AB34" s="1811">
        <f t="shared" si="4"/>
        <v>1</v>
      </c>
      <c r="AC34" s="1811">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9"/>
      <c r="Q35" s="1810" t="str">
        <f t="shared" si="11"/>
        <v>公共部分装修</v>
      </c>
      <c r="R35" s="774" t="s">
        <v>17</v>
      </c>
      <c r="S35" s="775">
        <f t="shared" si="12"/>
        <v>100</v>
      </c>
      <c r="T35" s="774" t="s">
        <v>17</v>
      </c>
      <c r="U35" s="775">
        <f t="shared" si="13"/>
        <v>100</v>
      </c>
      <c r="V35" s="774" t="s">
        <v>17</v>
      </c>
      <c r="W35" s="775">
        <f t="shared" si="14"/>
        <v>100</v>
      </c>
      <c r="X35" s="1813"/>
      <c r="Y35" s="3221"/>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10" t="str">
        <f t="shared" si="11"/>
        <v>成新度</v>
      </c>
      <c r="R36" s="774" t="s">
        <v>17</v>
      </c>
      <c r="S36" s="775" t="e">
        <f t="shared" si="12"/>
        <v>#N/A</v>
      </c>
      <c r="T36" s="774" t="s">
        <v>17</v>
      </c>
      <c r="U36" s="775" t="e">
        <f t="shared" si="13"/>
        <v>#N/A</v>
      </c>
      <c r="V36" s="774" t="s">
        <v>17</v>
      </c>
      <c r="W36" s="775" t="e">
        <f t="shared" si="14"/>
        <v>#N/A</v>
      </c>
      <c r="X36" s="1813"/>
      <c r="Y36" s="3221"/>
      <c r="Z36" s="1814" t="str">
        <f t="shared" si="15"/>
        <v>成新度</v>
      </c>
      <c r="AA36" s="1811" t="e">
        <f t="shared" si="3"/>
        <v>#N/A</v>
      </c>
      <c r="AB36" s="1811" t="e">
        <f t="shared" si="4"/>
        <v>#N/A</v>
      </c>
      <c r="AC36" s="1811"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9"/>
      <c r="Q37" s="1795"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9" t="s">
        <v>2568</v>
      </c>
      <c r="Q38" s="1810" t="str">
        <f t="shared" si="11"/>
        <v>业态</v>
      </c>
      <c r="R38" s="774" t="s">
        <v>17</v>
      </c>
      <c r="S38" s="775">
        <f t="shared" si="12"/>
        <v>100</v>
      </c>
      <c r="T38" s="774" t="s">
        <v>17</v>
      </c>
      <c r="U38" s="775">
        <f t="shared" si="13"/>
        <v>100</v>
      </c>
      <c r="V38" s="774" t="s">
        <v>17</v>
      </c>
      <c r="W38" s="775">
        <f t="shared" si="14"/>
        <v>100</v>
      </c>
      <c r="X38" s="1813"/>
      <c r="Y38" s="3221" t="s">
        <v>2568</v>
      </c>
      <c r="Z38" s="1814" t="str">
        <f t="shared" si="15"/>
        <v>业态</v>
      </c>
      <c r="AA38" s="1811">
        <f t="shared" si="3"/>
        <v>1</v>
      </c>
      <c r="AB38" s="1811">
        <f t="shared" si="4"/>
        <v>1</v>
      </c>
      <c r="AC38" s="1811">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9"/>
      <c r="Q39" s="1810" t="str">
        <f t="shared" si="11"/>
        <v>层高</v>
      </c>
      <c r="R39" s="774" t="s">
        <v>17</v>
      </c>
      <c r="S39" s="775">
        <f t="shared" si="12"/>
        <v>100</v>
      </c>
      <c r="T39" s="774" t="s">
        <v>17</v>
      </c>
      <c r="U39" s="775">
        <f t="shared" si="13"/>
        <v>100</v>
      </c>
      <c r="V39" s="774" t="s">
        <v>17</v>
      </c>
      <c r="W39" s="775">
        <f t="shared" si="14"/>
        <v>100</v>
      </c>
      <c r="X39" s="1813"/>
      <c r="Y39" s="3221"/>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10" t="str">
        <f t="shared" si="11"/>
        <v>单套建筑面积</v>
      </c>
      <c r="R40" s="774" t="s">
        <v>17</v>
      </c>
      <c r="S40" s="775">
        <f t="shared" si="12"/>
        <v>100</v>
      </c>
      <c r="T40" s="774" t="s">
        <v>17</v>
      </c>
      <c r="U40" s="775">
        <f t="shared" si="13"/>
        <v>100</v>
      </c>
      <c r="V40" s="774" t="s">
        <v>17</v>
      </c>
      <c r="W40" s="775">
        <f t="shared" si="14"/>
        <v>100</v>
      </c>
      <c r="X40" s="1813"/>
      <c r="Y40" s="3221"/>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11">
        <f t="shared" si="3"/>
        <v>1</v>
      </c>
      <c r="AB41" s="1811">
        <f t="shared" si="4"/>
        <v>1</v>
      </c>
      <c r="AC41" s="1811">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9"/>
      <c r="Q42" s="1810" t="str">
        <f t="shared" si="11"/>
        <v>内部装修</v>
      </c>
      <c r="R42" s="774" t="s">
        <v>17</v>
      </c>
      <c r="S42" s="775">
        <f t="shared" si="12"/>
        <v>100</v>
      </c>
      <c r="T42" s="774" t="s">
        <v>17</v>
      </c>
      <c r="U42" s="775">
        <f t="shared" si="13"/>
        <v>100</v>
      </c>
      <c r="V42" s="774" t="s">
        <v>17</v>
      </c>
      <c r="W42" s="775">
        <f t="shared" si="14"/>
        <v>100</v>
      </c>
      <c r="X42" s="1813"/>
      <c r="Y42" s="3221"/>
      <c r="Z42" s="1814" t="str">
        <f t="shared" si="15"/>
        <v>内部装修</v>
      </c>
      <c r="AA42" s="1811">
        <f t="shared" si="3"/>
        <v>1</v>
      </c>
      <c r="AB42" s="1811">
        <f t="shared" si="4"/>
        <v>1</v>
      </c>
      <c r="AC42" s="1811">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9"/>
      <c r="Q43" s="1810" t="str">
        <f t="shared" si="11"/>
        <v>内部装修维护情况</v>
      </c>
      <c r="R43" s="774" t="s">
        <v>17</v>
      </c>
      <c r="S43" s="775">
        <f t="shared" si="12"/>
        <v>100</v>
      </c>
      <c r="T43" s="774" t="s">
        <v>17</v>
      </c>
      <c r="U43" s="775">
        <f t="shared" si="13"/>
        <v>100</v>
      </c>
      <c r="V43" s="774" t="s">
        <v>17</v>
      </c>
      <c r="W43" s="775">
        <f t="shared" si="14"/>
        <v>100</v>
      </c>
      <c r="X43" s="1813"/>
      <c r="Y43" s="322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95">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10">
        <f t="shared" si="11"/>
        <v>111</v>
      </c>
      <c r="R45" s="774" t="s">
        <v>17</v>
      </c>
      <c r="S45" s="775">
        <f t="shared" si="12"/>
        <v>100</v>
      </c>
      <c r="T45" s="774" t="s">
        <v>17</v>
      </c>
      <c r="U45" s="775">
        <f t="shared" si="13"/>
        <v>100</v>
      </c>
      <c r="V45" s="774" t="s">
        <v>17</v>
      </c>
      <c r="W45" s="775">
        <f t="shared" si="14"/>
        <v>100</v>
      </c>
      <c r="X45" s="1813"/>
      <c r="Y45" s="3221"/>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10">
        <f t="shared" si="11"/>
        <v>111</v>
      </c>
      <c r="R46" s="774" t="s">
        <v>17</v>
      </c>
      <c r="S46" s="775">
        <f t="shared" si="12"/>
        <v>100</v>
      </c>
      <c r="T46" s="774" t="s">
        <v>17</v>
      </c>
      <c r="U46" s="775">
        <f t="shared" si="13"/>
        <v>100</v>
      </c>
      <c r="V46" s="774" t="s">
        <v>17</v>
      </c>
      <c r="W46" s="775">
        <f t="shared" si="14"/>
        <v>100</v>
      </c>
      <c r="X46" s="1813"/>
      <c r="Y46" s="3222"/>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2551</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2619</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2685</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2686</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2687</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79815.240000000005</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31" t="s">
        <v>2654</v>
      </c>
      <c r="Q4" s="3232"/>
      <c r="R4" s="3226" t="s">
        <v>2650</v>
      </c>
      <c r="S4" s="3227"/>
      <c r="T4" s="3226" t="s">
        <v>2651</v>
      </c>
      <c r="U4" s="3227"/>
      <c r="V4" s="3235" t="s">
        <v>2652</v>
      </c>
      <c r="W4" s="3235"/>
      <c r="X4" s="2673"/>
      <c r="Y4" s="3226" t="s">
        <v>2654</v>
      </c>
      <c r="Z4" s="3227"/>
      <c r="AA4" s="3225" t="s">
        <v>2650</v>
      </c>
      <c r="AB4" s="3225" t="s">
        <v>2651</v>
      </c>
      <c r="AC4" s="3228" t="s">
        <v>2652</v>
      </c>
    </row>
    <row r="5" spans="1:29" ht="15">
      <c r="A5" s="404"/>
      <c r="B5" s="405"/>
      <c r="C5" s="3190" t="s">
        <v>2545</v>
      </c>
      <c r="D5" s="3191"/>
      <c r="E5" s="3188" t="s">
        <v>2546</v>
      </c>
      <c r="F5" s="3189"/>
      <c r="G5" s="3190" t="s">
        <v>2547</v>
      </c>
      <c r="H5" s="3191"/>
      <c r="I5" s="3190" t="s">
        <v>2548</v>
      </c>
      <c r="J5" s="3191"/>
      <c r="K5" s="610"/>
      <c r="L5" s="1130"/>
      <c r="M5" s="1131"/>
      <c r="N5" s="1131"/>
      <c r="O5" s="1131"/>
      <c r="P5" s="3233"/>
      <c r="Q5" s="3204"/>
      <c r="R5" s="3186"/>
      <c r="S5" s="3187"/>
      <c r="T5" s="3186"/>
      <c r="U5" s="3187"/>
      <c r="V5" s="3209"/>
      <c r="W5" s="3209"/>
      <c r="X5" s="1813"/>
      <c r="Y5" s="3186"/>
      <c r="Z5" s="3187"/>
      <c r="AA5" s="3180"/>
      <c r="AB5" s="3180"/>
      <c r="AC5" s="3229"/>
    </row>
    <row r="6" spans="1:29" ht="15.75" thickBot="1">
      <c r="A6" s="406"/>
      <c r="B6" s="407"/>
      <c r="C6" s="3192" t="s">
        <v>2549</v>
      </c>
      <c r="D6" s="3193"/>
      <c r="E6" s="3194" t="s">
        <v>2549</v>
      </c>
      <c r="F6" s="3195"/>
      <c r="G6" s="3192" t="s">
        <v>2549</v>
      </c>
      <c r="H6" s="3193"/>
      <c r="I6" s="3192" t="s">
        <v>2549</v>
      </c>
      <c r="J6" s="3193"/>
      <c r="K6" s="610" t="s">
        <v>2550</v>
      </c>
      <c r="L6" s="1130"/>
      <c r="M6" s="1131"/>
      <c r="N6" s="1131"/>
      <c r="O6" s="1131"/>
      <c r="P6" s="3234"/>
      <c r="Q6" s="3206"/>
      <c r="R6" s="3186"/>
      <c r="S6" s="3187"/>
      <c r="T6" s="3207"/>
      <c r="U6" s="3208"/>
      <c r="V6" s="3209"/>
      <c r="W6" s="3209"/>
      <c r="X6" s="1813"/>
      <c r="Y6" s="3207"/>
      <c r="Z6" s="3208"/>
      <c r="AA6" s="3181"/>
      <c r="AB6" s="3181"/>
      <c r="AC6" s="3230"/>
    </row>
    <row r="7" spans="1:29" s="117" customFormat="1" ht="15.75" thickBot="1">
      <c r="A7" s="408" t="s">
        <v>2551</v>
      </c>
      <c r="B7" s="409"/>
      <c r="C7" s="410">
        <f>'数据-取费表'!B2</f>
        <v>43273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2552</v>
      </c>
      <c r="Q7" s="3210"/>
      <c r="R7" s="770" t="s">
        <v>17</v>
      </c>
      <c r="S7" s="771">
        <f t="shared" ref="S7:S15" si="0">F7</f>
        <v>0</v>
      </c>
      <c r="T7" s="770" t="s">
        <v>17</v>
      </c>
      <c r="U7" s="771">
        <f t="shared" ref="U7:U15" si="1">H7</f>
        <v>0</v>
      </c>
      <c r="V7" s="770" t="s">
        <v>17</v>
      </c>
      <c r="W7" s="771">
        <f t="shared" ref="W7:W15" si="2">J7</f>
        <v>0</v>
      </c>
      <c r="X7" s="772"/>
      <c r="Y7" s="3182" t="s">
        <v>2552</v>
      </c>
      <c r="Z7" s="3183"/>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2555</v>
      </c>
      <c r="Q8" s="3183"/>
      <c r="R8" s="770" t="s">
        <v>17</v>
      </c>
      <c r="S8" s="771">
        <f t="shared" si="0"/>
        <v>0</v>
      </c>
      <c r="T8" s="770" t="s">
        <v>17</v>
      </c>
      <c r="U8" s="771">
        <f t="shared" si="1"/>
        <v>0</v>
      </c>
      <c r="V8" s="770" t="s">
        <v>17</v>
      </c>
      <c r="W8" s="771">
        <f t="shared" si="2"/>
        <v>0</v>
      </c>
      <c r="X8" s="772"/>
      <c r="Y8" s="3182" t="s">
        <v>2555</v>
      </c>
      <c r="Z8" s="3183"/>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96"/>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2563</v>
      </c>
      <c r="Q15" s="1810" t="str">
        <f t="shared" si="6"/>
        <v>办公集聚程度</v>
      </c>
      <c r="R15" s="774" t="s">
        <v>17</v>
      </c>
      <c r="S15" s="775">
        <f t="shared" si="0"/>
        <v>100</v>
      </c>
      <c r="T15" s="774" t="s">
        <v>17</v>
      </c>
      <c r="U15" s="775">
        <f t="shared" si="1"/>
        <v>100</v>
      </c>
      <c r="V15" s="774" t="s">
        <v>17</v>
      </c>
      <c r="W15" s="775">
        <f t="shared" si="2"/>
        <v>100</v>
      </c>
      <c r="X15" s="1813"/>
      <c r="Y15" s="3216" t="s">
        <v>2563</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24"/>
      <c r="Q16" s="1810"/>
      <c r="R16" s="774"/>
      <c r="S16" s="775"/>
      <c r="T16" s="774"/>
      <c r="U16" s="775"/>
      <c r="V16" s="774"/>
      <c r="W16" s="775"/>
      <c r="X16" s="1813"/>
      <c r="Y16" s="3217"/>
      <c r="Z16" s="1814"/>
      <c r="AA16" s="1811">
        <v>1</v>
      </c>
      <c r="AB16" s="1811">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24"/>
      <c r="Q18" s="1810"/>
      <c r="R18" s="774"/>
      <c r="S18" s="775"/>
      <c r="T18" s="774"/>
      <c r="U18" s="775"/>
      <c r="V18" s="774"/>
      <c r="W18" s="775"/>
      <c r="X18" s="1813"/>
      <c r="Y18" s="3217"/>
      <c r="Z18" s="1814"/>
      <c r="AA18" s="1811">
        <v>1</v>
      </c>
      <c r="AB18" s="1811">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24"/>
      <c r="Q20" s="1810"/>
      <c r="R20" s="774"/>
      <c r="S20" s="775"/>
      <c r="T20" s="774"/>
      <c r="U20" s="775"/>
      <c r="V20" s="774"/>
      <c r="W20" s="775"/>
      <c r="X20" s="1813"/>
      <c r="Y20" s="3217"/>
      <c r="Z20" s="1814"/>
      <c r="AA20" s="1811">
        <v>1</v>
      </c>
      <c r="AB20" s="1811">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24"/>
      <c r="Q22" s="1810"/>
      <c r="R22" s="774"/>
      <c r="S22" s="775"/>
      <c r="T22" s="774"/>
      <c r="U22" s="775"/>
      <c r="V22" s="774"/>
      <c r="W22" s="775"/>
      <c r="X22" s="1813"/>
      <c r="Y22" s="3217"/>
      <c r="Z22" s="1814"/>
      <c r="AA22" s="1811">
        <v>1</v>
      </c>
      <c r="AB22" s="1811">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24"/>
      <c r="Q24" s="1810"/>
      <c r="R24" s="774"/>
      <c r="S24" s="775"/>
      <c r="T24" s="774"/>
      <c r="U24" s="775"/>
      <c r="V24" s="774"/>
      <c r="W24" s="775"/>
      <c r="X24" s="1813"/>
      <c r="Y24" s="3217"/>
      <c r="Z24" s="1814"/>
      <c r="AA24" s="1811">
        <v>1</v>
      </c>
      <c r="AB24" s="1811">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24"/>
      <c r="Q25" s="1810" t="str">
        <f>B25</f>
        <v>毗邻道路的类型与等级</v>
      </c>
      <c r="R25" s="774" t="s">
        <v>17</v>
      </c>
      <c r="S25" s="775">
        <f>F25</f>
        <v>100</v>
      </c>
      <c r="T25" s="774" t="s">
        <v>17</v>
      </c>
      <c r="U25" s="775">
        <f>H25</f>
        <v>100</v>
      </c>
      <c r="V25" s="774" t="s">
        <v>17</v>
      </c>
      <c r="W25" s="775">
        <f>J25</f>
        <v>100</v>
      </c>
      <c r="X25" s="1813"/>
      <c r="Y25" s="3217"/>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24"/>
      <c r="Q26" s="1810"/>
      <c r="R26" s="774"/>
      <c r="S26" s="775"/>
      <c r="T26" s="774"/>
      <c r="U26" s="775"/>
      <c r="V26" s="774"/>
      <c r="W26" s="775"/>
      <c r="X26" s="1813"/>
      <c r="Y26" s="3217"/>
      <c r="Z26" s="1814"/>
      <c r="AA26" s="1811">
        <v>1</v>
      </c>
      <c r="AB26" s="1811">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10" t="str">
        <f t="shared" ref="Q27:Q47" si="11">B27</f>
        <v>楼层</v>
      </c>
      <c r="R27" s="774" t="s">
        <v>17</v>
      </c>
      <c r="S27" s="775">
        <f>F27</f>
        <v>100</v>
      </c>
      <c r="T27" s="774" t="s">
        <v>17</v>
      </c>
      <c r="U27" s="775">
        <f>H27</f>
        <v>100</v>
      </c>
      <c r="V27" s="774" t="s">
        <v>17</v>
      </c>
      <c r="W27" s="775">
        <f>J27</f>
        <v>100</v>
      </c>
      <c r="X27" s="1813"/>
      <c r="Y27" s="3217"/>
      <c r="Z27" s="1814" t="str">
        <f>Q27</f>
        <v>楼层</v>
      </c>
      <c r="AA27" s="1811">
        <f t="shared" si="3"/>
        <v>1</v>
      </c>
      <c r="AB27" s="1811">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24"/>
      <c r="Q28" s="1795" t="str">
        <f t="shared" si="11"/>
        <v>朝向</v>
      </c>
      <c r="R28" s="770" t="s">
        <v>17</v>
      </c>
      <c r="S28" s="771">
        <f>F28</f>
        <v>100</v>
      </c>
      <c r="T28" s="770" t="s">
        <v>17</v>
      </c>
      <c r="U28" s="771">
        <f>H28</f>
        <v>100</v>
      </c>
      <c r="V28" s="770" t="s">
        <v>17</v>
      </c>
      <c r="W28" s="771">
        <f>J28</f>
        <v>100</v>
      </c>
      <c r="X28" s="772"/>
      <c r="Y28" s="3217"/>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24"/>
      <c r="Q29" s="1810">
        <f t="shared" si="11"/>
        <v>111</v>
      </c>
      <c r="R29" s="774" t="s">
        <v>17</v>
      </c>
      <c r="S29" s="775">
        <f t="shared" ref="S29:S47" si="12">F29</f>
        <v>100</v>
      </c>
      <c r="T29" s="774" t="s">
        <v>17</v>
      </c>
      <c r="U29" s="775">
        <f t="shared" ref="U29:U47" si="13">H29</f>
        <v>100</v>
      </c>
      <c r="V29" s="774" t="s">
        <v>17</v>
      </c>
      <c r="W29" s="775">
        <f t="shared" ref="W29:W47" si="14">J29</f>
        <v>100</v>
      </c>
      <c r="X29" s="1813"/>
      <c r="Y29" s="3217"/>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24"/>
      <c r="Q30" s="1810">
        <f t="shared" si="11"/>
        <v>111</v>
      </c>
      <c r="R30" s="774" t="s">
        <v>17</v>
      </c>
      <c r="S30" s="775">
        <f t="shared" si="12"/>
        <v>100</v>
      </c>
      <c r="T30" s="774" t="s">
        <v>17</v>
      </c>
      <c r="U30" s="775">
        <f t="shared" si="13"/>
        <v>100</v>
      </c>
      <c r="V30" s="774" t="s">
        <v>17</v>
      </c>
      <c r="W30" s="775">
        <f t="shared" si="14"/>
        <v>100</v>
      </c>
      <c r="X30" s="1813"/>
      <c r="Y30" s="3217"/>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24"/>
      <c r="Q31" s="1810">
        <f t="shared" si="11"/>
        <v>111</v>
      </c>
      <c r="R31" s="774" t="s">
        <v>17</v>
      </c>
      <c r="S31" s="775">
        <f t="shared" si="12"/>
        <v>100</v>
      </c>
      <c r="T31" s="774" t="s">
        <v>17</v>
      </c>
      <c r="U31" s="775">
        <f t="shared" si="13"/>
        <v>100</v>
      </c>
      <c r="V31" s="774" t="s">
        <v>17</v>
      </c>
      <c r="W31" s="775">
        <f t="shared" si="14"/>
        <v>100</v>
      </c>
      <c r="X31" s="1813"/>
      <c r="Y31" s="3217"/>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24"/>
      <c r="Q32" s="1810">
        <f t="shared" si="11"/>
        <v>111</v>
      </c>
      <c r="R32" s="774" t="s">
        <v>17</v>
      </c>
      <c r="S32" s="775">
        <f t="shared" si="12"/>
        <v>100</v>
      </c>
      <c r="T32" s="774" t="s">
        <v>17</v>
      </c>
      <c r="U32" s="775">
        <f t="shared" si="13"/>
        <v>100</v>
      </c>
      <c r="V32" s="774" t="s">
        <v>17</v>
      </c>
      <c r="W32" s="775">
        <f t="shared" si="14"/>
        <v>100</v>
      </c>
      <c r="X32" s="1813"/>
      <c r="Y32" s="3217"/>
      <c r="Z32" s="1814">
        <f t="shared" si="15"/>
        <v>111</v>
      </c>
      <c r="AA32" s="1811">
        <f t="shared" si="3"/>
        <v>1</v>
      </c>
      <c r="AB32" s="1811">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8" t="s">
        <v>2568</v>
      </c>
      <c r="Q33" s="1810" t="str">
        <f t="shared" si="11"/>
        <v>建筑类型</v>
      </c>
      <c r="R33" s="774" t="s">
        <v>17</v>
      </c>
      <c r="S33" s="775">
        <f t="shared" si="12"/>
        <v>100</v>
      </c>
      <c r="T33" s="774" t="s">
        <v>17</v>
      </c>
      <c r="U33" s="775">
        <f t="shared" si="13"/>
        <v>100</v>
      </c>
      <c r="V33" s="774" t="s">
        <v>17</v>
      </c>
      <c r="W33" s="775">
        <f t="shared" si="14"/>
        <v>100</v>
      </c>
      <c r="X33" s="1813"/>
      <c r="Y33" s="3221" t="s">
        <v>2568</v>
      </c>
      <c r="Z33" s="1814" t="str">
        <f t="shared" si="15"/>
        <v>建筑类型</v>
      </c>
      <c r="AA33" s="1811">
        <f t="shared" si="3"/>
        <v>1</v>
      </c>
      <c r="AB33" s="1811">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11" t="e">
        <f t="shared" si="3"/>
        <v>#N/A</v>
      </c>
      <c r="AB34" s="1811"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10" t="str">
        <f t="shared" si="11"/>
        <v>建筑结构</v>
      </c>
      <c r="R35" s="774" t="s">
        <v>17</v>
      </c>
      <c r="S35" s="775">
        <f t="shared" si="12"/>
        <v>100</v>
      </c>
      <c r="T35" s="774" t="s">
        <v>17</v>
      </c>
      <c r="U35" s="775">
        <f t="shared" si="13"/>
        <v>100</v>
      </c>
      <c r="V35" s="774" t="s">
        <v>17</v>
      </c>
      <c r="W35" s="775">
        <f t="shared" si="14"/>
        <v>100</v>
      </c>
      <c r="X35" s="1813"/>
      <c r="Y35" s="3221"/>
      <c r="Z35" s="1814" t="str">
        <f t="shared" si="15"/>
        <v>建筑结构</v>
      </c>
      <c r="AA35" s="1811">
        <f t="shared" si="3"/>
        <v>1</v>
      </c>
      <c r="AB35" s="1811">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10" t="str">
        <f t="shared" si="11"/>
        <v>公共部分装修</v>
      </c>
      <c r="R36" s="774" t="s">
        <v>17</v>
      </c>
      <c r="S36" s="775">
        <f t="shared" si="12"/>
        <v>100</v>
      </c>
      <c r="T36" s="774" t="s">
        <v>17</v>
      </c>
      <c r="U36" s="775">
        <f t="shared" si="13"/>
        <v>100</v>
      </c>
      <c r="V36" s="774" t="s">
        <v>17</v>
      </c>
      <c r="W36" s="775">
        <f t="shared" si="14"/>
        <v>100</v>
      </c>
      <c r="X36" s="1813"/>
      <c r="Y36" s="3221"/>
      <c r="Z36" s="1814" t="str">
        <f t="shared" si="15"/>
        <v>公共部分装修</v>
      </c>
      <c r="AA36" s="1811">
        <f t="shared" si="3"/>
        <v>1</v>
      </c>
      <c r="AB36" s="1811">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10" t="str">
        <f t="shared" si="11"/>
        <v>成新度</v>
      </c>
      <c r="R37" s="774" t="s">
        <v>17</v>
      </c>
      <c r="S37" s="775" t="e">
        <f t="shared" si="12"/>
        <v>#N/A</v>
      </c>
      <c r="T37" s="774" t="s">
        <v>17</v>
      </c>
      <c r="U37" s="775" t="e">
        <f t="shared" si="13"/>
        <v>#N/A</v>
      </c>
      <c r="V37" s="774" t="s">
        <v>17</v>
      </c>
      <c r="W37" s="775" t="e">
        <f t="shared" si="14"/>
        <v>#N/A</v>
      </c>
      <c r="X37" s="1813"/>
      <c r="Y37" s="3221"/>
      <c r="Z37" s="1814" t="str">
        <f t="shared" si="15"/>
        <v>成新度</v>
      </c>
      <c r="AA37" s="1811" t="e">
        <f t="shared" si="3"/>
        <v>#N/A</v>
      </c>
      <c r="AB37" s="1811"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95"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2568</v>
      </c>
      <c r="Q39" s="1810" t="str">
        <f t="shared" si="11"/>
        <v>物业管理</v>
      </c>
      <c r="R39" s="774" t="s">
        <v>17</v>
      </c>
      <c r="S39" s="775">
        <f t="shared" si="12"/>
        <v>100</v>
      </c>
      <c r="T39" s="774" t="s">
        <v>17</v>
      </c>
      <c r="U39" s="775">
        <f t="shared" si="13"/>
        <v>100</v>
      </c>
      <c r="V39" s="774" t="s">
        <v>17</v>
      </c>
      <c r="W39" s="775">
        <f t="shared" si="14"/>
        <v>100</v>
      </c>
      <c r="X39" s="1813"/>
      <c r="Y39" s="3221" t="s">
        <v>2568</v>
      </c>
      <c r="Z39" s="1814" t="str">
        <f t="shared" si="15"/>
        <v>物业管理</v>
      </c>
      <c r="AA39" s="1811">
        <f t="shared" si="3"/>
        <v>1</v>
      </c>
      <c r="AB39" s="1811">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10" t="str">
        <f t="shared" si="11"/>
        <v>市政基础设施</v>
      </c>
      <c r="R40" s="774" t="s">
        <v>17</v>
      </c>
      <c r="S40" s="775">
        <f t="shared" si="12"/>
        <v>100</v>
      </c>
      <c r="T40" s="774" t="s">
        <v>17</v>
      </c>
      <c r="U40" s="775">
        <f t="shared" si="13"/>
        <v>100</v>
      </c>
      <c r="V40" s="774" t="s">
        <v>17</v>
      </c>
      <c r="W40" s="775">
        <f t="shared" si="14"/>
        <v>100</v>
      </c>
      <c r="X40" s="1813"/>
      <c r="Y40" s="3221"/>
      <c r="Z40" s="1814" t="str">
        <f t="shared" si="15"/>
        <v>市政基础设施</v>
      </c>
      <c r="AA40" s="1811">
        <f t="shared" si="3"/>
        <v>1</v>
      </c>
      <c r="AB40" s="1811">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10" t="str">
        <f t="shared" si="11"/>
        <v>层高</v>
      </c>
      <c r="R41" s="774" t="s">
        <v>17</v>
      </c>
      <c r="S41" s="775">
        <f t="shared" si="12"/>
        <v>100</v>
      </c>
      <c r="T41" s="774" t="s">
        <v>17</v>
      </c>
      <c r="U41" s="775">
        <f t="shared" si="13"/>
        <v>100</v>
      </c>
      <c r="V41" s="774" t="s">
        <v>17</v>
      </c>
      <c r="W41" s="775">
        <f t="shared" si="14"/>
        <v>100</v>
      </c>
      <c r="X41" s="1813"/>
      <c r="Y41" s="3221"/>
      <c r="Z41" s="1814" t="str">
        <f t="shared" si="15"/>
        <v>层高</v>
      </c>
      <c r="AA41" s="1811">
        <f t="shared" si="3"/>
        <v>1</v>
      </c>
      <c r="AB41" s="1811">
        <f t="shared" si="4"/>
        <v>1</v>
      </c>
      <c r="AC41" s="2677">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11">
        <f t="shared" si="3"/>
        <v>1</v>
      </c>
      <c r="AB42" s="1811">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10" t="str">
        <f t="shared" si="11"/>
        <v>内部装修</v>
      </c>
      <c r="R43" s="774" t="s">
        <v>17</v>
      </c>
      <c r="S43" s="775">
        <f t="shared" si="12"/>
        <v>100</v>
      </c>
      <c r="T43" s="774" t="s">
        <v>17</v>
      </c>
      <c r="U43" s="775">
        <f t="shared" si="13"/>
        <v>100</v>
      </c>
      <c r="V43" s="774" t="s">
        <v>17</v>
      </c>
      <c r="W43" s="775">
        <f t="shared" si="14"/>
        <v>100</v>
      </c>
      <c r="X43" s="1813"/>
      <c r="Y43" s="3221"/>
      <c r="Z43" s="1814" t="str">
        <f t="shared" si="15"/>
        <v>内部装修</v>
      </c>
      <c r="AA43" s="1811">
        <f t="shared" si="3"/>
        <v>1</v>
      </c>
      <c r="AB43" s="1811">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9"/>
      <c r="Q44" s="1810" t="str">
        <f t="shared" si="11"/>
        <v>内部装修维护情况</v>
      </c>
      <c r="R44" s="774" t="s">
        <v>17</v>
      </c>
      <c r="S44" s="775">
        <f t="shared" si="12"/>
        <v>100</v>
      </c>
      <c r="T44" s="774" t="s">
        <v>17</v>
      </c>
      <c r="U44" s="775">
        <f t="shared" si="13"/>
        <v>100</v>
      </c>
      <c r="V44" s="774" t="s">
        <v>17</v>
      </c>
      <c r="W44" s="775">
        <f t="shared" si="14"/>
        <v>100</v>
      </c>
      <c r="X44" s="1813"/>
      <c r="Y44" s="3221"/>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95">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10">
        <f t="shared" si="11"/>
        <v>111</v>
      </c>
      <c r="R47" s="774" t="s">
        <v>17</v>
      </c>
      <c r="S47" s="775">
        <f t="shared" si="12"/>
        <v>100</v>
      </c>
      <c r="T47" s="774" t="s">
        <v>17</v>
      </c>
      <c r="U47" s="775">
        <f t="shared" si="13"/>
        <v>100</v>
      </c>
      <c r="V47" s="774" t="s">
        <v>17</v>
      </c>
      <c r="W47" s="775">
        <f t="shared" si="14"/>
        <v>100</v>
      </c>
      <c r="X47" s="1813"/>
      <c r="Y47" s="3222"/>
      <c r="Z47" s="1814">
        <f t="shared" si="15"/>
        <v>111</v>
      </c>
      <c r="AA47" s="1811">
        <f t="shared" si="3"/>
        <v>1</v>
      </c>
      <c r="AB47" s="1811">
        <f t="shared" si="4"/>
        <v>1</v>
      </c>
      <c r="AC47" s="2677">
        <f t="shared" si="5"/>
        <v>1</v>
      </c>
    </row>
    <row r="48" spans="1:29" ht="15">
      <c r="A48" s="479" t="s">
        <v>2580</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2672</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2673</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4"/>
      <c r="Q58" s="504"/>
    </row>
    <row r="59" spans="1:29" s="508" customFormat="1" ht="15">
      <c r="A59" s="505" t="s">
        <v>2551</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2704</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79815.240000000005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180" t="s">
        <v>2651</v>
      </c>
      <c r="AC4" s="3179" t="s">
        <v>2652</v>
      </c>
    </row>
    <row r="5" spans="1:29"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2549</v>
      </c>
      <c r="D6" s="3193"/>
      <c r="E6" s="3194" t="s">
        <v>2549</v>
      </c>
      <c r="F6" s="3195"/>
      <c r="G6" s="3192" t="s">
        <v>2549</v>
      </c>
      <c r="H6" s="3193"/>
      <c r="I6" s="3192" t="s">
        <v>2549</v>
      </c>
      <c r="J6" s="3193"/>
      <c r="K6" s="610" t="s">
        <v>2550</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2551</v>
      </c>
      <c r="B7" s="409"/>
      <c r="C7" s="410">
        <f>'数据-取费表'!B2</f>
        <v>43273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2552</v>
      </c>
      <c r="Q7" s="3210"/>
      <c r="R7" s="770" t="s">
        <v>17</v>
      </c>
      <c r="S7" s="771">
        <f t="shared" ref="S7:S15" si="0">F7</f>
        <v>0</v>
      </c>
      <c r="T7" s="770" t="s">
        <v>17</v>
      </c>
      <c r="U7" s="771">
        <f t="shared" ref="U7:U15" si="1">H7</f>
        <v>0</v>
      </c>
      <c r="V7" s="770" t="s">
        <v>17</v>
      </c>
      <c r="W7" s="771">
        <f t="shared" ref="W7:W15" si="2">J7</f>
        <v>0</v>
      </c>
      <c r="X7" s="772"/>
      <c r="Y7" s="3182" t="s">
        <v>2552</v>
      </c>
      <c r="Z7" s="3183"/>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2563</v>
      </c>
      <c r="Q15" s="1810" t="str">
        <f t="shared" si="6"/>
        <v>产业集聚程度</v>
      </c>
      <c r="R15" s="774" t="s">
        <v>17</v>
      </c>
      <c r="S15" s="775">
        <f t="shared" si="0"/>
        <v>100</v>
      </c>
      <c r="T15" s="774" t="s">
        <v>17</v>
      </c>
      <c r="U15" s="775">
        <f t="shared" si="1"/>
        <v>100</v>
      </c>
      <c r="V15" s="774" t="s">
        <v>17</v>
      </c>
      <c r="W15" s="775">
        <f t="shared" si="2"/>
        <v>100</v>
      </c>
      <c r="X15" s="1813"/>
      <c r="Y15" s="3216"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7"/>
      <c r="Q16" s="1810"/>
      <c r="R16" s="774"/>
      <c r="S16" s="775"/>
      <c r="T16" s="774"/>
      <c r="U16" s="775"/>
      <c r="V16" s="774"/>
      <c r="W16" s="775"/>
      <c r="X16" s="1813"/>
      <c r="Y16" s="3217"/>
      <c r="Z16" s="1814"/>
      <c r="AA16" s="1811">
        <v>1</v>
      </c>
      <c r="AB16" s="1811">
        <v>1</v>
      </c>
      <c r="AC16" s="1811">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7"/>
      <c r="Q18" s="1810"/>
      <c r="R18" s="774"/>
      <c r="S18" s="775"/>
      <c r="T18" s="774"/>
      <c r="U18" s="775"/>
      <c r="V18" s="774"/>
      <c r="W18" s="775"/>
      <c r="X18" s="1813"/>
      <c r="Y18" s="3217"/>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10" t="str">
        <f>B19</f>
        <v>公共配套设施</v>
      </c>
      <c r="R19" s="774" t="s">
        <v>17</v>
      </c>
      <c r="S19" s="775">
        <f>F19</f>
        <v>100</v>
      </c>
      <c r="T19" s="774" t="s">
        <v>17</v>
      </c>
      <c r="U19" s="775">
        <f>H19</f>
        <v>100</v>
      </c>
      <c r="V19" s="774" t="s">
        <v>17</v>
      </c>
      <c r="W19" s="775">
        <f>J19</f>
        <v>100</v>
      </c>
      <c r="X19" s="1813"/>
      <c r="Y19" s="3217"/>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7"/>
      <c r="Q20" s="1810"/>
      <c r="R20" s="774"/>
      <c r="S20" s="775"/>
      <c r="T20" s="774"/>
      <c r="U20" s="775"/>
      <c r="V20" s="774"/>
      <c r="W20" s="775"/>
      <c r="X20" s="1813"/>
      <c r="Y20" s="3217"/>
      <c r="Z20" s="1814"/>
      <c r="AA20" s="1811">
        <v>1</v>
      </c>
      <c r="AB20" s="1811">
        <v>1</v>
      </c>
      <c r="AC20" s="1811">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10" t="str">
        <f>B21</f>
        <v>基础设施水平</v>
      </c>
      <c r="R21" s="774" t="s">
        <v>17</v>
      </c>
      <c r="S21" s="775">
        <f>F21</f>
        <v>100</v>
      </c>
      <c r="T21" s="774" t="s">
        <v>17</v>
      </c>
      <c r="U21" s="775">
        <f>H21</f>
        <v>100</v>
      </c>
      <c r="V21" s="774" t="s">
        <v>17</v>
      </c>
      <c r="W21" s="775">
        <f>J21</f>
        <v>100</v>
      </c>
      <c r="X21" s="1813"/>
      <c r="Y21" s="3217"/>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7"/>
      <c r="Q22" s="1810"/>
      <c r="R22" s="774"/>
      <c r="S22" s="775"/>
      <c r="T22" s="774"/>
      <c r="U22" s="775"/>
      <c r="V22" s="774"/>
      <c r="W22" s="775"/>
      <c r="X22" s="1813"/>
      <c r="Y22" s="3217"/>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10" t="str">
        <f>B23</f>
        <v>环境质量</v>
      </c>
      <c r="R23" s="774" t="s">
        <v>17</v>
      </c>
      <c r="S23" s="775">
        <f>F23</f>
        <v>100</v>
      </c>
      <c r="T23" s="774" t="s">
        <v>17</v>
      </c>
      <c r="U23" s="775">
        <f>H23</f>
        <v>100</v>
      </c>
      <c r="V23" s="774" t="s">
        <v>17</v>
      </c>
      <c r="W23" s="775">
        <f>J23</f>
        <v>100</v>
      </c>
      <c r="X23" s="1813"/>
      <c r="Y23" s="3217"/>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7"/>
      <c r="Q24" s="1810"/>
      <c r="R24" s="774"/>
      <c r="S24" s="775"/>
      <c r="T24" s="774"/>
      <c r="U24" s="775"/>
      <c r="V24" s="774"/>
      <c r="W24" s="775"/>
      <c r="X24" s="1813"/>
      <c r="Y24" s="321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10">
        <f>B25</f>
        <v>111</v>
      </c>
      <c r="R25" s="774" t="s">
        <v>17</v>
      </c>
      <c r="S25" s="775">
        <f>F25</f>
        <v>100</v>
      </c>
      <c r="T25" s="774" t="s">
        <v>17</v>
      </c>
      <c r="U25" s="775">
        <f>H25</f>
        <v>100</v>
      </c>
      <c r="V25" s="774" t="s">
        <v>17</v>
      </c>
      <c r="W25" s="775">
        <f>J25</f>
        <v>100</v>
      </c>
      <c r="X25" s="1813"/>
      <c r="Y25" s="321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10">
        <f t="shared" ref="Q26:Q40" si="11">B26</f>
        <v>111</v>
      </c>
      <c r="R26" s="774" t="s">
        <v>17</v>
      </c>
      <c r="S26" s="775">
        <f>F26</f>
        <v>100</v>
      </c>
      <c r="T26" s="774" t="s">
        <v>17</v>
      </c>
      <c r="U26" s="775">
        <f>H26</f>
        <v>100</v>
      </c>
      <c r="V26" s="774" t="s">
        <v>17</v>
      </c>
      <c r="W26" s="775">
        <f>J26</f>
        <v>100</v>
      </c>
      <c r="X26" s="1813"/>
      <c r="Y26" s="321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95">
        <f t="shared" si="11"/>
        <v>111</v>
      </c>
      <c r="R27" s="770" t="s">
        <v>17</v>
      </c>
      <c r="S27" s="771">
        <f>F27</f>
        <v>100</v>
      </c>
      <c r="T27" s="770" t="s">
        <v>17</v>
      </c>
      <c r="U27" s="771">
        <f>H27</f>
        <v>100</v>
      </c>
      <c r="V27" s="770" t="s">
        <v>17</v>
      </c>
      <c r="W27" s="771">
        <f>J27</f>
        <v>100</v>
      </c>
      <c r="X27" s="772"/>
      <c r="Y27" s="321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10">
        <f t="shared" si="11"/>
        <v>111</v>
      </c>
      <c r="R28" s="774" t="s">
        <v>17</v>
      </c>
      <c r="S28" s="775">
        <f t="shared" ref="S28:S40" si="12">F28</f>
        <v>100</v>
      </c>
      <c r="T28" s="774" t="s">
        <v>17</v>
      </c>
      <c r="U28" s="775">
        <f t="shared" ref="U28:U40" si="13">H28</f>
        <v>100</v>
      </c>
      <c r="V28" s="774" t="s">
        <v>17</v>
      </c>
      <c r="W28" s="775">
        <f t="shared" ref="W28:W40" si="14">J28</f>
        <v>100</v>
      </c>
      <c r="X28" s="1813"/>
      <c r="Y28" s="3217"/>
      <c r="Z28" s="1814">
        <f t="shared" ref="Z28:Z40" si="15">Q28</f>
        <v>111</v>
      </c>
      <c r="AA28" s="1811">
        <f t="shared" si="3"/>
        <v>1</v>
      </c>
      <c r="AB28" s="1811">
        <f t="shared" si="4"/>
        <v>1</v>
      </c>
      <c r="AC28" s="1811">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40" t="s">
        <v>2568</v>
      </c>
      <c r="Q29" s="1810" t="str">
        <f t="shared" si="11"/>
        <v>建筑类型</v>
      </c>
      <c r="R29" s="774" t="s">
        <v>17</v>
      </c>
      <c r="S29" s="775">
        <f t="shared" si="12"/>
        <v>100</v>
      </c>
      <c r="T29" s="774" t="s">
        <v>17</v>
      </c>
      <c r="U29" s="775">
        <f t="shared" si="13"/>
        <v>100</v>
      </c>
      <c r="V29" s="774" t="s">
        <v>17</v>
      </c>
      <c r="W29" s="775">
        <f t="shared" si="14"/>
        <v>100</v>
      </c>
      <c r="X29" s="1813"/>
      <c r="Y29" s="3221"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10" t="str">
        <f t="shared" si="11"/>
        <v>建筑结构</v>
      </c>
      <c r="R31" s="774" t="s">
        <v>17</v>
      </c>
      <c r="S31" s="775">
        <f t="shared" si="12"/>
        <v>100</v>
      </c>
      <c r="T31" s="774" t="s">
        <v>17</v>
      </c>
      <c r="U31" s="775">
        <f t="shared" si="13"/>
        <v>100</v>
      </c>
      <c r="V31" s="774" t="s">
        <v>17</v>
      </c>
      <c r="W31" s="775">
        <f t="shared" si="14"/>
        <v>100</v>
      </c>
      <c r="X31" s="1813"/>
      <c r="Y31" s="3221"/>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10" t="str">
        <f t="shared" si="11"/>
        <v>公共部分装修</v>
      </c>
      <c r="R32" s="774" t="s">
        <v>17</v>
      </c>
      <c r="S32" s="775">
        <f t="shared" si="12"/>
        <v>100</v>
      </c>
      <c r="T32" s="774" t="s">
        <v>17</v>
      </c>
      <c r="U32" s="775">
        <f t="shared" si="13"/>
        <v>100</v>
      </c>
      <c r="V32" s="774" t="s">
        <v>17</v>
      </c>
      <c r="W32" s="775">
        <f t="shared" si="14"/>
        <v>100</v>
      </c>
      <c r="X32" s="1813"/>
      <c r="Y32" s="3221"/>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10" t="str">
        <f t="shared" si="11"/>
        <v>成新度</v>
      </c>
      <c r="R33" s="774" t="s">
        <v>17</v>
      </c>
      <c r="S33" s="775" t="e">
        <f t="shared" si="12"/>
        <v>#N/A</v>
      </c>
      <c r="T33" s="774" t="s">
        <v>17</v>
      </c>
      <c r="U33" s="775" t="e">
        <f t="shared" si="13"/>
        <v>#N/A</v>
      </c>
      <c r="V33" s="774" t="s">
        <v>17</v>
      </c>
      <c r="W33" s="775" t="e">
        <f t="shared" si="14"/>
        <v>#N/A</v>
      </c>
      <c r="X33" s="1813"/>
      <c r="Y33" s="3221"/>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95"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2568</v>
      </c>
      <c r="Q35" s="1810" t="str">
        <f t="shared" si="11"/>
        <v>市政基础设施</v>
      </c>
      <c r="R35" s="774" t="s">
        <v>17</v>
      </c>
      <c r="S35" s="775">
        <f t="shared" si="12"/>
        <v>100</v>
      </c>
      <c r="T35" s="774" t="s">
        <v>17</v>
      </c>
      <c r="U35" s="775">
        <f t="shared" si="13"/>
        <v>100</v>
      </c>
      <c r="V35" s="774" t="s">
        <v>17</v>
      </c>
      <c r="W35" s="775">
        <f t="shared" si="14"/>
        <v>100</v>
      </c>
      <c r="X35" s="1813"/>
      <c r="Y35" s="3221"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10" t="str">
        <f t="shared" si="11"/>
        <v>内部装修</v>
      </c>
      <c r="R36" s="774" t="s">
        <v>17</v>
      </c>
      <c r="S36" s="775">
        <f t="shared" si="12"/>
        <v>100</v>
      </c>
      <c r="T36" s="774" t="s">
        <v>17</v>
      </c>
      <c r="U36" s="775">
        <f t="shared" si="13"/>
        <v>100</v>
      </c>
      <c r="V36" s="774" t="s">
        <v>17</v>
      </c>
      <c r="W36" s="775">
        <f t="shared" si="14"/>
        <v>100</v>
      </c>
      <c r="X36" s="1813"/>
      <c r="Y36" s="3221"/>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10" t="str">
        <f t="shared" si="11"/>
        <v>内部装修状况</v>
      </c>
      <c r="R37" s="774" t="s">
        <v>17</v>
      </c>
      <c r="S37" s="775">
        <f t="shared" si="12"/>
        <v>100</v>
      </c>
      <c r="T37" s="774" t="s">
        <v>17</v>
      </c>
      <c r="U37" s="775">
        <f t="shared" si="13"/>
        <v>100</v>
      </c>
      <c r="V37" s="774" t="s">
        <v>17</v>
      </c>
      <c r="W37" s="775">
        <f t="shared" si="14"/>
        <v>100</v>
      </c>
      <c r="X37" s="1813"/>
      <c r="Y37" s="322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10">
        <f t="shared" si="11"/>
        <v>111</v>
      </c>
      <c r="R39" s="774" t="s">
        <v>17</v>
      </c>
      <c r="S39" s="775">
        <f t="shared" si="12"/>
        <v>100</v>
      </c>
      <c r="T39" s="774" t="s">
        <v>17</v>
      </c>
      <c r="U39" s="775">
        <f t="shared" si="13"/>
        <v>100</v>
      </c>
      <c r="V39" s="774" t="s">
        <v>17</v>
      </c>
      <c r="W39" s="775">
        <f t="shared" si="14"/>
        <v>100</v>
      </c>
      <c r="X39" s="1813"/>
      <c r="Y39" s="3221"/>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10">
        <f t="shared" si="11"/>
        <v>111</v>
      </c>
      <c r="R40" s="774" t="s">
        <v>17</v>
      </c>
      <c r="S40" s="775">
        <f t="shared" si="12"/>
        <v>100</v>
      </c>
      <c r="T40" s="774" t="s">
        <v>17</v>
      </c>
      <c r="U40" s="775">
        <f t="shared" si="13"/>
        <v>100</v>
      </c>
      <c r="V40" s="774" t="s">
        <v>17</v>
      </c>
      <c r="W40" s="775">
        <f t="shared" si="14"/>
        <v>100</v>
      </c>
      <c r="X40" s="1813"/>
      <c r="Y40" s="3222"/>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180" t="s">
        <v>2651</v>
      </c>
      <c r="AC4" s="3179" t="s">
        <v>2652</v>
      </c>
    </row>
    <row r="5" spans="1:29"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2549</v>
      </c>
      <c r="D6" s="3193"/>
      <c r="E6" s="3194" t="s">
        <v>2549</v>
      </c>
      <c r="F6" s="3195"/>
      <c r="G6" s="3192" t="s">
        <v>2549</v>
      </c>
      <c r="H6" s="3193"/>
      <c r="I6" s="3192" t="s">
        <v>2549</v>
      </c>
      <c r="J6" s="3193"/>
      <c r="K6" s="610" t="s">
        <v>2550</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2551</v>
      </c>
      <c r="B7" s="409"/>
      <c r="C7" s="410">
        <f>'数据-取费表'!B2</f>
        <v>43273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2552</v>
      </c>
      <c r="Q7" s="3210"/>
      <c r="R7" s="770" t="s">
        <v>17</v>
      </c>
      <c r="S7" s="771">
        <f t="shared" ref="S7:S14" si="0">F7</f>
        <v>0</v>
      </c>
      <c r="T7" s="770" t="s">
        <v>17</v>
      </c>
      <c r="U7" s="771">
        <f t="shared" ref="U7:U14" si="1">H7</f>
        <v>0</v>
      </c>
      <c r="V7" s="770" t="s">
        <v>17</v>
      </c>
      <c r="W7" s="771">
        <f t="shared" ref="W7:W14" si="2">J7</f>
        <v>0</v>
      </c>
      <c r="X7" s="772"/>
      <c r="Y7" s="3182" t="s">
        <v>2552</v>
      </c>
      <c r="Z7" s="318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2558</v>
      </c>
      <c r="Q9" s="1795" t="str">
        <f t="shared" ref="Q9:Q14" si="6">B9</f>
        <v>用途</v>
      </c>
      <c r="R9" s="770" t="s">
        <v>17</v>
      </c>
      <c r="S9" s="771">
        <f t="shared" si="0"/>
        <v>100</v>
      </c>
      <c r="T9" s="770" t="s">
        <v>17</v>
      </c>
      <c r="U9" s="771">
        <f t="shared" si="1"/>
        <v>100</v>
      </c>
      <c r="V9" s="770" t="s">
        <v>17</v>
      </c>
      <c r="W9" s="771">
        <f t="shared" si="2"/>
        <v>100</v>
      </c>
      <c r="X9" s="772"/>
      <c r="Y9" s="302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2563</v>
      </c>
      <c r="Q14" s="1810" t="str">
        <f t="shared" si="6"/>
        <v>交通便捷度</v>
      </c>
      <c r="R14" s="774" t="s">
        <v>17</v>
      </c>
      <c r="S14" s="775">
        <f t="shared" si="0"/>
        <v>100</v>
      </c>
      <c r="T14" s="774" t="s">
        <v>17</v>
      </c>
      <c r="U14" s="775">
        <f t="shared" si="1"/>
        <v>100</v>
      </c>
      <c r="V14" s="774" t="s">
        <v>17</v>
      </c>
      <c r="W14" s="775">
        <f t="shared" si="2"/>
        <v>100</v>
      </c>
      <c r="X14" s="1813"/>
      <c r="Y14" s="3216"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7"/>
      <c r="Q15" s="1810"/>
      <c r="R15" s="774"/>
      <c r="S15" s="775"/>
      <c r="T15" s="774"/>
      <c r="U15" s="775"/>
      <c r="V15" s="774"/>
      <c r="W15" s="775"/>
      <c r="X15" s="1813"/>
      <c r="Y15" s="3217"/>
      <c r="Z15" s="1814"/>
      <c r="AA15" s="1811">
        <v>1</v>
      </c>
      <c r="AB15" s="1811">
        <v>1</v>
      </c>
      <c r="AC15" s="1811">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7"/>
      <c r="Q17" s="1810"/>
      <c r="R17" s="774"/>
      <c r="S17" s="775"/>
      <c r="T17" s="774"/>
      <c r="U17" s="775"/>
      <c r="V17" s="774"/>
      <c r="W17" s="775"/>
      <c r="X17" s="1813"/>
      <c r="Y17" s="3217"/>
      <c r="Z17" s="1814"/>
      <c r="AA17" s="1811">
        <v>1</v>
      </c>
      <c r="AB17" s="1811">
        <v>1</v>
      </c>
      <c r="AC17" s="1811">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7"/>
      <c r="Q19" s="1810"/>
      <c r="R19" s="774"/>
      <c r="S19" s="775"/>
      <c r="T19" s="774"/>
      <c r="U19" s="775"/>
      <c r="V19" s="774"/>
      <c r="W19" s="775"/>
      <c r="X19" s="1813"/>
      <c r="Y19" s="3217"/>
      <c r="Z19" s="1814"/>
      <c r="AA19" s="1811">
        <v>1</v>
      </c>
      <c r="AB19" s="1811">
        <v>1</v>
      </c>
      <c r="AC19" s="1811">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7"/>
      <c r="Q21" s="1810"/>
      <c r="R21" s="774"/>
      <c r="S21" s="775"/>
      <c r="T21" s="774"/>
      <c r="U21" s="775"/>
      <c r="V21" s="774"/>
      <c r="W21" s="775"/>
      <c r="X21" s="1813"/>
      <c r="Y21" s="3217"/>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10">
        <f t="shared" ref="Q24:Q36"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1"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10" t="str">
        <f t="shared" si="11"/>
        <v>公共部分装修</v>
      </c>
      <c r="R28" s="774" t="s">
        <v>17</v>
      </c>
      <c r="S28" s="775">
        <f t="shared" si="12"/>
        <v>100</v>
      </c>
      <c r="T28" s="774" t="s">
        <v>17</v>
      </c>
      <c r="U28" s="775">
        <f t="shared" si="13"/>
        <v>100</v>
      </c>
      <c r="V28" s="774" t="s">
        <v>17</v>
      </c>
      <c r="W28" s="775">
        <f t="shared" si="14"/>
        <v>100</v>
      </c>
      <c r="X28" s="1813"/>
      <c r="Y28" s="3221"/>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10" t="str">
        <f t="shared" si="11"/>
        <v>成新率</v>
      </c>
      <c r="R29" s="774" t="s">
        <v>17</v>
      </c>
      <c r="S29" s="775" t="e">
        <f t="shared" si="12"/>
        <v>#N/A</v>
      </c>
      <c r="T29" s="774" t="s">
        <v>17</v>
      </c>
      <c r="U29" s="775" t="e">
        <f t="shared" si="13"/>
        <v>#N/A</v>
      </c>
      <c r="V29" s="774" t="s">
        <v>17</v>
      </c>
      <c r="W29" s="775" t="e">
        <f t="shared" si="14"/>
        <v>#N/A</v>
      </c>
      <c r="X29" s="1813"/>
      <c r="Y29" s="3221"/>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10" t="str">
        <f t="shared" si="11"/>
        <v>物业等级</v>
      </c>
      <c r="R30" s="774" t="s">
        <v>17</v>
      </c>
      <c r="S30" s="775">
        <f t="shared" si="12"/>
        <v>100</v>
      </c>
      <c r="T30" s="774" t="s">
        <v>17</v>
      </c>
      <c r="U30" s="775">
        <f t="shared" si="13"/>
        <v>100</v>
      </c>
      <c r="V30" s="774" t="s">
        <v>17</v>
      </c>
      <c r="W30" s="775">
        <f t="shared" si="14"/>
        <v>100</v>
      </c>
      <c r="X30" s="1813"/>
      <c r="Y30" s="3221"/>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95"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2568</v>
      </c>
      <c r="Q32" s="1810" t="str">
        <f t="shared" si="11"/>
        <v>车位类型</v>
      </c>
      <c r="R32" s="774" t="s">
        <v>17</v>
      </c>
      <c r="S32" s="775">
        <f t="shared" si="12"/>
        <v>100</v>
      </c>
      <c r="T32" s="774" t="s">
        <v>17</v>
      </c>
      <c r="U32" s="775">
        <f t="shared" si="13"/>
        <v>100</v>
      </c>
      <c r="V32" s="774" t="s">
        <v>17</v>
      </c>
      <c r="W32" s="775">
        <f t="shared" si="14"/>
        <v>100</v>
      </c>
      <c r="X32" s="1813"/>
      <c r="Y32" s="3221"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10" t="str">
        <f t="shared" si="11"/>
        <v>是否直接入户</v>
      </c>
      <c r="R33" s="774" t="s">
        <v>17</v>
      </c>
      <c r="S33" s="775">
        <f t="shared" si="12"/>
        <v>100</v>
      </c>
      <c r="T33" s="774" t="s">
        <v>17</v>
      </c>
      <c r="U33" s="775">
        <f t="shared" si="13"/>
        <v>100</v>
      </c>
      <c r="V33" s="774" t="s">
        <v>17</v>
      </c>
      <c r="W33" s="775">
        <f t="shared" si="14"/>
        <v>100</v>
      </c>
      <c r="X33" s="1813"/>
      <c r="Y33" s="322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10">
        <f t="shared" si="11"/>
        <v>111</v>
      </c>
      <c r="R36" s="774" t="s">
        <v>17</v>
      </c>
      <c r="S36" s="775">
        <f t="shared" si="12"/>
        <v>100</v>
      </c>
      <c r="T36" s="774" t="s">
        <v>17</v>
      </c>
      <c r="U36" s="775">
        <f t="shared" si="13"/>
        <v>100</v>
      </c>
      <c r="V36" s="774" t="s">
        <v>17</v>
      </c>
      <c r="W36" s="775">
        <f t="shared" si="14"/>
        <v>100</v>
      </c>
      <c r="X36" s="1813"/>
      <c r="Y36" s="3221"/>
      <c r="Z36" s="1814">
        <f t="shared" si="15"/>
        <v>111</v>
      </c>
      <c r="AA36" s="1811">
        <f t="shared" si="3"/>
        <v>1</v>
      </c>
      <c r="AB36" s="1811">
        <f t="shared" si="4"/>
        <v>1</v>
      </c>
      <c r="AC36" s="1811">
        <f t="shared" si="5"/>
        <v>1</v>
      </c>
    </row>
    <row r="37" spans="1:29" ht="15">
      <c r="A37" s="479" t="s">
        <v>2723</v>
      </c>
      <c r="B37" s="2698" t="s">
        <v>2724</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180" t="s">
        <v>2651</v>
      </c>
      <c r="AC4" s="3179" t="s">
        <v>2652</v>
      </c>
    </row>
    <row r="5" spans="1:29"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192" t="s">
        <v>2549</v>
      </c>
      <c r="D6" s="3193"/>
      <c r="E6" s="3194" t="s">
        <v>2549</v>
      </c>
      <c r="F6" s="3195"/>
      <c r="G6" s="3192" t="s">
        <v>2549</v>
      </c>
      <c r="H6" s="3193"/>
      <c r="I6" s="3192" t="s">
        <v>2549</v>
      </c>
      <c r="J6" s="3193"/>
      <c r="K6" s="610" t="s">
        <v>2550</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2551</v>
      </c>
      <c r="B7" s="409"/>
      <c r="C7" s="410">
        <f>'数据-取费表'!B2</f>
        <v>43273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82" t="s">
        <v>2552</v>
      </c>
      <c r="Q7" s="3210"/>
      <c r="R7" s="770" t="s">
        <v>17</v>
      </c>
      <c r="S7" s="771">
        <f t="shared" ref="S7:S14" si="0">F7</f>
        <v>0</v>
      </c>
      <c r="T7" s="770" t="s">
        <v>17</v>
      </c>
      <c r="U7" s="771">
        <f t="shared" ref="U7:U14" si="1">H7</f>
        <v>0</v>
      </c>
      <c r="V7" s="770" t="s">
        <v>17</v>
      </c>
      <c r="W7" s="771">
        <f t="shared" ref="W7:W14" si="2">J7</f>
        <v>0</v>
      </c>
      <c r="X7" s="772"/>
      <c r="Y7" s="3182" t="s">
        <v>2552</v>
      </c>
      <c r="Z7" s="318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2558</v>
      </c>
      <c r="Q9" s="1795" t="str">
        <f t="shared" ref="Q9:Q14" si="6">B9</f>
        <v>用途</v>
      </c>
      <c r="R9" s="770" t="s">
        <v>17</v>
      </c>
      <c r="S9" s="771">
        <f t="shared" si="0"/>
        <v>100</v>
      </c>
      <c r="T9" s="770" t="s">
        <v>17</v>
      </c>
      <c r="U9" s="771">
        <f t="shared" si="1"/>
        <v>100</v>
      </c>
      <c r="V9" s="770" t="s">
        <v>17</v>
      </c>
      <c r="W9" s="771">
        <f t="shared" si="2"/>
        <v>100</v>
      </c>
      <c r="X9" s="772"/>
      <c r="Y9" s="302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2563</v>
      </c>
      <c r="Q14" s="1810" t="str">
        <f t="shared" si="6"/>
        <v>交通便捷度</v>
      </c>
      <c r="R14" s="774" t="s">
        <v>17</v>
      </c>
      <c r="S14" s="775">
        <f t="shared" si="0"/>
        <v>100</v>
      </c>
      <c r="T14" s="774" t="s">
        <v>17</v>
      </c>
      <c r="U14" s="775">
        <f t="shared" si="1"/>
        <v>100</v>
      </c>
      <c r="V14" s="774" t="s">
        <v>17</v>
      </c>
      <c r="W14" s="775">
        <f t="shared" si="2"/>
        <v>100</v>
      </c>
      <c r="X14" s="1813"/>
      <c r="Y14" s="3216"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7"/>
      <c r="Q15" s="1810"/>
      <c r="R15" s="774"/>
      <c r="S15" s="775"/>
      <c r="T15" s="774"/>
      <c r="U15" s="775"/>
      <c r="V15" s="774"/>
      <c r="W15" s="775"/>
      <c r="X15" s="1813"/>
      <c r="Y15" s="3217"/>
      <c r="Z15" s="1814"/>
      <c r="AA15" s="1811">
        <v>1</v>
      </c>
      <c r="AB15" s="1811">
        <v>1</v>
      </c>
      <c r="AC15" s="1811">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10" t="str">
        <f>B16</f>
        <v>公共配套设施</v>
      </c>
      <c r="R16" s="774" t="s">
        <v>17</v>
      </c>
      <c r="S16" s="775">
        <f>F16</f>
        <v>100</v>
      </c>
      <c r="T16" s="774" t="s">
        <v>17</v>
      </c>
      <c r="U16" s="775">
        <f>H16</f>
        <v>100</v>
      </c>
      <c r="V16" s="774" t="s">
        <v>17</v>
      </c>
      <c r="W16" s="775">
        <f>J16</f>
        <v>100</v>
      </c>
      <c r="X16" s="1813"/>
      <c r="Y16" s="3217"/>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7"/>
      <c r="Q17" s="1810"/>
      <c r="R17" s="774"/>
      <c r="S17" s="775"/>
      <c r="T17" s="774"/>
      <c r="U17" s="775"/>
      <c r="V17" s="774"/>
      <c r="W17" s="775"/>
      <c r="X17" s="1813"/>
      <c r="Y17" s="3217"/>
      <c r="Z17" s="1814"/>
      <c r="AA17" s="1811">
        <v>1</v>
      </c>
      <c r="AB17" s="1811">
        <v>1</v>
      </c>
      <c r="AC17" s="1811">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10" t="str">
        <f>B18</f>
        <v>基础设施水平</v>
      </c>
      <c r="R18" s="774" t="s">
        <v>17</v>
      </c>
      <c r="S18" s="775">
        <f>F18</f>
        <v>100</v>
      </c>
      <c r="T18" s="774" t="s">
        <v>17</v>
      </c>
      <c r="U18" s="775">
        <f>H18</f>
        <v>100</v>
      </c>
      <c r="V18" s="774" t="s">
        <v>17</v>
      </c>
      <c r="W18" s="775">
        <f>J18</f>
        <v>100</v>
      </c>
      <c r="X18" s="1813"/>
      <c r="Y18" s="3217"/>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7"/>
      <c r="Q19" s="1810"/>
      <c r="R19" s="774"/>
      <c r="S19" s="775"/>
      <c r="T19" s="774"/>
      <c r="U19" s="775"/>
      <c r="V19" s="774"/>
      <c r="W19" s="775"/>
      <c r="X19" s="1813"/>
      <c r="Y19" s="3217"/>
      <c r="Z19" s="1814"/>
      <c r="AA19" s="1811">
        <v>1</v>
      </c>
      <c r="AB19" s="1811">
        <v>1</v>
      </c>
      <c r="AC19" s="1811">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10" t="str">
        <f>B20</f>
        <v>自然及人文环境</v>
      </c>
      <c r="R20" s="774" t="s">
        <v>17</v>
      </c>
      <c r="S20" s="775">
        <f>F20</f>
        <v>100</v>
      </c>
      <c r="T20" s="774" t="s">
        <v>17</v>
      </c>
      <c r="U20" s="775">
        <f>H20</f>
        <v>100</v>
      </c>
      <c r="V20" s="774" t="s">
        <v>17</v>
      </c>
      <c r="W20" s="775">
        <f>J20</f>
        <v>100</v>
      </c>
      <c r="X20" s="1813"/>
      <c r="Y20" s="321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7"/>
      <c r="Q21" s="1810"/>
      <c r="R21" s="774"/>
      <c r="S21" s="775"/>
      <c r="T21" s="774"/>
      <c r="U21" s="775"/>
      <c r="V21" s="774"/>
      <c r="W21" s="775"/>
      <c r="X21" s="1813"/>
      <c r="Y21" s="3217"/>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10" t="str">
        <f>B22</f>
        <v>楼层</v>
      </c>
      <c r="R22" s="774" t="s">
        <v>17</v>
      </c>
      <c r="S22" s="775">
        <f>F22</f>
        <v>100</v>
      </c>
      <c r="T22" s="774" t="s">
        <v>17</v>
      </c>
      <c r="U22" s="775">
        <f>H22</f>
        <v>100</v>
      </c>
      <c r="V22" s="774" t="s">
        <v>17</v>
      </c>
      <c r="W22" s="775">
        <f>J22</f>
        <v>100</v>
      </c>
      <c r="X22" s="1813"/>
      <c r="Y22" s="3217"/>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10">
        <f>B23</f>
        <v>111</v>
      </c>
      <c r="R23" s="774" t="s">
        <v>17</v>
      </c>
      <c r="S23" s="775">
        <f>F23</f>
        <v>100</v>
      </c>
      <c r="T23" s="774" t="s">
        <v>17</v>
      </c>
      <c r="U23" s="775">
        <f>H23</f>
        <v>100</v>
      </c>
      <c r="V23" s="774" t="s">
        <v>17</v>
      </c>
      <c r="W23" s="775">
        <f>J23</f>
        <v>100</v>
      </c>
      <c r="X23" s="1813"/>
      <c r="Y23" s="3217"/>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10">
        <f t="shared" ref="Q24:Q34" si="11">B24</f>
        <v>111</v>
      </c>
      <c r="R24" s="774" t="s">
        <v>17</v>
      </c>
      <c r="S24" s="775">
        <f>F24</f>
        <v>100</v>
      </c>
      <c r="T24" s="774" t="s">
        <v>17</v>
      </c>
      <c r="U24" s="775">
        <f>H24</f>
        <v>100</v>
      </c>
      <c r="V24" s="774" t="s">
        <v>17</v>
      </c>
      <c r="W24" s="775">
        <f>J24</f>
        <v>100</v>
      </c>
      <c r="X24" s="1813"/>
      <c r="Y24" s="3217"/>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7"/>
      <c r="Q25" s="1795">
        <f t="shared" si="11"/>
        <v>111</v>
      </c>
      <c r="R25" s="770" t="s">
        <v>17</v>
      </c>
      <c r="S25" s="771">
        <f>F25</f>
        <v>100</v>
      </c>
      <c r="T25" s="770" t="s">
        <v>17</v>
      </c>
      <c r="U25" s="771">
        <f>H25</f>
        <v>100</v>
      </c>
      <c r="V25" s="770" t="s">
        <v>17</v>
      </c>
      <c r="W25" s="771">
        <f>J25</f>
        <v>100</v>
      </c>
      <c r="X25" s="772"/>
      <c r="Y25" s="3217"/>
      <c r="Z25" s="55">
        <f>Q25</f>
        <v>111</v>
      </c>
      <c r="AA25" s="1811">
        <f>D25/F25</f>
        <v>1</v>
      </c>
      <c r="AB25" s="1811">
        <f>D25/H25</f>
        <v>1</v>
      </c>
      <c r="AC25" s="1811">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40"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1"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10" t="str">
        <f t="shared" si="11"/>
        <v>物业等级</v>
      </c>
      <c r="R28" s="774" t="s">
        <v>17</v>
      </c>
      <c r="S28" s="775">
        <f t="shared" si="12"/>
        <v>100</v>
      </c>
      <c r="T28" s="774" t="s">
        <v>17</v>
      </c>
      <c r="U28" s="775">
        <f t="shared" si="13"/>
        <v>100</v>
      </c>
      <c r="V28" s="774" t="s">
        <v>17</v>
      </c>
      <c r="W28" s="775">
        <f t="shared" si="14"/>
        <v>100</v>
      </c>
      <c r="X28" s="1813"/>
      <c r="Y28" s="3221"/>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10" t="str">
        <f t="shared" si="11"/>
        <v>有无电梯</v>
      </c>
      <c r="R29" s="774" t="s">
        <v>17</v>
      </c>
      <c r="S29" s="775">
        <f t="shared" si="12"/>
        <v>100</v>
      </c>
      <c r="T29" s="774" t="s">
        <v>17</v>
      </c>
      <c r="U29" s="775">
        <f t="shared" si="13"/>
        <v>100</v>
      </c>
      <c r="V29" s="774" t="s">
        <v>17</v>
      </c>
      <c r="W29" s="775">
        <f t="shared" si="14"/>
        <v>100</v>
      </c>
      <c r="X29" s="1813"/>
      <c r="Y29" s="3221"/>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10" t="str">
        <f t="shared" si="11"/>
        <v>建筑面积</v>
      </c>
      <c r="R30" s="774" t="s">
        <v>17</v>
      </c>
      <c r="S30" s="775" t="e">
        <f t="shared" si="12"/>
        <v>#N/A</v>
      </c>
      <c r="T30" s="774" t="s">
        <v>17</v>
      </c>
      <c r="U30" s="775" t="e">
        <f t="shared" si="13"/>
        <v>#N/A</v>
      </c>
      <c r="V30" s="774" t="s">
        <v>17</v>
      </c>
      <c r="W30" s="775" t="e">
        <f t="shared" si="14"/>
        <v>#N/A</v>
      </c>
      <c r="X30" s="1813"/>
      <c r="Y30" s="3221"/>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95"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2568</v>
      </c>
      <c r="Q32" s="1810">
        <f t="shared" si="11"/>
        <v>111</v>
      </c>
      <c r="R32" s="774" t="s">
        <v>17</v>
      </c>
      <c r="S32" s="775">
        <f t="shared" si="12"/>
        <v>100</v>
      </c>
      <c r="T32" s="774" t="s">
        <v>17</v>
      </c>
      <c r="U32" s="775">
        <f t="shared" si="13"/>
        <v>100</v>
      </c>
      <c r="V32" s="774" t="s">
        <v>17</v>
      </c>
      <c r="W32" s="775">
        <f t="shared" si="14"/>
        <v>100</v>
      </c>
      <c r="X32" s="1813"/>
      <c r="Y32" s="3221" t="s">
        <v>2568</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10">
        <f t="shared" si="11"/>
        <v>111</v>
      </c>
      <c r="R33" s="774" t="s">
        <v>17</v>
      </c>
      <c r="S33" s="775">
        <f t="shared" si="12"/>
        <v>100</v>
      </c>
      <c r="T33" s="774" t="s">
        <v>17</v>
      </c>
      <c r="U33" s="775">
        <f t="shared" si="13"/>
        <v>100</v>
      </c>
      <c r="V33" s="774" t="s">
        <v>17</v>
      </c>
      <c r="W33" s="775">
        <f t="shared" si="14"/>
        <v>100</v>
      </c>
      <c r="X33" s="1813"/>
      <c r="Y33" s="3221"/>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21"/>
      <c r="Q34" s="1810">
        <f t="shared" si="11"/>
        <v>111</v>
      </c>
      <c r="R34" s="774" t="s">
        <v>17</v>
      </c>
      <c r="S34" s="775">
        <f t="shared" si="12"/>
        <v>100</v>
      </c>
      <c r="T34" s="774" t="s">
        <v>17</v>
      </c>
      <c r="U34" s="775">
        <f t="shared" si="13"/>
        <v>100</v>
      </c>
      <c r="V34" s="774" t="s">
        <v>17</v>
      </c>
      <c r="W34" s="775">
        <f t="shared" si="14"/>
        <v>100</v>
      </c>
      <c r="X34" s="1813"/>
      <c r="Y34" s="3221"/>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197" t="s">
        <v>2649</v>
      </c>
      <c r="D4" s="3198"/>
      <c r="E4" s="3199" t="s">
        <v>2650</v>
      </c>
      <c r="F4" s="3200"/>
      <c r="G4" s="3197" t="s">
        <v>2651</v>
      </c>
      <c r="H4" s="3198"/>
      <c r="I4" s="3197" t="s">
        <v>2652</v>
      </c>
      <c r="J4" s="3198"/>
      <c r="K4" s="610" t="s">
        <v>2653</v>
      </c>
      <c r="L4" s="1130"/>
      <c r="M4" s="1131"/>
      <c r="N4" s="1131"/>
      <c r="O4" s="1131"/>
      <c r="P4" s="3201" t="s">
        <v>2654</v>
      </c>
      <c r="Q4" s="3202"/>
      <c r="R4" s="3184" t="s">
        <v>2650</v>
      </c>
      <c r="S4" s="3185"/>
      <c r="T4" s="3184" t="s">
        <v>2651</v>
      </c>
      <c r="U4" s="3185"/>
      <c r="V4" s="3209" t="s">
        <v>2652</v>
      </c>
      <c r="W4" s="3209"/>
      <c r="X4" s="1813"/>
      <c r="Y4" s="3184" t="s">
        <v>2654</v>
      </c>
      <c r="Z4" s="3185"/>
      <c r="AA4" s="3179" t="s">
        <v>2650</v>
      </c>
      <c r="AB4" s="3180" t="s">
        <v>2651</v>
      </c>
      <c r="AC4" s="3179" t="s">
        <v>2652</v>
      </c>
    </row>
    <row r="5" spans="1:29" ht="15">
      <c r="A5" s="404"/>
      <c r="B5" s="405"/>
      <c r="C5" s="3190" t="s">
        <v>2545</v>
      </c>
      <c r="D5" s="3191"/>
      <c r="E5" s="3188" t="s">
        <v>2546</v>
      </c>
      <c r="F5" s="3189"/>
      <c r="G5" s="3190" t="s">
        <v>2547</v>
      </c>
      <c r="H5" s="3191"/>
      <c r="I5" s="3190" t="s">
        <v>2548</v>
      </c>
      <c r="J5" s="3191"/>
      <c r="K5" s="610"/>
      <c r="L5" s="1130"/>
      <c r="M5" s="1131"/>
      <c r="N5" s="1131"/>
      <c r="O5" s="1131"/>
      <c r="P5" s="3203"/>
      <c r="Q5" s="3204"/>
      <c r="R5" s="3186"/>
      <c r="S5" s="3187"/>
      <c r="T5" s="3186"/>
      <c r="U5" s="3187"/>
      <c r="V5" s="3209"/>
      <c r="W5" s="3209"/>
      <c r="X5" s="1813"/>
      <c r="Y5" s="3186"/>
      <c r="Z5" s="3187"/>
      <c r="AA5" s="3180"/>
      <c r="AB5" s="3180"/>
      <c r="AC5" s="3180"/>
    </row>
    <row r="6" spans="1:29" ht="15.75" thickBot="1">
      <c r="A6" s="406"/>
      <c r="B6" s="407"/>
      <c r="C6" s="3245" t="s">
        <v>2800</v>
      </c>
      <c r="D6" s="3246"/>
      <c r="E6" s="3247" t="s">
        <v>2800</v>
      </c>
      <c r="F6" s="3248"/>
      <c r="G6" s="3245" t="s">
        <v>2800</v>
      </c>
      <c r="H6" s="3246"/>
      <c r="I6" s="3245" t="s">
        <v>2800</v>
      </c>
      <c r="J6" s="3246"/>
      <c r="K6" s="610" t="s">
        <v>2550</v>
      </c>
      <c r="L6" s="1130"/>
      <c r="M6" s="1131"/>
      <c r="N6" s="1131"/>
      <c r="O6" s="1131"/>
      <c r="P6" s="3205"/>
      <c r="Q6" s="3206"/>
      <c r="R6" s="3186"/>
      <c r="S6" s="3187"/>
      <c r="T6" s="3207"/>
      <c r="U6" s="3208"/>
      <c r="V6" s="3209"/>
      <c r="W6" s="3209"/>
      <c r="X6" s="1813"/>
      <c r="Y6" s="3207"/>
      <c r="Z6" s="3208"/>
      <c r="AA6" s="3181"/>
      <c r="AB6" s="3181"/>
      <c r="AC6" s="3181"/>
    </row>
    <row r="7" spans="1:29" s="117" customFormat="1" ht="15.75" thickBot="1">
      <c r="A7" s="408" t="s">
        <v>2551</v>
      </c>
      <c r="B7" s="409"/>
      <c r="C7" s="410">
        <f>'数据-取费表'!B2</f>
        <v>43273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82" t="s">
        <v>2552</v>
      </c>
      <c r="Q7" s="3210"/>
      <c r="R7" s="770" t="s">
        <v>17</v>
      </c>
      <c r="S7" s="771">
        <f t="shared" ref="S7:S15" si="0">F7</f>
        <v>0</v>
      </c>
      <c r="T7" s="770" t="s">
        <v>17</v>
      </c>
      <c r="U7" s="771">
        <f t="shared" ref="U7:U15" si="1">H7</f>
        <v>0</v>
      </c>
      <c r="V7" s="770" t="s">
        <v>17</v>
      </c>
      <c r="W7" s="771">
        <f t="shared" ref="W7:W15" si="2">J7</f>
        <v>0</v>
      </c>
      <c r="X7" s="772"/>
      <c r="Y7" s="3182" t="s">
        <v>2552</v>
      </c>
      <c r="Z7" s="318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2555</v>
      </c>
      <c r="Q8" s="3183"/>
      <c r="R8" s="770" t="s">
        <v>17</v>
      </c>
      <c r="S8" s="771">
        <f t="shared" si="0"/>
        <v>0</v>
      </c>
      <c r="T8" s="770" t="s">
        <v>17</v>
      </c>
      <c r="U8" s="771">
        <f t="shared" si="1"/>
        <v>0</v>
      </c>
      <c r="V8" s="770" t="s">
        <v>17</v>
      </c>
      <c r="W8" s="771">
        <f t="shared" si="2"/>
        <v>0</v>
      </c>
      <c r="X8" s="772"/>
      <c r="Y8" s="3182" t="s">
        <v>2555</v>
      </c>
      <c r="Z8" s="3183"/>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14" t="s">
        <v>2558</v>
      </c>
      <c r="Q9" s="1795" t="str">
        <f t="shared" ref="Q9:Q15" si="6">B9</f>
        <v>用途</v>
      </c>
      <c r="R9" s="770" t="s">
        <v>17</v>
      </c>
      <c r="S9" s="771">
        <f t="shared" si="0"/>
        <v>100</v>
      </c>
      <c r="T9" s="770" t="s">
        <v>17</v>
      </c>
      <c r="U9" s="771">
        <f t="shared" si="1"/>
        <v>100</v>
      </c>
      <c r="V9" s="770" t="s">
        <v>17</v>
      </c>
      <c r="W9" s="771">
        <f t="shared" si="2"/>
        <v>100</v>
      </c>
      <c r="X9" s="772"/>
      <c r="Y9" s="302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14"/>
      <c r="Q10" s="1795" t="str">
        <f t="shared" si="6"/>
        <v>土地使用年限（年）</v>
      </c>
      <c r="R10" s="770" t="s">
        <v>17</v>
      </c>
      <c r="S10" s="771">
        <f t="shared" si="0"/>
        <v>106</v>
      </c>
      <c r="T10" s="770" t="s">
        <v>17</v>
      </c>
      <c r="U10" s="771">
        <f t="shared" si="1"/>
        <v>106</v>
      </c>
      <c r="V10" s="770" t="s">
        <v>17</v>
      </c>
      <c r="W10" s="771">
        <f t="shared" si="2"/>
        <v>106</v>
      </c>
      <c r="X10" s="772"/>
      <c r="Y10" s="3029"/>
      <c r="Z10" s="55" t="str">
        <f t="shared" si="7"/>
        <v>土地使用年限（年）</v>
      </c>
      <c r="AA10" s="773">
        <f t="shared" si="3"/>
        <v>0.94339622641509435</v>
      </c>
      <c r="AB10" s="773">
        <f t="shared" si="4"/>
        <v>0.94339622641509435</v>
      </c>
      <c r="AC10" s="773">
        <f t="shared" si="5"/>
        <v>0.94339622641509435</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2563</v>
      </c>
      <c r="Q15" s="1810" t="str">
        <f t="shared" si="6"/>
        <v>产业集聚程度</v>
      </c>
      <c r="R15" s="774" t="s">
        <v>17</v>
      </c>
      <c r="S15" s="775">
        <f t="shared" si="0"/>
        <v>100</v>
      </c>
      <c r="T15" s="774" t="s">
        <v>17</v>
      </c>
      <c r="U15" s="775">
        <f t="shared" si="1"/>
        <v>100</v>
      </c>
      <c r="V15" s="774" t="s">
        <v>17</v>
      </c>
      <c r="W15" s="775">
        <f t="shared" si="2"/>
        <v>100</v>
      </c>
      <c r="X15" s="1813"/>
      <c r="Y15" s="3216" t="s">
        <v>2563</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7"/>
      <c r="Q16" s="1810"/>
      <c r="R16" s="774"/>
      <c r="S16" s="775"/>
      <c r="T16" s="774"/>
      <c r="U16" s="775"/>
      <c r="V16" s="774"/>
      <c r="W16" s="775"/>
      <c r="X16" s="1813"/>
      <c r="Y16" s="3217"/>
      <c r="Z16" s="1814"/>
      <c r="AA16" s="1811">
        <v>1</v>
      </c>
      <c r="AB16" s="1811">
        <v>1</v>
      </c>
      <c r="AC16" s="1811">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10" t="str">
        <f>B17</f>
        <v>交通便捷度</v>
      </c>
      <c r="R17" s="774" t="s">
        <v>17</v>
      </c>
      <c r="S17" s="775">
        <f>F17</f>
        <v>100</v>
      </c>
      <c r="T17" s="774" t="s">
        <v>17</v>
      </c>
      <c r="U17" s="775">
        <f>H17</f>
        <v>100</v>
      </c>
      <c r="V17" s="774" t="s">
        <v>17</v>
      </c>
      <c r="W17" s="775">
        <f>J17</f>
        <v>100</v>
      </c>
      <c r="X17" s="1813"/>
      <c r="Y17" s="3217"/>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7"/>
      <c r="Q18" s="1810"/>
      <c r="R18" s="774"/>
      <c r="S18" s="775"/>
      <c r="T18" s="774"/>
      <c r="U18" s="775"/>
      <c r="V18" s="774"/>
      <c r="W18" s="775"/>
      <c r="X18" s="1813"/>
      <c r="Y18" s="3217"/>
      <c r="Z18" s="1814"/>
      <c r="AA18" s="1811">
        <v>1</v>
      </c>
      <c r="AB18" s="1811">
        <v>1</v>
      </c>
      <c r="AC18" s="1811">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10" t="str">
        <f t="shared" ref="Q19:Q33" si="8">B19</f>
        <v>区域土地利用方向</v>
      </c>
      <c r="R19" s="774" t="s">
        <v>17</v>
      </c>
      <c r="S19" s="775">
        <f>F19</f>
        <v>100</v>
      </c>
      <c r="T19" s="774" t="s">
        <v>17</v>
      </c>
      <c r="U19" s="775">
        <f>H19</f>
        <v>100</v>
      </c>
      <c r="V19" s="774" t="s">
        <v>17</v>
      </c>
      <c r="W19" s="775">
        <f>J19</f>
        <v>100</v>
      </c>
      <c r="X19" s="1813"/>
      <c r="Y19" s="3217"/>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09"/>
      <c r="L20" s="1140"/>
      <c r="M20" s="1131"/>
      <c r="N20" s="1131"/>
      <c r="O20" s="1139"/>
      <c r="P20" s="3217"/>
      <c r="Q20" s="1810"/>
      <c r="R20" s="774"/>
      <c r="S20" s="775"/>
      <c r="T20" s="774"/>
      <c r="U20" s="775"/>
      <c r="V20" s="774"/>
      <c r="W20" s="775"/>
      <c r="X20" s="1813"/>
      <c r="Y20" s="3217"/>
      <c r="Z20" s="1814"/>
      <c r="AA20" s="1811"/>
      <c r="AB20" s="1811"/>
      <c r="AC20" s="1811"/>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10" t="str">
        <f t="shared" si="8"/>
        <v>环境状况</v>
      </c>
      <c r="R21" s="774" t="s">
        <v>17</v>
      </c>
      <c r="S21" s="775">
        <f>F21</f>
        <v>100</v>
      </c>
      <c r="T21" s="774" t="s">
        <v>17</v>
      </c>
      <c r="U21" s="775">
        <f>H21</f>
        <v>100</v>
      </c>
      <c r="V21" s="774" t="s">
        <v>17</v>
      </c>
      <c r="W21" s="775">
        <f>J21</f>
        <v>100</v>
      </c>
      <c r="X21" s="1813"/>
      <c r="Y21" s="3217"/>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7"/>
      <c r="Q22" s="1810"/>
      <c r="R22" s="774"/>
      <c r="S22" s="775"/>
      <c r="T22" s="774"/>
      <c r="U22" s="775"/>
      <c r="V22" s="774"/>
      <c r="W22" s="775"/>
      <c r="X22" s="1813"/>
      <c r="Y22" s="3217"/>
      <c r="Z22" s="1814"/>
      <c r="AA22" s="1811">
        <v>1</v>
      </c>
      <c r="AB22" s="1811">
        <v>1</v>
      </c>
      <c r="AC22" s="1811">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95" t="str">
        <f t="shared" si="8"/>
        <v>公共配套设施</v>
      </c>
      <c r="R23" s="770" t="s">
        <v>17</v>
      </c>
      <c r="S23" s="771">
        <f>F23</f>
        <v>100</v>
      </c>
      <c r="T23" s="770" t="s">
        <v>17</v>
      </c>
      <c r="U23" s="771">
        <f>H23</f>
        <v>100</v>
      </c>
      <c r="V23" s="770" t="s">
        <v>17</v>
      </c>
      <c r="W23" s="771">
        <f>J23</f>
        <v>100</v>
      </c>
      <c r="X23" s="772"/>
      <c r="Y23" s="3217"/>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7"/>
      <c r="Q24" s="1795"/>
      <c r="R24" s="770"/>
      <c r="S24" s="771"/>
      <c r="T24" s="770"/>
      <c r="U24" s="771"/>
      <c r="V24" s="770"/>
      <c r="W24" s="771"/>
      <c r="X24" s="772"/>
      <c r="Y24" s="3217"/>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95"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7"/>
      <c r="Q26" s="1795"/>
      <c r="R26" s="770"/>
      <c r="S26" s="771"/>
      <c r="T26" s="770"/>
      <c r="U26" s="771"/>
      <c r="V26" s="770"/>
      <c r="W26" s="771"/>
      <c r="X26" s="772"/>
      <c r="Y26" s="321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7"/>
      <c r="Z27" s="1814" t="str">
        <f t="shared" ref="Z27:Z40" si="13">Q27</f>
        <v>临街状况</v>
      </c>
      <c r="AA27" s="1811">
        <f t="shared" si="3"/>
        <v>1</v>
      </c>
      <c r="AB27" s="1811">
        <f t="shared" si="4"/>
        <v>1</v>
      </c>
      <c r="AC27" s="1811">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10" t="str">
        <f t="shared" si="8"/>
        <v>毗邻道路的类型与等级</v>
      </c>
      <c r="R28" s="774" t="s">
        <v>17</v>
      </c>
      <c r="S28" s="775">
        <f t="shared" si="10"/>
        <v>100</v>
      </c>
      <c r="T28" s="774" t="s">
        <v>17</v>
      </c>
      <c r="U28" s="775">
        <f t="shared" si="11"/>
        <v>100</v>
      </c>
      <c r="V28" s="774" t="s">
        <v>17</v>
      </c>
      <c r="W28" s="775">
        <f t="shared" si="12"/>
        <v>100</v>
      </c>
      <c r="X28" s="1813"/>
      <c r="Y28" s="3217"/>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7"/>
      <c r="Q29" s="1810"/>
      <c r="R29" s="774"/>
      <c r="S29" s="775"/>
      <c r="T29" s="774"/>
      <c r="U29" s="775"/>
      <c r="V29" s="774"/>
      <c r="W29" s="775"/>
      <c r="X29" s="1813"/>
      <c r="Y29" s="3217"/>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10" t="str">
        <f t="shared" si="8"/>
        <v>土地级别</v>
      </c>
      <c r="R30" s="774" t="s">
        <v>17</v>
      </c>
      <c r="S30" s="775">
        <f t="shared" si="10"/>
        <v>100</v>
      </c>
      <c r="T30" s="774" t="s">
        <v>17</v>
      </c>
      <c r="U30" s="775">
        <f t="shared" si="11"/>
        <v>100</v>
      </c>
      <c r="V30" s="774" t="s">
        <v>17</v>
      </c>
      <c r="W30" s="775">
        <f t="shared" si="12"/>
        <v>100</v>
      </c>
      <c r="X30" s="1813"/>
      <c r="Y30" s="3217"/>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10">
        <f t="shared" si="8"/>
        <v>111</v>
      </c>
      <c r="R31" s="774" t="s">
        <v>17</v>
      </c>
      <c r="S31" s="775">
        <f t="shared" si="10"/>
        <v>100</v>
      </c>
      <c r="T31" s="774" t="s">
        <v>17</v>
      </c>
      <c r="U31" s="775">
        <f t="shared" si="11"/>
        <v>100</v>
      </c>
      <c r="V31" s="774" t="s">
        <v>17</v>
      </c>
      <c r="W31" s="775">
        <f t="shared" si="12"/>
        <v>100</v>
      </c>
      <c r="X31" s="1813"/>
      <c r="Y31" s="3217"/>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2568</v>
      </c>
      <c r="Q32" s="1810">
        <f t="shared" si="8"/>
        <v>111</v>
      </c>
      <c r="R32" s="774" t="s">
        <v>17</v>
      </c>
      <c r="S32" s="775">
        <f t="shared" si="10"/>
        <v>100</v>
      </c>
      <c r="T32" s="774" t="s">
        <v>17</v>
      </c>
      <c r="U32" s="775">
        <f t="shared" si="11"/>
        <v>100</v>
      </c>
      <c r="V32" s="774" t="s">
        <v>17</v>
      </c>
      <c r="W32" s="775">
        <f t="shared" si="12"/>
        <v>100</v>
      </c>
      <c r="X32" s="1813"/>
      <c r="Y32" s="3221" t="s">
        <v>2568</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10">
        <f t="shared" si="8"/>
        <v>111</v>
      </c>
      <c r="R33" s="777" t="s">
        <v>17</v>
      </c>
      <c r="S33" s="778">
        <f t="shared" si="10"/>
        <v>100</v>
      </c>
      <c r="T33" s="777" t="s">
        <v>17</v>
      </c>
      <c r="U33" s="778">
        <f t="shared" si="11"/>
        <v>100</v>
      </c>
      <c r="V33" s="777" t="s">
        <v>17</v>
      </c>
      <c r="W33" s="778">
        <f t="shared" si="12"/>
        <v>100</v>
      </c>
      <c r="X33" s="779"/>
      <c r="Y33" s="3221"/>
      <c r="Z33" s="780">
        <f t="shared" si="13"/>
        <v>111</v>
      </c>
      <c r="AA33" s="1811">
        <f t="shared" si="3"/>
        <v>1</v>
      </c>
      <c r="AB33" s="1811">
        <f t="shared" si="4"/>
        <v>1</v>
      </c>
      <c r="AC33" s="1811">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10" t="str">
        <f>B34</f>
        <v>宗地面积</v>
      </c>
      <c r="R34" s="774" t="s">
        <v>17</v>
      </c>
      <c r="S34" s="775" t="e">
        <f t="shared" si="10"/>
        <v>#N/A</v>
      </c>
      <c r="T34" s="774" t="s">
        <v>17</v>
      </c>
      <c r="U34" s="775" t="e">
        <f t="shared" si="11"/>
        <v>#N/A</v>
      </c>
      <c r="V34" s="774" t="s">
        <v>17</v>
      </c>
      <c r="W34" s="775" t="e">
        <f t="shared" si="12"/>
        <v>#N/A</v>
      </c>
      <c r="X34" s="1813"/>
      <c r="Y34" s="3221"/>
      <c r="Z34" s="1814" t="str">
        <f t="shared" si="13"/>
        <v>宗地面积</v>
      </c>
      <c r="AA34" s="1811" t="e">
        <f t="shared" si="3"/>
        <v>#N/A</v>
      </c>
      <c r="AB34" s="1811" t="e">
        <f t="shared" si="4"/>
        <v>#N/A</v>
      </c>
      <c r="AC34" s="1811"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21"/>
      <c r="Q35" s="1810" t="str">
        <f t="shared" ref="Q35:Q40" si="14">B35</f>
        <v>宗地形状</v>
      </c>
      <c r="R35" s="774" t="s">
        <v>17</v>
      </c>
      <c r="S35" s="775">
        <f t="shared" si="10"/>
        <v>100</v>
      </c>
      <c r="T35" s="774" t="s">
        <v>17</v>
      </c>
      <c r="U35" s="775">
        <f t="shared" si="11"/>
        <v>100</v>
      </c>
      <c r="V35" s="774" t="s">
        <v>17</v>
      </c>
      <c r="W35" s="775">
        <f t="shared" si="12"/>
        <v>100</v>
      </c>
      <c r="X35" s="1813"/>
      <c r="Y35" s="3221"/>
      <c r="Z35" s="1814" t="str">
        <f t="shared" si="13"/>
        <v>宗地形状</v>
      </c>
      <c r="AA35" s="1811">
        <f t="shared" si="3"/>
        <v>1</v>
      </c>
      <c r="AB35" s="1811">
        <f t="shared" si="4"/>
        <v>1</v>
      </c>
      <c r="AC35" s="1811">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21"/>
      <c r="Q36" s="1810"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21" t="s">
        <v>2568</v>
      </c>
      <c r="Q37" s="1810" t="str">
        <f t="shared" si="14"/>
        <v>工程地质条件</v>
      </c>
      <c r="R37" s="774" t="s">
        <v>17</v>
      </c>
      <c r="S37" s="775">
        <f t="shared" si="10"/>
        <v>100</v>
      </c>
      <c r="T37" s="774" t="s">
        <v>17</v>
      </c>
      <c r="U37" s="775">
        <f t="shared" si="11"/>
        <v>100</v>
      </c>
      <c r="V37" s="774" t="s">
        <v>17</v>
      </c>
      <c r="W37" s="775">
        <f t="shared" si="12"/>
        <v>100</v>
      </c>
      <c r="X37" s="1813"/>
      <c r="Y37" s="3221"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10">
        <f t="shared" si="14"/>
        <v>111</v>
      </c>
      <c r="R38" s="774" t="s">
        <v>17</v>
      </c>
      <c r="S38" s="775">
        <f t="shared" si="10"/>
        <v>100</v>
      </c>
      <c r="T38" s="774" t="s">
        <v>17</v>
      </c>
      <c r="U38" s="775">
        <f t="shared" si="11"/>
        <v>100</v>
      </c>
      <c r="V38" s="774" t="s">
        <v>17</v>
      </c>
      <c r="W38" s="775">
        <f t="shared" si="12"/>
        <v>100</v>
      </c>
      <c r="X38" s="1813"/>
      <c r="Y38" s="322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10">
        <f t="shared" si="14"/>
        <v>111</v>
      </c>
      <c r="R39" s="774" t="s">
        <v>17</v>
      </c>
      <c r="S39" s="775">
        <f t="shared" si="10"/>
        <v>100</v>
      </c>
      <c r="T39" s="774" t="s">
        <v>17</v>
      </c>
      <c r="U39" s="775">
        <f t="shared" si="11"/>
        <v>100</v>
      </c>
      <c r="V39" s="774" t="s">
        <v>17</v>
      </c>
      <c r="W39" s="775">
        <f t="shared" si="12"/>
        <v>100</v>
      </c>
      <c r="X39" s="1813"/>
      <c r="Y39" s="3221"/>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10">
        <f t="shared" si="14"/>
        <v>111</v>
      </c>
      <c r="R40" s="777" t="s">
        <v>17</v>
      </c>
      <c r="S40" s="778">
        <f t="shared" si="10"/>
        <v>100</v>
      </c>
      <c r="T40" s="777" t="s">
        <v>17</v>
      </c>
      <c r="U40" s="778">
        <f t="shared" si="11"/>
        <v>100</v>
      </c>
      <c r="V40" s="777" t="s">
        <v>17</v>
      </c>
      <c r="W40" s="778">
        <f t="shared" si="12"/>
        <v>100</v>
      </c>
      <c r="X40" s="779"/>
      <c r="Y40" s="3221"/>
      <c r="Z40" s="780">
        <f t="shared" si="13"/>
        <v>111</v>
      </c>
      <c r="AA40" s="1811">
        <f t="shared" si="3"/>
        <v>1</v>
      </c>
      <c r="AB40" s="1811">
        <f t="shared" si="4"/>
        <v>1</v>
      </c>
      <c r="AC40" s="1811">
        <f t="shared" si="5"/>
        <v>1</v>
      </c>
    </row>
    <row r="41" spans="1:29" ht="15">
      <c r="A41" s="479" t="s">
        <v>2723</v>
      </c>
      <c r="B41" s="2707" t="s">
        <v>2803</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2761</v>
      </c>
      <c r="B50" s="685" t="s">
        <v>2762</v>
      </c>
      <c r="C50" s="2708" t="s">
        <v>2763</v>
      </c>
      <c r="D50" s="2709" t="s">
        <v>2764</v>
      </c>
      <c r="E50" s="686" t="s">
        <v>2765</v>
      </c>
      <c r="F50" s="687" t="s">
        <v>2766</v>
      </c>
      <c r="G50" s="3197" t="s">
        <v>2767</v>
      </c>
      <c r="H50" s="3243"/>
      <c r="I50" s="1814" t="s">
        <v>2804</v>
      </c>
      <c r="J50" s="1814">
        <f>项目基本情况!F35</f>
        <v>0</v>
      </c>
      <c r="K50" s="2711" t="s">
        <v>2769</v>
      </c>
      <c r="L50" s="1106"/>
      <c r="M50" s="1144"/>
      <c r="N50" s="1144"/>
      <c r="O50" s="1144"/>
    </row>
    <row r="51" spans="1:17" s="692" customFormat="1">
      <c r="A51" s="688" t="s">
        <v>2770</v>
      </c>
      <c r="B51" s="689" t="e">
        <f>C43</f>
        <v>#DIV/0!</v>
      </c>
      <c r="C51" s="690">
        <v>1</v>
      </c>
      <c r="D51" s="1163">
        <v>1</v>
      </c>
      <c r="E51" s="690">
        <f>'数据-汇总表'!E8+'数据-汇总表'!E9</f>
        <v>66743.48</v>
      </c>
      <c r="F51" s="691" t="e">
        <f t="shared" ref="F51:F60" si="15">ROUND(B51*E51/10000,0)</f>
        <v>#DIV/0!</v>
      </c>
      <c r="G51" s="3196"/>
      <c r="H51" s="3214"/>
      <c r="I51" s="942">
        <v>1</v>
      </c>
      <c r="J51" s="942">
        <v>1</v>
      </c>
      <c r="K51" s="1145"/>
      <c r="L51" s="941"/>
      <c r="M51" s="941"/>
      <c r="N51" s="941"/>
      <c r="O51" s="941"/>
    </row>
    <row r="52" spans="1:17" s="692" customFormat="1">
      <c r="A52" s="693" t="s">
        <v>2771</v>
      </c>
      <c r="B52" s="262" t="e">
        <f>ROUND($C$43*C52*D52,0)</f>
        <v>#DIV/0!</v>
      </c>
      <c r="C52" s="200">
        <f t="shared" ref="C52:C60" si="16">IF($C$50="北京市系数",I52,J52)</f>
        <v>0.7</v>
      </c>
      <c r="D52" s="1164">
        <v>0.25</v>
      </c>
      <c r="E52" s="694"/>
      <c r="F52" s="691" t="e">
        <f t="shared" si="15"/>
        <v>#DIV/0!</v>
      </c>
      <c r="G52" s="3244" t="s">
        <v>2772</v>
      </c>
      <c r="H52" s="1104" t="str">
        <f>项目基本情况!B37</f>
        <v>六级</v>
      </c>
      <c r="I52" s="942">
        <f>SUMIF(修正!A45:A56,H52,修正!B45:B56)</f>
        <v>0.7</v>
      </c>
      <c r="J52" s="943"/>
      <c r="K52" s="1144"/>
      <c r="L52" s="941"/>
      <c r="M52" s="941"/>
      <c r="N52" s="941"/>
      <c r="O52" s="941"/>
    </row>
    <row r="53" spans="1:17" s="692" customFormat="1">
      <c r="A53" s="693" t="s">
        <v>2773</v>
      </c>
      <c r="B53" s="262" t="e">
        <f t="shared" ref="B53:B60" si="17">ROUND($C$43*C53*D53,0)</f>
        <v>#DIV/0!</v>
      </c>
      <c r="C53" s="200">
        <f t="shared" si="16"/>
        <v>0.4</v>
      </c>
      <c r="D53" s="1164">
        <v>0.25</v>
      </c>
      <c r="E53" s="694"/>
      <c r="F53" s="691" t="e">
        <f t="shared" si="15"/>
        <v>#DIV/0!</v>
      </c>
      <c r="G53" s="3244"/>
      <c r="H53" s="1104" t="str">
        <f>项目基本情况!B37</f>
        <v>六级</v>
      </c>
      <c r="I53" s="942">
        <f>SUMIF(修正!A45:A56,H53,修正!C45:C56)</f>
        <v>0.4</v>
      </c>
      <c r="J53" s="943"/>
      <c r="K53" s="1145"/>
      <c r="L53" s="941"/>
      <c r="M53" s="941"/>
      <c r="N53" s="941"/>
      <c r="O53" s="941"/>
    </row>
    <row r="54" spans="1:17" s="692" customFormat="1">
      <c r="A54" s="693" t="s">
        <v>2774</v>
      </c>
      <c r="B54" s="262" t="e">
        <f t="shared" si="17"/>
        <v>#DIV/0!</v>
      </c>
      <c r="C54" s="200">
        <f t="shared" si="16"/>
        <v>0.28000000000000003</v>
      </c>
      <c r="D54" s="1164">
        <v>0.25</v>
      </c>
      <c r="E54" s="694"/>
      <c r="F54" s="691" t="e">
        <f t="shared" si="15"/>
        <v>#DIV/0!</v>
      </c>
      <c r="G54" s="3244"/>
      <c r="H54" s="1104" t="str">
        <f>项目基本情况!B37</f>
        <v>六级</v>
      </c>
      <c r="I54" s="942">
        <f>SUMIF(修正!A45:A56,H54,修正!D45:D56)</f>
        <v>0.28000000000000003</v>
      </c>
      <c r="J54" s="943"/>
      <c r="K54" s="1144"/>
      <c r="L54" s="941"/>
      <c r="M54" s="941"/>
      <c r="N54" s="941"/>
      <c r="O54" s="941"/>
    </row>
    <row r="55" spans="1:17" s="692" customFormat="1">
      <c r="A55" s="693" t="s">
        <v>2775</v>
      </c>
      <c r="B55" s="262" t="e">
        <f t="shared" si="17"/>
        <v>#DIV/0!</v>
      </c>
      <c r="C55" s="200">
        <f t="shared" si="16"/>
        <v>0.25</v>
      </c>
      <c r="D55" s="1164">
        <v>0.25</v>
      </c>
      <c r="E55" s="694"/>
      <c r="F55" s="691" t="e">
        <f t="shared" si="15"/>
        <v>#DIV/0!</v>
      </c>
      <c r="G55" s="3244"/>
      <c r="H55" s="1104" t="str">
        <f>项目基本情况!B37</f>
        <v>六级</v>
      </c>
      <c r="I55" s="942">
        <f>SUMIF(修正!A45:A56,H55,修正!E45:E56)</f>
        <v>0.25</v>
      </c>
      <c r="J55" s="943"/>
      <c r="K55" s="1145"/>
      <c r="L55" s="941"/>
      <c r="M55" s="941"/>
      <c r="N55" s="941"/>
      <c r="O55" s="941"/>
    </row>
    <row r="56" spans="1:17" s="692" customFormat="1">
      <c r="A56" s="693" t="s">
        <v>2776</v>
      </c>
      <c r="B56" s="262" t="e">
        <f t="shared" si="17"/>
        <v>#DIV/0!</v>
      </c>
      <c r="C56" s="200">
        <f t="shared" si="16"/>
        <v>0.25</v>
      </c>
      <c r="D56" s="1164">
        <v>0.25</v>
      </c>
      <c r="E56" s="261">
        <f>'数据-汇总表'!E11</f>
        <v>0</v>
      </c>
      <c r="F56" s="691" t="e">
        <f t="shared" si="15"/>
        <v>#DIV/0!</v>
      </c>
      <c r="G56" s="2712" t="s">
        <v>2777</v>
      </c>
      <c r="H56" s="1104" t="str">
        <f>项目基本情况!C37</f>
        <v>六级</v>
      </c>
      <c r="I56" s="942">
        <f>SUMIF(修正!A45:A56,H56,修正!F45:F56)</f>
        <v>0.25</v>
      </c>
      <c r="J56" s="943"/>
      <c r="K56" s="1144"/>
      <c r="L56" s="941"/>
      <c r="M56" s="941"/>
      <c r="N56" s="941"/>
      <c r="O56" s="941"/>
    </row>
    <row r="57" spans="1:17" s="692" customFormat="1">
      <c r="A57" s="693" t="s">
        <v>2778</v>
      </c>
      <c r="B57" s="262" t="e">
        <f t="shared" si="17"/>
        <v>#DIV/0!</v>
      </c>
      <c r="C57" s="200">
        <f t="shared" si="16"/>
        <v>0.25</v>
      </c>
      <c r="D57" s="1164">
        <v>0.25</v>
      </c>
      <c r="E57" s="261">
        <f>'数据-汇总表'!E12</f>
        <v>2396.8900000000003</v>
      </c>
      <c r="F57" s="691"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2780</v>
      </c>
      <c r="B58" s="262" t="e">
        <f t="shared" si="17"/>
        <v>#DIV/0!</v>
      </c>
      <c r="C58" s="200">
        <f t="shared" si="16"/>
        <v>0</v>
      </c>
      <c r="D58" s="1164">
        <v>0.25</v>
      </c>
      <c r="E58" s="261">
        <f>'数据-汇总表'!E13</f>
        <v>0</v>
      </c>
      <c r="F58" s="691"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2782</v>
      </c>
      <c r="B59" s="262" t="e">
        <f t="shared" si="17"/>
        <v>#DIV/0!</v>
      </c>
      <c r="C59" s="200">
        <f t="shared" si="16"/>
        <v>0.2</v>
      </c>
      <c r="D59" s="1164">
        <v>0.25</v>
      </c>
      <c r="E59" s="261">
        <f>'数据-汇总表'!E14</f>
        <v>0</v>
      </c>
      <c r="F59" s="691" t="e">
        <f t="shared" si="15"/>
        <v>#DIV/0!</v>
      </c>
      <c r="G59" s="2712" t="s">
        <v>2772</v>
      </c>
      <c r="H59" s="1104" t="str">
        <f>项目基本情况!B37</f>
        <v>六级</v>
      </c>
      <c r="I59" s="942">
        <f>SUMIF(修正!A45:A56,H59,修正!H45:H56)</f>
        <v>0.2</v>
      </c>
      <c r="J59" s="943"/>
      <c r="K59" s="1145"/>
      <c r="L59" s="941"/>
      <c r="M59" s="941"/>
      <c r="N59" s="941"/>
      <c r="O59" s="941"/>
    </row>
    <row r="60" spans="1:17" s="692" customFormat="1" ht="15" thickBot="1">
      <c r="A60" s="693" t="s">
        <v>2783</v>
      </c>
      <c r="B60" s="262" t="e">
        <f t="shared" si="17"/>
        <v>#DIV/0!</v>
      </c>
      <c r="C60" s="200">
        <f t="shared" si="16"/>
        <v>0.2</v>
      </c>
      <c r="D60" s="1164">
        <v>0.25</v>
      </c>
      <c r="E60" s="261">
        <f>'数据-汇总表'!E15</f>
        <v>0</v>
      </c>
      <c r="F60" s="691" t="e">
        <f t="shared" si="15"/>
        <v>#DIV/0!</v>
      </c>
      <c r="G60" s="2713" t="s">
        <v>2777</v>
      </c>
      <c r="H60" s="1114" t="str">
        <f>项目基本情况!C37</f>
        <v>六级</v>
      </c>
      <c r="I60" s="942">
        <f>SUMIF(修正!A45:A56,H60,修正!H45:H56)</f>
        <v>0.2</v>
      </c>
      <c r="J60" s="943"/>
      <c r="K60" s="1144"/>
      <c r="L60" s="941"/>
      <c r="M60" s="941"/>
      <c r="N60" s="941"/>
      <c r="O60" s="941"/>
    </row>
    <row r="61" spans="1:17" s="692" customFormat="1" ht="15" thickBot="1">
      <c r="A61" s="695" t="s">
        <v>2784</v>
      </c>
      <c r="B61" s="696" t="s">
        <v>28</v>
      </c>
      <c r="C61" s="696" t="s">
        <v>29</v>
      </c>
      <c r="D61" s="696" t="s">
        <v>1029</v>
      </c>
      <c r="E61" s="696">
        <f>IF(B41="楼面地价",SUM(E51:E60),'数据-汇总表'!D3)</f>
        <v>14769.13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4" t="s">
        <v>2785</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9" t="s">
        <v>2805</v>
      </c>
      <c r="B66" s="332" t="str">
        <f>"北京市平均增长率"&amp;TEXT(基准地价修正办公!P24,"0.00%")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9" t="s">
        <v>183</v>
      </c>
      <c r="B18" s="879" t="s">
        <v>560</v>
      </c>
      <c r="C18" s="880" t="s">
        <v>561</v>
      </c>
      <c r="D18" s="881"/>
      <c r="E18" s="879">
        <v>1</v>
      </c>
      <c r="F18" s="882" t="s">
        <v>562</v>
      </c>
      <c r="G18" s="883"/>
      <c r="H18" s="875"/>
      <c r="I18" s="875"/>
    </row>
    <row r="19" spans="1:9" s="884" customFormat="1" ht="19.5" customHeight="1">
      <c r="A19" s="3269"/>
      <c r="B19" s="3269" t="s">
        <v>563</v>
      </c>
      <c r="C19" s="880" t="s">
        <v>564</v>
      </c>
      <c r="D19" s="881"/>
      <c r="E19" s="879">
        <v>0.9</v>
      </c>
      <c r="F19" s="882" t="s">
        <v>565</v>
      </c>
      <c r="G19" s="883"/>
      <c r="H19" s="875"/>
      <c r="I19" s="875"/>
    </row>
    <row r="20" spans="1:9" s="884" customFormat="1" ht="19.5" customHeight="1">
      <c r="A20" s="3269"/>
      <c r="B20" s="3269"/>
      <c r="C20" s="880" t="s">
        <v>566</v>
      </c>
      <c r="D20" s="881"/>
      <c r="E20" s="879">
        <v>1.1000000000000001</v>
      </c>
      <c r="F20" s="882" t="s">
        <v>567</v>
      </c>
      <c r="G20" s="883"/>
      <c r="H20" s="875"/>
      <c r="I20" s="875"/>
    </row>
    <row r="21" spans="1:9" s="884" customFormat="1" ht="19.5" customHeight="1">
      <c r="A21" s="3269"/>
      <c r="B21" s="3269"/>
      <c r="C21" s="880" t="s">
        <v>568</v>
      </c>
      <c r="D21" s="881"/>
      <c r="E21" s="879">
        <v>0.8</v>
      </c>
      <c r="F21" s="882" t="s">
        <v>569</v>
      </c>
      <c r="G21" s="883"/>
      <c r="H21" s="875"/>
      <c r="I21" s="875"/>
    </row>
    <row r="22" spans="1:9" s="884" customFormat="1" ht="19.5" customHeight="1">
      <c r="A22" s="3269"/>
      <c r="B22" s="3269"/>
      <c r="C22" s="880" t="s">
        <v>570</v>
      </c>
      <c r="D22" s="881"/>
      <c r="E22" s="879">
        <v>0.5</v>
      </c>
      <c r="F22" s="882"/>
      <c r="G22" s="883"/>
      <c r="H22" s="875"/>
      <c r="I22" s="875"/>
    </row>
    <row r="23" spans="1:9" s="884" customFormat="1" ht="19.5" customHeight="1">
      <c r="A23" s="3269" t="s">
        <v>184</v>
      </c>
      <c r="B23" s="879" t="s">
        <v>560</v>
      </c>
      <c r="C23" s="880" t="s">
        <v>571</v>
      </c>
      <c r="D23" s="881"/>
      <c r="E23" s="879">
        <v>1</v>
      </c>
      <c r="F23" s="882" t="s">
        <v>572</v>
      </c>
      <c r="G23" s="883"/>
      <c r="H23" s="875"/>
      <c r="I23" s="875"/>
    </row>
    <row r="24" spans="1:9" s="884" customFormat="1" ht="19.5" customHeight="1">
      <c r="A24" s="3269"/>
      <c r="B24" s="3269" t="s">
        <v>563</v>
      </c>
      <c r="C24" s="880" t="s">
        <v>573</v>
      </c>
      <c r="D24" s="881"/>
      <c r="E24" s="879">
        <v>0.5</v>
      </c>
      <c r="F24" s="882"/>
      <c r="G24" s="883"/>
      <c r="H24" s="875"/>
      <c r="I24" s="875"/>
    </row>
    <row r="25" spans="1:9" s="884" customFormat="1" ht="19.5" customHeight="1">
      <c r="A25" s="3269"/>
      <c r="B25" s="3269"/>
      <c r="C25" s="880" t="s">
        <v>574</v>
      </c>
      <c r="D25" s="881"/>
      <c r="E25" s="879">
        <v>1.1000000000000001</v>
      </c>
      <c r="F25" s="882"/>
      <c r="G25" s="883"/>
      <c r="H25" s="875"/>
      <c r="I25" s="875"/>
    </row>
    <row r="26" spans="1:9" s="884" customFormat="1" ht="19.5" customHeight="1">
      <c r="A26" s="3269"/>
      <c r="B26" s="3269"/>
      <c r="C26" s="880" t="s">
        <v>575</v>
      </c>
      <c r="D26" s="881"/>
      <c r="E26" s="879">
        <v>1.1000000000000001</v>
      </c>
      <c r="F26" s="882"/>
      <c r="G26" s="883"/>
      <c r="H26" s="875"/>
      <c r="I26" s="875"/>
    </row>
    <row r="27" spans="1:9" s="884" customFormat="1" ht="19.5" customHeight="1">
      <c r="A27" s="3269"/>
      <c r="B27" s="3269"/>
      <c r="C27" s="880" t="s">
        <v>576</v>
      </c>
      <c r="D27" s="881"/>
      <c r="E27" s="879">
        <v>0.9</v>
      </c>
      <c r="F27" s="882" t="s">
        <v>577</v>
      </c>
      <c r="G27" s="883"/>
      <c r="H27" s="875"/>
      <c r="I27" s="875"/>
    </row>
    <row r="28" spans="1:9" s="884" customFormat="1" ht="19.5" customHeight="1">
      <c r="A28" s="3269"/>
      <c r="B28" s="3269"/>
      <c r="C28" s="880" t="s">
        <v>578</v>
      </c>
      <c r="D28" s="881"/>
      <c r="E28" s="879">
        <v>0.9</v>
      </c>
      <c r="F28" s="882" t="s">
        <v>579</v>
      </c>
      <c r="G28" s="883"/>
      <c r="H28" s="875"/>
      <c r="I28" s="875"/>
    </row>
    <row r="29" spans="1:9" s="884" customFormat="1" ht="19.5" customHeight="1">
      <c r="A29" s="3269"/>
      <c r="B29" s="3269"/>
      <c r="C29" s="880" t="s">
        <v>580</v>
      </c>
      <c r="D29" s="881"/>
      <c r="E29" s="879">
        <v>0.9</v>
      </c>
      <c r="F29" s="882" t="s">
        <v>581</v>
      </c>
      <c r="G29" s="883"/>
      <c r="H29" s="875"/>
      <c r="I29" s="875"/>
    </row>
    <row r="30" spans="1:9" s="884" customFormat="1" ht="19.5" customHeight="1">
      <c r="A30" s="3269"/>
      <c r="B30" s="3269"/>
      <c r="C30" s="880" t="s">
        <v>582</v>
      </c>
      <c r="D30" s="881"/>
      <c r="E30" s="879">
        <v>0.9</v>
      </c>
      <c r="F30" s="882" t="s">
        <v>583</v>
      </c>
      <c r="G30" s="883"/>
      <c r="H30" s="875"/>
      <c r="I30" s="875"/>
    </row>
    <row r="31" spans="1:9" s="884" customFormat="1" ht="19.5" customHeight="1">
      <c r="A31" s="3269"/>
      <c r="B31" s="3269"/>
      <c r="C31" s="880" t="s">
        <v>584</v>
      </c>
      <c r="D31" s="881"/>
      <c r="E31" s="879">
        <v>0.8</v>
      </c>
      <c r="F31" s="882" t="s">
        <v>585</v>
      </c>
      <c r="G31" s="883"/>
      <c r="H31" s="875"/>
      <c r="I31" s="875"/>
    </row>
    <row r="32" spans="1:9" s="884" customFormat="1" ht="19.5" customHeight="1">
      <c r="A32" s="3269"/>
      <c r="B32" s="3269"/>
      <c r="C32" s="880" t="s">
        <v>586</v>
      </c>
      <c r="D32" s="881"/>
      <c r="E32" s="879">
        <v>0.8</v>
      </c>
      <c r="F32" s="882" t="s">
        <v>587</v>
      </c>
      <c r="G32" s="883"/>
      <c r="H32" s="875"/>
      <c r="I32" s="875"/>
    </row>
    <row r="33" spans="1:9" s="884" customFormat="1" ht="19.5" customHeight="1">
      <c r="A33" s="3269" t="s">
        <v>185</v>
      </c>
      <c r="B33" s="879" t="s">
        <v>560</v>
      </c>
      <c r="C33" s="880" t="s">
        <v>588</v>
      </c>
      <c r="D33" s="881"/>
      <c r="E33" s="879">
        <v>1</v>
      </c>
      <c r="F33" s="882" t="s">
        <v>589</v>
      </c>
      <c r="G33" s="883"/>
      <c r="H33" s="875"/>
      <c r="I33" s="875"/>
    </row>
    <row r="34" spans="1:9" s="884" customFormat="1" ht="19.5" customHeight="1">
      <c r="A34" s="3269"/>
      <c r="B34" s="879" t="s">
        <v>563</v>
      </c>
      <c r="C34" s="880" t="s">
        <v>590</v>
      </c>
      <c r="D34" s="881"/>
      <c r="E34" s="879">
        <v>1.5</v>
      </c>
      <c r="F34" s="882" t="s">
        <v>591</v>
      </c>
      <c r="G34" s="883"/>
      <c r="H34" s="875"/>
      <c r="I34" s="875"/>
    </row>
    <row r="35" spans="1:9" s="884" customFormat="1" ht="19.5" customHeight="1">
      <c r="A35" s="3269" t="s">
        <v>186</v>
      </c>
      <c r="B35" s="879" t="s">
        <v>560</v>
      </c>
      <c r="C35" s="880" t="s">
        <v>592</v>
      </c>
      <c r="D35" s="881"/>
      <c r="E35" s="879">
        <v>1</v>
      </c>
      <c r="F35" s="882" t="s">
        <v>593</v>
      </c>
      <c r="G35" s="883"/>
      <c r="H35" s="875"/>
      <c r="I35" s="875"/>
    </row>
    <row r="36" spans="1:9" s="884" customFormat="1" ht="19.5" customHeight="1">
      <c r="A36" s="3269"/>
      <c r="B36" s="3269" t="s">
        <v>563</v>
      </c>
      <c r="C36" s="880" t="s">
        <v>594</v>
      </c>
      <c r="D36" s="881"/>
      <c r="E36" s="879">
        <v>1</v>
      </c>
      <c r="F36" s="882" t="s">
        <v>595</v>
      </c>
      <c r="G36" s="883"/>
      <c r="H36" s="875"/>
      <c r="I36" s="875"/>
    </row>
    <row r="37" spans="1:9" s="884" customFormat="1" ht="19.5" customHeight="1">
      <c r="A37" s="3269"/>
      <c r="B37" s="3269"/>
      <c r="C37" s="880" t="s">
        <v>596</v>
      </c>
      <c r="D37" s="881"/>
      <c r="E37" s="879">
        <v>1.5</v>
      </c>
      <c r="F37" s="882" t="s">
        <v>597</v>
      </c>
      <c r="G37" s="883"/>
      <c r="H37" s="875"/>
      <c r="I37" s="875"/>
    </row>
    <row r="38" spans="1:9" s="884" customFormat="1" ht="19.5" customHeight="1">
      <c r="A38" s="3269"/>
      <c r="B38" s="3269"/>
      <c r="C38" s="880" t="s">
        <v>598</v>
      </c>
      <c r="D38" s="881"/>
      <c r="E38" s="879">
        <v>1</v>
      </c>
      <c r="F38" s="882" t="s">
        <v>599</v>
      </c>
      <c r="G38" s="883"/>
      <c r="H38" s="875"/>
      <c r="I38" s="875"/>
    </row>
    <row r="39" spans="1:9" s="884" customFormat="1" ht="19.5" customHeight="1">
      <c r="A39" s="3269"/>
      <c r="B39" s="326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9" t="s">
        <v>614</v>
      </c>
      <c r="C61" s="815" t="s">
        <v>615</v>
      </c>
      <c r="D61" s="815" t="s">
        <v>616</v>
      </c>
      <c r="E61" s="892">
        <v>0.5</v>
      </c>
      <c r="F61" s="879">
        <v>80</v>
      </c>
    </row>
    <row r="62" spans="1:8" s="875" customFormat="1" ht="24">
      <c r="A62" s="879">
        <v>2</v>
      </c>
      <c r="B62" s="3269"/>
      <c r="C62" s="815" t="s">
        <v>617</v>
      </c>
      <c r="D62" s="815" t="s">
        <v>618</v>
      </c>
      <c r="E62" s="892">
        <v>0.5</v>
      </c>
      <c r="F62" s="879">
        <v>80</v>
      </c>
    </row>
    <row r="63" spans="1:8" s="875" customFormat="1" ht="36">
      <c r="A63" s="879">
        <v>3</v>
      </c>
      <c r="B63" s="3269"/>
      <c r="C63" s="815" t="s">
        <v>619</v>
      </c>
      <c r="D63" s="815" t="s">
        <v>620</v>
      </c>
      <c r="E63" s="892">
        <v>0.5</v>
      </c>
      <c r="F63" s="879">
        <v>80</v>
      </c>
    </row>
    <row r="64" spans="1:8" s="875" customFormat="1" ht="36">
      <c r="A64" s="879">
        <v>4</v>
      </c>
      <c r="B64" s="3269"/>
      <c r="C64" s="815" t="s">
        <v>621</v>
      </c>
      <c r="D64" s="815" t="s">
        <v>622</v>
      </c>
      <c r="E64" s="892">
        <v>0.4</v>
      </c>
      <c r="F64" s="879">
        <v>60</v>
      </c>
    </row>
    <row r="65" spans="1:6" s="875" customFormat="1" ht="36">
      <c r="A65" s="879">
        <v>5</v>
      </c>
      <c r="B65" s="3269"/>
      <c r="C65" s="815" t="s">
        <v>623</v>
      </c>
      <c r="D65" s="815" t="s">
        <v>624</v>
      </c>
      <c r="E65" s="892">
        <v>0.2</v>
      </c>
      <c r="F65" s="879">
        <v>30</v>
      </c>
    </row>
    <row r="66" spans="1:6" s="875" customFormat="1" ht="36">
      <c r="A66" s="879">
        <v>6</v>
      </c>
      <c r="B66" s="3269"/>
      <c r="C66" s="815" t="s">
        <v>625</v>
      </c>
      <c r="D66" s="815" t="s">
        <v>626</v>
      </c>
      <c r="E66" s="892">
        <v>0.3</v>
      </c>
      <c r="F66" s="879">
        <v>50</v>
      </c>
    </row>
    <row r="67" spans="1:6" s="875" customFormat="1" ht="36">
      <c r="A67" s="879">
        <v>7</v>
      </c>
      <c r="B67" s="3269"/>
      <c r="C67" s="815" t="s">
        <v>627</v>
      </c>
      <c r="D67" s="815" t="s">
        <v>628</v>
      </c>
      <c r="E67" s="892">
        <v>0.2</v>
      </c>
      <c r="F67" s="879">
        <v>30</v>
      </c>
    </row>
    <row r="68" spans="1:6" s="875" customFormat="1" ht="36">
      <c r="A68" s="879">
        <v>8</v>
      </c>
      <c r="B68" s="3269"/>
      <c r="C68" s="815" t="s">
        <v>629</v>
      </c>
      <c r="D68" s="815" t="s">
        <v>630</v>
      </c>
      <c r="E68" s="892">
        <v>0.2</v>
      </c>
      <c r="F68" s="879">
        <v>30</v>
      </c>
    </row>
    <row r="69" spans="1:6" s="875" customFormat="1" ht="36">
      <c r="A69" s="879">
        <v>9</v>
      </c>
      <c r="B69" s="3269"/>
      <c r="C69" s="815" t="s">
        <v>631</v>
      </c>
      <c r="D69" s="815" t="s">
        <v>632</v>
      </c>
      <c r="E69" s="892">
        <v>0.2</v>
      </c>
      <c r="F69" s="879">
        <v>30</v>
      </c>
    </row>
    <row r="70" spans="1:6" s="875" customFormat="1" ht="48">
      <c r="A70" s="879">
        <v>10</v>
      </c>
      <c r="B70" s="3269"/>
      <c r="C70" s="815" t="s">
        <v>633</v>
      </c>
      <c r="D70" s="815" t="s">
        <v>634</v>
      </c>
      <c r="E70" s="892">
        <v>0.2</v>
      </c>
      <c r="F70" s="879">
        <v>30</v>
      </c>
    </row>
    <row r="71" spans="1:6" s="875" customFormat="1" ht="48">
      <c r="A71" s="879">
        <v>11</v>
      </c>
      <c r="B71" s="3269"/>
      <c r="C71" s="815" t="s">
        <v>635</v>
      </c>
      <c r="D71" s="815" t="s">
        <v>636</v>
      </c>
      <c r="E71" s="892">
        <v>0.2</v>
      </c>
      <c r="F71" s="879">
        <v>30</v>
      </c>
    </row>
    <row r="72" spans="1:6" s="875" customFormat="1" ht="36">
      <c r="A72" s="879">
        <v>12</v>
      </c>
      <c r="B72" s="3269"/>
      <c r="C72" s="815" t="s">
        <v>637</v>
      </c>
      <c r="D72" s="815" t="s">
        <v>638</v>
      </c>
      <c r="E72" s="892">
        <v>0.5</v>
      </c>
      <c r="F72" s="879">
        <v>80</v>
      </c>
    </row>
    <row r="73" spans="1:6" s="875" customFormat="1" ht="24">
      <c r="A73" s="879">
        <v>13</v>
      </c>
      <c r="B73" s="3269"/>
      <c r="C73" s="815" t="s">
        <v>639</v>
      </c>
      <c r="D73" s="815" t="s">
        <v>640</v>
      </c>
      <c r="E73" s="892">
        <v>0.4</v>
      </c>
      <c r="F73" s="879">
        <v>60</v>
      </c>
    </row>
    <row r="74" spans="1:6" s="875" customFormat="1" ht="24">
      <c r="A74" s="879">
        <v>14</v>
      </c>
      <c r="B74" s="3269"/>
      <c r="C74" s="815" t="s">
        <v>641</v>
      </c>
      <c r="D74" s="815" t="s">
        <v>642</v>
      </c>
      <c r="E74" s="892">
        <v>0.2</v>
      </c>
      <c r="F74" s="879">
        <v>30</v>
      </c>
    </row>
    <row r="75" spans="1:6" s="875" customFormat="1" ht="24">
      <c r="A75" s="879">
        <v>15</v>
      </c>
      <c r="B75" s="3269"/>
      <c r="C75" s="815" t="s">
        <v>643</v>
      </c>
      <c r="D75" s="815" t="s">
        <v>644</v>
      </c>
      <c r="E75" s="892">
        <v>0.2</v>
      </c>
      <c r="F75" s="879">
        <v>30</v>
      </c>
    </row>
    <row r="76" spans="1:6" s="875" customFormat="1" ht="24">
      <c r="A76" s="879">
        <v>16</v>
      </c>
      <c r="B76" s="3269" t="s">
        <v>645</v>
      </c>
      <c r="C76" s="815" t="s">
        <v>646</v>
      </c>
      <c r="D76" s="815" t="s">
        <v>647</v>
      </c>
      <c r="E76" s="892">
        <v>0.5</v>
      </c>
      <c r="F76" s="879">
        <v>80</v>
      </c>
    </row>
    <row r="77" spans="1:6" s="875" customFormat="1" ht="24">
      <c r="A77" s="879">
        <v>17</v>
      </c>
      <c r="B77" s="3269"/>
      <c r="C77" s="815" t="s">
        <v>648</v>
      </c>
      <c r="D77" s="815" t="s">
        <v>649</v>
      </c>
      <c r="E77" s="892">
        <v>0.5</v>
      </c>
      <c r="F77" s="879">
        <v>80</v>
      </c>
    </row>
    <row r="78" spans="1:6" s="875" customFormat="1" ht="24">
      <c r="A78" s="879">
        <v>18</v>
      </c>
      <c r="B78" s="3269"/>
      <c r="C78" s="815" t="s">
        <v>650</v>
      </c>
      <c r="D78" s="815" t="s">
        <v>651</v>
      </c>
      <c r="E78" s="892">
        <v>0.2</v>
      </c>
      <c r="F78" s="879">
        <v>30</v>
      </c>
    </row>
    <row r="79" spans="1:6" s="875" customFormat="1" ht="24">
      <c r="A79" s="879">
        <v>19</v>
      </c>
      <c r="B79" s="3269"/>
      <c r="C79" s="815" t="s">
        <v>652</v>
      </c>
      <c r="D79" s="815" t="s">
        <v>653</v>
      </c>
      <c r="E79" s="892">
        <v>0.5</v>
      </c>
      <c r="F79" s="879">
        <v>80</v>
      </c>
    </row>
    <row r="80" spans="1:6" s="875" customFormat="1" ht="36">
      <c r="A80" s="879">
        <v>20</v>
      </c>
      <c r="B80" s="3269"/>
      <c r="C80" s="815" t="s">
        <v>654</v>
      </c>
      <c r="D80" s="815" t="s">
        <v>655</v>
      </c>
      <c r="E80" s="892">
        <v>0.2</v>
      </c>
      <c r="F80" s="879">
        <v>30</v>
      </c>
    </row>
    <row r="81" spans="1:6" s="875" customFormat="1" ht="36">
      <c r="A81" s="879">
        <v>21</v>
      </c>
      <c r="B81" s="3269"/>
      <c r="C81" s="815" t="s">
        <v>656</v>
      </c>
      <c r="D81" s="815" t="s">
        <v>657</v>
      </c>
      <c r="E81" s="892">
        <v>0.2</v>
      </c>
      <c r="F81" s="879">
        <v>30</v>
      </c>
    </row>
    <row r="82" spans="1:6" s="875" customFormat="1" ht="48">
      <c r="A82" s="879">
        <v>22</v>
      </c>
      <c r="B82" s="3269"/>
      <c r="C82" s="815" t="s">
        <v>658</v>
      </c>
      <c r="D82" s="815" t="s">
        <v>659</v>
      </c>
      <c r="E82" s="892">
        <v>0.2</v>
      </c>
      <c r="F82" s="879">
        <v>30</v>
      </c>
    </row>
    <row r="83" spans="1:6" s="875" customFormat="1" ht="48">
      <c r="A83" s="879">
        <v>23</v>
      </c>
      <c r="B83" s="3269"/>
      <c r="C83" s="815" t="s">
        <v>660</v>
      </c>
      <c r="D83" s="815" t="s">
        <v>661</v>
      </c>
      <c r="E83" s="892">
        <v>0.2</v>
      </c>
      <c r="F83" s="879">
        <v>30</v>
      </c>
    </row>
    <row r="84" spans="1:6" s="875" customFormat="1" ht="36">
      <c r="A84" s="879">
        <v>24</v>
      </c>
      <c r="B84" s="3269"/>
      <c r="C84" s="815" t="s">
        <v>662</v>
      </c>
      <c r="D84" s="815" t="s">
        <v>663</v>
      </c>
      <c r="E84" s="892">
        <v>0.2</v>
      </c>
      <c r="F84" s="879">
        <v>30</v>
      </c>
    </row>
    <row r="85" spans="1:6" s="875" customFormat="1" ht="36">
      <c r="A85" s="879">
        <v>25</v>
      </c>
      <c r="B85" s="3269"/>
      <c r="C85" s="815" t="s">
        <v>664</v>
      </c>
      <c r="D85" s="815" t="s">
        <v>665</v>
      </c>
      <c r="E85" s="892">
        <v>0.5</v>
      </c>
      <c r="F85" s="879">
        <v>80</v>
      </c>
    </row>
    <row r="86" spans="1:6" s="875" customFormat="1" ht="36">
      <c r="A86" s="879">
        <v>26</v>
      </c>
      <c r="B86" s="3269"/>
      <c r="C86" s="815" t="s">
        <v>666</v>
      </c>
      <c r="D86" s="815" t="s">
        <v>667</v>
      </c>
      <c r="E86" s="892">
        <v>0.2</v>
      </c>
      <c r="F86" s="879">
        <v>30</v>
      </c>
    </row>
    <row r="87" spans="1:6" s="875" customFormat="1" ht="36">
      <c r="A87" s="879">
        <v>27</v>
      </c>
      <c r="B87" s="3269"/>
      <c r="C87" s="815" t="s">
        <v>668</v>
      </c>
      <c r="D87" s="815" t="s">
        <v>669</v>
      </c>
      <c r="E87" s="892">
        <v>0.2</v>
      </c>
      <c r="F87" s="879">
        <v>30</v>
      </c>
    </row>
    <row r="88" spans="1:6" s="875" customFormat="1" ht="36">
      <c r="A88" s="879">
        <v>28</v>
      </c>
      <c r="B88" s="3269"/>
      <c r="C88" s="815" t="s">
        <v>670</v>
      </c>
      <c r="D88" s="815" t="s">
        <v>671</v>
      </c>
      <c r="E88" s="892">
        <v>0.2</v>
      </c>
      <c r="F88" s="879">
        <v>30</v>
      </c>
    </row>
    <row r="89" spans="1:6" s="875" customFormat="1" ht="24">
      <c r="A89" s="879">
        <v>29</v>
      </c>
      <c r="B89" s="3269"/>
      <c r="C89" s="815" t="s">
        <v>672</v>
      </c>
      <c r="D89" s="815" t="s">
        <v>673</v>
      </c>
      <c r="E89" s="892">
        <v>0.2</v>
      </c>
      <c r="F89" s="879">
        <v>30</v>
      </c>
    </row>
    <row r="90" spans="1:6" s="875" customFormat="1" ht="24">
      <c r="A90" s="879">
        <v>30</v>
      </c>
      <c r="B90" s="3269"/>
      <c r="C90" s="815" t="s">
        <v>674</v>
      </c>
      <c r="D90" s="815" t="s">
        <v>675</v>
      </c>
      <c r="E90" s="892">
        <v>0.2</v>
      </c>
      <c r="F90" s="879">
        <v>30</v>
      </c>
    </row>
    <row r="91" spans="1:6" s="875" customFormat="1" ht="36">
      <c r="A91" s="879">
        <v>31</v>
      </c>
      <c r="B91" s="3269"/>
      <c r="C91" s="815" t="s">
        <v>676</v>
      </c>
      <c r="D91" s="815" t="s">
        <v>677</v>
      </c>
      <c r="E91" s="892">
        <v>0.2</v>
      </c>
      <c r="F91" s="879">
        <v>30</v>
      </c>
    </row>
    <row r="92" spans="1:6" s="875" customFormat="1" ht="24">
      <c r="A92" s="879">
        <v>32</v>
      </c>
      <c r="B92" s="3269" t="s">
        <v>678</v>
      </c>
      <c r="C92" s="879" t="s">
        <v>679</v>
      </c>
      <c r="D92" s="815" t="s">
        <v>680</v>
      </c>
      <c r="E92" s="892">
        <v>0.2</v>
      </c>
      <c r="F92" s="879">
        <v>30</v>
      </c>
    </row>
    <row r="93" spans="1:6" s="875" customFormat="1" ht="36">
      <c r="A93" s="879">
        <v>33</v>
      </c>
      <c r="B93" s="3269"/>
      <c r="C93" s="879" t="s">
        <v>681</v>
      </c>
      <c r="D93" s="815" t="s">
        <v>682</v>
      </c>
      <c r="E93" s="892">
        <v>0.2</v>
      </c>
      <c r="F93" s="879">
        <v>30</v>
      </c>
    </row>
    <row r="94" spans="1:6" s="875" customFormat="1" ht="48">
      <c r="A94" s="879">
        <v>34</v>
      </c>
      <c r="B94" s="3269"/>
      <c r="C94" s="879" t="s">
        <v>683</v>
      </c>
      <c r="D94" s="815" t="s">
        <v>684</v>
      </c>
      <c r="E94" s="892">
        <v>0.2</v>
      </c>
      <c r="F94" s="879">
        <v>30</v>
      </c>
    </row>
    <row r="95" spans="1:6" s="875" customFormat="1" ht="36">
      <c r="A95" s="879">
        <v>35</v>
      </c>
      <c r="B95" s="3269"/>
      <c r="C95" s="879" t="s">
        <v>685</v>
      </c>
      <c r="D95" s="815" t="s">
        <v>686</v>
      </c>
      <c r="E95" s="892">
        <v>0.2</v>
      </c>
      <c r="F95" s="879">
        <v>30</v>
      </c>
    </row>
    <row r="96" spans="1:6" s="875" customFormat="1" ht="48">
      <c r="A96" s="879">
        <v>36</v>
      </c>
      <c r="B96" s="3269"/>
      <c r="C96" s="815" t="s">
        <v>687</v>
      </c>
      <c r="D96" s="815" t="s">
        <v>688</v>
      </c>
      <c r="E96" s="892">
        <v>0.2</v>
      </c>
      <c r="F96" s="879">
        <v>30</v>
      </c>
    </row>
    <row r="97" spans="1:6" s="875" customFormat="1" ht="36">
      <c r="A97" s="879">
        <v>37</v>
      </c>
      <c r="B97" s="3269"/>
      <c r="C97" s="879" t="s">
        <v>689</v>
      </c>
      <c r="D97" s="815" t="s">
        <v>690</v>
      </c>
      <c r="E97" s="892">
        <v>0.2</v>
      </c>
      <c r="F97" s="879">
        <v>30</v>
      </c>
    </row>
    <row r="98" spans="1:6" s="875" customFormat="1" ht="36">
      <c r="A98" s="879">
        <v>38</v>
      </c>
      <c r="B98" s="3269"/>
      <c r="C98" s="879" t="s">
        <v>691</v>
      </c>
      <c r="D98" s="815" t="s">
        <v>692</v>
      </c>
      <c r="E98" s="892">
        <v>0.2</v>
      </c>
      <c r="F98" s="879">
        <v>30</v>
      </c>
    </row>
    <row r="99" spans="1:6" s="875" customFormat="1" ht="36">
      <c r="A99" s="879">
        <v>39</v>
      </c>
      <c r="B99" s="3269" t="s">
        <v>693</v>
      </c>
      <c r="C99" s="879" t="s">
        <v>694</v>
      </c>
      <c r="D99" s="815" t="s">
        <v>695</v>
      </c>
      <c r="E99" s="892">
        <v>0.3</v>
      </c>
      <c r="F99" s="879">
        <v>50</v>
      </c>
    </row>
    <row r="100" spans="1:6" s="875" customFormat="1" ht="24">
      <c r="A100" s="879">
        <v>40</v>
      </c>
      <c r="B100" s="3269"/>
      <c r="C100" s="879" t="s">
        <v>696</v>
      </c>
      <c r="D100" s="815" t="s">
        <v>697</v>
      </c>
      <c r="E100" s="892">
        <v>0.2</v>
      </c>
      <c r="F100" s="879">
        <v>30</v>
      </c>
    </row>
    <row r="101" spans="1:6" s="875" customFormat="1" ht="36">
      <c r="A101" s="879">
        <v>41</v>
      </c>
      <c r="B101" s="326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9" t="s">
        <v>708</v>
      </c>
      <c r="C105" s="879" t="s">
        <v>709</v>
      </c>
      <c r="D105" s="815" t="s">
        <v>710</v>
      </c>
      <c r="E105" s="892">
        <v>0.2</v>
      </c>
      <c r="F105" s="879">
        <v>30</v>
      </c>
    </row>
    <row r="106" spans="1:6" s="875" customFormat="1" ht="36">
      <c r="A106" s="879">
        <v>46</v>
      </c>
      <c r="B106" s="3269"/>
      <c r="C106" s="879" t="s">
        <v>711</v>
      </c>
      <c r="D106" s="815" t="s">
        <v>712</v>
      </c>
      <c r="E106" s="892">
        <v>0.2</v>
      </c>
      <c r="F106" s="879">
        <v>30</v>
      </c>
    </row>
    <row r="107" spans="1:6" s="875" customFormat="1" ht="36">
      <c r="A107" s="879">
        <v>47</v>
      </c>
      <c r="B107" s="3269" t="s">
        <v>713</v>
      </c>
      <c r="C107" s="879" t="s">
        <v>714</v>
      </c>
      <c r="D107" s="815" t="s">
        <v>715</v>
      </c>
      <c r="E107" s="892">
        <v>0.3</v>
      </c>
      <c r="F107" s="879">
        <v>50</v>
      </c>
    </row>
    <row r="108" spans="1:6" s="875" customFormat="1" ht="36">
      <c r="A108" s="879">
        <v>48</v>
      </c>
      <c r="B108" s="326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9" t="s">
        <v>724</v>
      </c>
      <c r="C111" s="879" t="s">
        <v>725</v>
      </c>
      <c r="D111" s="815" t="s">
        <v>726</v>
      </c>
      <c r="E111" s="892">
        <v>0.2</v>
      </c>
      <c r="F111" s="879">
        <v>30</v>
      </c>
    </row>
    <row r="112" spans="1:6" s="875" customFormat="1" ht="24">
      <c r="A112" s="879">
        <v>52</v>
      </c>
      <c r="B112" s="3269"/>
      <c r="C112" s="879" t="s">
        <v>727</v>
      </c>
      <c r="D112" s="815" t="s">
        <v>728</v>
      </c>
      <c r="E112" s="892">
        <v>0.2</v>
      </c>
      <c r="F112" s="879">
        <v>30</v>
      </c>
    </row>
    <row r="113" spans="1:6" s="875" customFormat="1" ht="24">
      <c r="A113" s="879">
        <v>53</v>
      </c>
      <c r="B113" s="326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9" t="s">
        <v>737</v>
      </c>
      <c r="C116" s="879" t="s">
        <v>738</v>
      </c>
      <c r="D116" s="815" t="s">
        <v>739</v>
      </c>
      <c r="E116" s="892">
        <v>0.2</v>
      </c>
      <c r="F116" s="879">
        <v>30</v>
      </c>
    </row>
    <row r="117" spans="1:6" ht="36">
      <c r="A117" s="879">
        <v>57</v>
      </c>
      <c r="B117" s="326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1"/>
      <c r="B4" s="2967" t="s">
        <v>1630</v>
      </c>
      <c r="C4" s="2967"/>
      <c r="D4" s="2967"/>
      <c r="E4" s="1961"/>
    </row>
    <row r="5" spans="1:5" ht="16.5" thickTop="1">
      <c r="A5" s="1959"/>
      <c r="B5" s="2965" t="s">
        <v>1622</v>
      </c>
      <c r="C5" s="1962" t="s">
        <v>1623</v>
      </c>
      <c r="D5" s="1040">
        <f ca="1">结果表!H101</f>
        <v>218371</v>
      </c>
      <c r="E5" s="1959"/>
    </row>
    <row r="6" spans="1:5" ht="15.75">
      <c r="A6" s="1959"/>
      <c r="B6" s="2965"/>
      <c r="C6" s="1962" t="s">
        <v>1624</v>
      </c>
      <c r="D6" s="1040" t="str">
        <f ca="1">NUMBERSTRING(INT(D5*10000),2)&amp;"元整"</f>
        <v>贰拾壹亿捌仟叁佰柒拾壹万元整</v>
      </c>
      <c r="E6" s="1959"/>
    </row>
    <row r="7" spans="1:5" ht="15.75">
      <c r="A7" s="1959"/>
      <c r="B7" s="2970"/>
      <c r="C7" s="1963" t="s">
        <v>1625</v>
      </c>
      <c r="D7" s="1041">
        <f ca="1">结果表!H102</f>
        <v>27360</v>
      </c>
      <c r="E7" s="1959"/>
    </row>
    <row r="8" spans="1:5" ht="15.75">
      <c r="A8" s="1959"/>
      <c r="B8" s="2971" t="str">
        <f>结果表!E103</f>
        <v>2.估价师知悉的法定优先受偿款</v>
      </c>
      <c r="C8" s="1964" t="s">
        <v>1626</v>
      </c>
      <c r="D8" s="1041">
        <f>结果表!H103</f>
        <v>0</v>
      </c>
      <c r="E8" s="1959"/>
    </row>
    <row r="9" spans="1:5" ht="15.75">
      <c r="A9" s="1959"/>
      <c r="B9" s="2973"/>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64" t="str">
        <f>结果表!E107</f>
        <v>3.房地产抵押价值</v>
      </c>
      <c r="C13" s="1967" t="s">
        <v>1623</v>
      </c>
      <c r="D13" s="1043">
        <f ca="1">结果表!H107</f>
        <v>218371</v>
      </c>
      <c r="E13" s="1959"/>
    </row>
    <row r="14" spans="1:5" ht="15.75">
      <c r="A14" s="1959"/>
      <c r="B14" s="2965"/>
      <c r="C14" s="1962" t="s">
        <v>1624</v>
      </c>
      <c r="D14" s="1040" t="str">
        <f ca="1">NUMBERSTRING(INT(D13*10000),2)&amp;"元整"</f>
        <v>贰拾壹亿捌仟叁佰柒拾壹万元整</v>
      </c>
      <c r="E14" s="1959"/>
    </row>
    <row r="15" spans="1:5" ht="15">
      <c r="A15" s="1959"/>
      <c r="B15" s="2970"/>
      <c r="C15" s="1963" t="s">
        <v>1634</v>
      </c>
      <c r="D15" s="1052">
        <f ca="1">结果表!H108</f>
        <v>27360</v>
      </c>
      <c r="E15" s="1959"/>
    </row>
    <row r="16" spans="1:5" ht="15">
      <c r="A16" s="1959"/>
      <c r="B16" s="2971" t="str">
        <f>结果表!E109</f>
        <v>——</v>
      </c>
      <c r="C16" s="1967" t="s">
        <v>1635</v>
      </c>
      <c r="D16" s="1968" t="str">
        <f>结果表!H109</f>
        <v>——</v>
      </c>
      <c r="E16" s="1959"/>
    </row>
    <row r="17" spans="1:5" ht="15.75">
      <c r="A17" s="1959"/>
      <c r="B17" s="2972"/>
      <c r="C17" s="1962" t="s">
        <v>1636</v>
      </c>
      <c r="D17" s="1040" t="e">
        <f>NUMBERSTRING(INT(D16*10000),2)&amp;"元整"</f>
        <v>#VALUE!</v>
      </c>
      <c r="E17" s="1959"/>
    </row>
    <row r="18" spans="1:5" ht="15">
      <c r="A18" s="1959"/>
      <c r="B18" s="2973"/>
      <c r="C18" s="1963" t="s">
        <v>1625</v>
      </c>
      <c r="D18" s="1052" t="str">
        <f>结果表!H110</f>
        <v>——</v>
      </c>
      <c r="E18" s="1959"/>
    </row>
    <row r="19" spans="1:5" ht="15.75">
      <c r="A19" s="1959"/>
      <c r="B19" s="2964" t="str">
        <f>结果表!E111</f>
        <v>——</v>
      </c>
      <c r="C19" s="1967" t="s">
        <v>1623</v>
      </c>
      <c r="D19" s="1041" t="str">
        <f>结果表!H111</f>
        <v>——</v>
      </c>
      <c r="E19" s="1959"/>
    </row>
    <row r="20" spans="1:5" ht="15.75">
      <c r="A20" s="1959"/>
      <c r="B20" s="2965"/>
      <c r="C20" s="1962" t="s">
        <v>1636</v>
      </c>
      <c r="D20" s="1040" t="e">
        <f>NUMBERSTRING(INT(D19*10000),2)&amp;"元整"</f>
        <v>#VALUE!</v>
      </c>
      <c r="E20" s="1959"/>
    </row>
    <row r="21" spans="1:5" ht="15.75" thickBot="1">
      <c r="A21" s="1959"/>
      <c r="B21" s="2966"/>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SUMPRODUCT((A105:A204=ROUNDDOWN(基准地价修正办公!G3,1))*(B104:M104=基准地价修正办公!G2)*(B105:M204))</f>
        <v>0.84019999999999995</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3005</v>
      </c>
    </row>
    <row r="2" spans="1:5" ht="15.75">
      <c r="A2" s="2913" t="s">
        <v>2997</v>
      </c>
      <c r="B2" s="2914">
        <f ca="1">SUMIF(B6:B13,"&lt;&gt;#ref!",B6:B13)</f>
        <v>0</v>
      </c>
      <c r="C2" s="2913" t="s">
        <v>2998</v>
      </c>
      <c r="D2" s="2913" t="s">
        <v>2999</v>
      </c>
      <c r="E2" s="2914">
        <f ca="1">SUMIF(E6:E13,"&lt;&gt;#ref!",E6:E13)</f>
        <v>0</v>
      </c>
    </row>
    <row r="3" spans="1:5" ht="15.75">
      <c r="A3" s="2913" t="s">
        <v>3000</v>
      </c>
      <c r="B3" s="2914" t="e">
        <f ca="1">ROUND(B2*10000/E2,0)</f>
        <v>#DIV/0!</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t="e">
        <f ca="1">SUMIF(INDIRECT("'"&amp;A6&amp;"'"&amp;"!A:A"),"总价",INDIRECT("'"&amp;A6&amp;"'"&amp;"!B:B"))</f>
        <v>#REF!</v>
      </c>
      <c r="C6" s="2913" t="s">
        <v>2998</v>
      </c>
      <c r="D6" s="2915"/>
      <c r="E6" s="2578" t="e">
        <f ca="1">SUMIF(INDIRECT("'"&amp;A6&amp;"'"&amp;"!C:C"),"建筑面积",INDIRECT("'"&amp;A6&amp;"'"&amp;"!D:D"))</f>
        <v>#REF!</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1150</v>
      </c>
      <c r="C1" s="3275"/>
      <c r="D1" s="3275"/>
      <c r="E1" s="3275"/>
      <c r="F1" s="3275"/>
      <c r="G1" s="3271" t="s">
        <v>1151</v>
      </c>
      <c r="H1" s="3271"/>
      <c r="I1" s="3271"/>
      <c r="J1" s="3271"/>
      <c r="K1" s="3271"/>
      <c r="L1" s="3271"/>
      <c r="N1" s="3271" t="s">
        <v>1152</v>
      </c>
      <c r="O1" s="3271"/>
      <c r="P1" s="3271"/>
      <c r="Q1" s="3271"/>
      <c r="R1" s="1446"/>
      <c r="S1" s="3271" t="s">
        <v>1153</v>
      </c>
      <c r="T1" s="3271"/>
      <c r="U1" s="3271"/>
      <c r="V1" s="3271"/>
      <c r="X1" s="3270" t="s">
        <v>1154</v>
      </c>
      <c r="Y1" s="3271"/>
      <c r="Z1" s="3271"/>
      <c r="AA1" s="3271"/>
      <c r="AB1" s="3271"/>
      <c r="AD1" s="3270" t="s">
        <v>1155</v>
      </c>
      <c r="AE1" s="3271"/>
      <c r="AF1" s="3271"/>
      <c r="AG1" s="3271"/>
      <c r="AH1" s="3271"/>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3040</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1.4517</v>
      </c>
      <c r="Y3" s="2939">
        <f>ROUND(SUMPRODUCT(PRODUCT(1+O3:O$21)),4)</f>
        <v>1.2928999999999999</v>
      </c>
      <c r="Z3" s="2939">
        <f t="shared" ref="Z3:Z19" si="0">Y3</f>
        <v>1.2928999999999999</v>
      </c>
      <c r="AA3" s="2939">
        <f>ROUND(SUMPRODUCT(PRODUCT(1+P3:P$21)),4)</f>
        <v>1.5068999999999999</v>
      </c>
      <c r="AB3" s="2939">
        <f>ROUND(SUMPRODUCT(PRODUCT(1+Q3:Q$21)),4)</f>
        <v>1.2557</v>
      </c>
      <c r="AD3" s="2940">
        <f>ROUND(AVERAGE(I3:I$22)/100,4)</f>
        <v>2.2800000000000001E-2</v>
      </c>
      <c r="AE3" s="2940">
        <f>ROUND(AVERAGE(J3:J$22)/100,4)</f>
        <v>1.5699999999999999E-2</v>
      </c>
      <c r="AF3" s="2940">
        <f t="shared" ref="AF3:AF20" si="1">AE3</f>
        <v>1.5699999999999999E-2</v>
      </c>
      <c r="AG3" s="2940">
        <f>ROUND(AVERAGE(K3:K$22)/100,4)</f>
        <v>2.5100000000000001E-2</v>
      </c>
      <c r="AH3" s="2940">
        <f>ROUND(AVERAGE(L3:L$22)/100,4)</f>
        <v>1.35E-2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2">
        <v>2018</v>
      </c>
      <c r="H5" s="1730">
        <v>2</v>
      </c>
      <c r="I5" s="2927">
        <v>0</v>
      </c>
      <c r="J5" s="2927">
        <v>0</v>
      </c>
      <c r="K5" s="2927">
        <v>0</v>
      </c>
      <c r="L5" s="2927">
        <v>0</v>
      </c>
      <c r="N5" s="1467">
        <f t="shared" ref="N5" si="7">I5/100</f>
        <v>0</v>
      </c>
      <c r="O5" s="1467">
        <f t="shared" ref="O5" si="8">J5/100</f>
        <v>0</v>
      </c>
      <c r="P5" s="1467">
        <f t="shared" ref="P5" si="9">K5/100</f>
        <v>0</v>
      </c>
      <c r="Q5" s="1467">
        <f t="shared" ref="Q5" si="10">L5/100</f>
        <v>0</v>
      </c>
      <c r="R5" s="1732"/>
      <c r="S5" s="1733"/>
      <c r="T5" s="1732"/>
      <c r="U5" s="1732"/>
      <c r="V5" s="1732"/>
      <c r="W5" s="2931" t="s">
        <v>3041</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3039</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43">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3036</v>
      </c>
      <c r="B7" s="1469">
        <v>439</v>
      </c>
      <c r="C7" s="1469">
        <v>327</v>
      </c>
      <c r="D7" s="1469">
        <f>C7</f>
        <v>327</v>
      </c>
      <c r="E7" s="1469">
        <v>627</v>
      </c>
      <c r="F7" s="1470">
        <v>283</v>
      </c>
      <c r="G7" s="2929">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3037</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5"/>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4"/>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5"/>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76">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73"/>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73"/>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274"/>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72">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73"/>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73"/>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274"/>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72">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73"/>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73"/>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274"/>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277">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278"/>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278"/>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279"/>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72">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273"/>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273"/>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274"/>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72">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73">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273">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274">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72">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73">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273">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274">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72">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73">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273">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274">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72">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73">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273">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274">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72">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73">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273">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274">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72">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73">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273">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274">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72">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73">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273">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274">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72">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73">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273">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274">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72">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273">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273">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274">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72">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273">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273">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274">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3007</v>
      </c>
      <c r="C1" s="3281" t="s">
        <v>3008</v>
      </c>
      <c r="D1" s="3282"/>
      <c r="E1" s="3282"/>
      <c r="F1" s="3282"/>
      <c r="G1" s="3282"/>
      <c r="H1" s="3282"/>
      <c r="I1" s="3282"/>
      <c r="J1" s="3282"/>
      <c r="K1" s="3282"/>
      <c r="L1" s="3282"/>
      <c r="M1" s="3282"/>
      <c r="N1" s="3282"/>
      <c r="O1" s="3282"/>
      <c r="P1" s="3282"/>
      <c r="Q1" s="3282"/>
      <c r="R1" s="3282"/>
      <c r="S1" s="3283"/>
      <c r="T1" s="1204" t="s">
        <v>3009</v>
      </c>
    </row>
    <row r="2" spans="1:45" s="707" customFormat="1">
      <c r="A2" s="1205"/>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3017</v>
      </c>
      <c r="B17" s="2920"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1" t="s">
        <v>3019</v>
      </c>
      <c r="E19" s="1792"/>
      <c r="F19" s="1792"/>
      <c r="G19" s="1792"/>
      <c r="H19" s="1280"/>
      <c r="I19" s="168"/>
      <c r="J19" s="168"/>
      <c r="K19" s="168"/>
      <c r="L19" s="168"/>
      <c r="M19" s="168"/>
      <c r="N19" s="168"/>
      <c r="O19" s="168"/>
      <c r="P19" s="168"/>
      <c r="Q19" s="168"/>
      <c r="R19" s="788"/>
      <c r="S19" s="138"/>
    </row>
    <row r="20" spans="1:45" ht="16.5" thickBot="1">
      <c r="A20" s="715" t="s">
        <v>3020</v>
      </c>
      <c r="B20" s="338" t="e">
        <f ca="1">IF(D20="——",S22,S22-F20)</f>
        <v>#REF!</v>
      </c>
      <c r="C20" s="168"/>
      <c r="D20" s="2922" t="s">
        <v>3021</v>
      </c>
      <c r="E20" s="1793"/>
      <c r="F20" s="1204" t="e">
        <f ca="1">SUMIF(INDIRECT("'"&amp;H20&amp;"'"&amp;"!A:A"),"承租人权益价值",INDIRECT("'"&amp;H20&amp;"'"&amp;"!c:c"))</f>
        <v>#REF!</v>
      </c>
      <c r="G20" s="1204" t="s">
        <v>3022</v>
      </c>
      <c r="H20" s="2923"/>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72481</v>
      </c>
      <c r="C2" s="2" t="s">
        <v>133</v>
      </c>
      <c r="D2" s="243"/>
      <c r="E2" s="243"/>
      <c r="F2" s="243"/>
      <c r="G2" s="243"/>
    </row>
    <row r="3" spans="1:7" s="244" customFormat="1" ht="18" customHeight="1" thickBot="1">
      <c r="A3" s="247" t="s">
        <v>85</v>
      </c>
      <c r="B3" s="248">
        <f ca="1">ROUND(B2*10000/'数据-汇总表'!E3,0)</f>
        <v>9081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79815.240000000005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1596</v>
      </c>
      <c r="D19" s="1036">
        <f>'数据-汇总表'!E3</f>
        <v>79815.240000000005</v>
      </c>
      <c r="E19" s="255">
        <f>'数据-取费表'!B31</f>
        <v>200</v>
      </c>
      <c r="F19" s="275"/>
      <c r="G19" s="1" t="s">
        <v>1074</v>
      </c>
    </row>
    <row r="20" spans="1:7" s="258" customFormat="1" ht="13.5" customHeight="1">
      <c r="A20" s="948" t="s">
        <v>1057</v>
      </c>
      <c r="B20" s="254" t="s">
        <v>104</v>
      </c>
      <c r="C20" s="276">
        <f>ROUND((C5+C19)*F20,0)</f>
        <v>666</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2077</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147</v>
      </c>
      <c r="D24" s="282"/>
      <c r="E24" s="282"/>
      <c r="F24" s="283"/>
      <c r="G24" s="284" t="s">
        <v>109</v>
      </c>
    </row>
    <row r="25" spans="1:7" s="258" customFormat="1" ht="24">
      <c r="A25" s="951" t="s">
        <v>793</v>
      </c>
      <c r="B25" s="259" t="s">
        <v>1058</v>
      </c>
      <c r="C25" s="1355">
        <f ca="1">ROUND(IF('数据-取费表'!B22&lt;=1,C20*F22*'数据-取费表'!B23/2,C20*(POWER((1+F22),'数据-取费表'!B23/2)-1)),0)</f>
        <v>30</v>
      </c>
      <c r="D25" s="282"/>
      <c r="E25" s="285"/>
      <c r="F25" s="283"/>
      <c r="G25" s="286" t="s">
        <v>110</v>
      </c>
    </row>
    <row r="26" spans="1:7" s="258" customFormat="1">
      <c r="A26" s="951" t="s">
        <v>795</v>
      </c>
      <c r="B26" s="259" t="s">
        <v>1060</v>
      </c>
      <c r="C26" s="282">
        <f ca="1">ROUND(IF('数据-取费表'!B22&lt;=1,F21*F22*'数据-取费表'!B23/2,F21*(POWER((1+F22),'数据-取费表'!B23/2)-1)),4)</f>
        <v>1.4E-3</v>
      </c>
      <c r="D26" s="282"/>
      <c r="E26" s="285"/>
      <c r="F26" s="283"/>
      <c r="G26" s="287"/>
    </row>
    <row r="27" spans="1:7" s="258" customFormat="1" ht="24.75">
      <c r="A27" s="948" t="s">
        <v>787</v>
      </c>
      <c r="B27" s="288" t="s">
        <v>112</v>
      </c>
      <c r="C27" s="289">
        <f>C28</f>
        <v>4346</v>
      </c>
      <c r="D27" s="279">
        <f>C29</f>
        <v>5.7000000000000002E-3</v>
      </c>
      <c r="E27" s="280" t="s">
        <v>126</v>
      </c>
      <c r="F27" s="290">
        <f>'数据-取费表'!Q16</f>
        <v>0.2</v>
      </c>
      <c r="G27" s="291" t="s">
        <v>1069</v>
      </c>
    </row>
    <row r="28" spans="1:7" s="258" customFormat="1" ht="13.5" customHeight="1">
      <c r="A28" s="951" t="s">
        <v>794</v>
      </c>
      <c r="B28" s="292" t="s">
        <v>1062</v>
      </c>
      <c r="C28" s="293">
        <f>ROUND((C5+C19+C20)*F27*'数据-取费表'!B21/'数据-取费表'!B20,0)</f>
        <v>4346</v>
      </c>
      <c r="D28" s="279"/>
      <c r="E28" s="280"/>
      <c r="F28" s="290"/>
      <c r="G28" s="291"/>
    </row>
    <row r="29" spans="1:7" s="258" customFormat="1" ht="13.5" customHeight="1">
      <c r="A29" s="951" t="s">
        <v>792</v>
      </c>
      <c r="B29" s="292" t="s">
        <v>1063</v>
      </c>
      <c r="C29" s="282">
        <f>ROUND(C21*F27*'数据-取费表'!B21/'数据-取费表'!B20,4)</f>
        <v>5.7000000000000002E-3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32174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28609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25881</v>
      </c>
      <c r="D34" s="261"/>
      <c r="E34" s="264"/>
      <c r="F34" s="301">
        <f>IF('数据-取费表'!B24=0,1,'数据-取费表'!N16)</f>
        <v>0.98</v>
      </c>
      <c r="G34" s="263" t="s">
        <v>116</v>
      </c>
    </row>
    <row r="35" spans="1:7" ht="13.5" customHeight="1">
      <c r="A35" s="951" t="s">
        <v>796</v>
      </c>
      <c r="B35" s="259" t="s">
        <v>60</v>
      </c>
      <c r="C35" s="264">
        <f>ROUND(C34*F35,0)</f>
        <v>776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1564</v>
      </c>
      <c r="D37" s="261">
        <f>'数据-汇总表'!E3</f>
        <v>79815.240000000005</v>
      </c>
      <c r="E37" s="293">
        <f>'数据-取费表'!B35</f>
        <v>200</v>
      </c>
      <c r="F37" s="303"/>
      <c r="G37" s="305" t="s">
        <v>119</v>
      </c>
    </row>
    <row r="38" spans="1:7" ht="13.5" customHeight="1">
      <c r="A38" s="951" t="s">
        <v>799</v>
      </c>
      <c r="B38" s="259" t="s">
        <v>63</v>
      </c>
      <c r="C38" s="264">
        <f>ROUND(C34*F38,0)</f>
        <v>388</v>
      </c>
      <c r="D38" s="264"/>
      <c r="E38" s="264"/>
      <c r="F38" s="303">
        <f>'数据-取费表'!B36</f>
        <v>1.4999999999999999E-2</v>
      </c>
      <c r="G38" s="263" t="s">
        <v>117</v>
      </c>
    </row>
    <row r="39" spans="1:7" s="258" customFormat="1" ht="13.5" customHeight="1">
      <c r="A39" s="948" t="s">
        <v>783</v>
      </c>
      <c r="B39" s="254" t="s">
        <v>104</v>
      </c>
      <c r="C39" s="276">
        <f>ROUND(C33*F20,0)</f>
        <v>858</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1328</v>
      </c>
      <c r="D41" s="279">
        <f ca="1">C44</f>
        <v>1.4E-3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1289</v>
      </c>
      <c r="D42" s="282"/>
      <c r="E42" s="282"/>
      <c r="F42" s="283"/>
      <c r="G42" s="3149" t="s">
        <v>121</v>
      </c>
    </row>
    <row r="43" spans="1:7" ht="13.5" customHeight="1">
      <c r="A43" s="951" t="s">
        <v>792</v>
      </c>
      <c r="B43" s="259" t="s">
        <v>1064</v>
      </c>
      <c r="C43" s="282">
        <f ca="1">ROUND(IF('数据-取费表'!B22&lt;=1,C39*F22*'数据-取费表'!B21/2,C39*(POWER((1+F22),'数据-取费表'!B21/2)-1)),0)</f>
        <v>39</v>
      </c>
      <c r="D43" s="282"/>
      <c r="E43" s="282"/>
      <c r="F43" s="283"/>
      <c r="G43" s="3150"/>
    </row>
    <row r="44" spans="1:7" ht="13.5" customHeight="1">
      <c r="A44" s="951" t="s">
        <v>793</v>
      </c>
      <c r="B44" s="259" t="s">
        <v>1066</v>
      </c>
      <c r="C44" s="282">
        <f ca="1">ROUND(IF('数据-取费表'!B22&lt;=1,C40*F22*'数据-取费表'!B21/2,C40*(POWER((1+F22),'数据-取费表'!B21/2)-1)),4)</f>
        <v>1.4E-3</v>
      </c>
      <c r="D44" s="282"/>
      <c r="E44" s="282"/>
      <c r="F44" s="283"/>
      <c r="G44" s="3151"/>
    </row>
    <row r="45" spans="1:7" s="258" customFormat="1" ht="13.5" customHeight="1">
      <c r="A45" s="948" t="s">
        <v>786</v>
      </c>
      <c r="B45" s="288" t="s">
        <v>112</v>
      </c>
      <c r="C45" s="289">
        <f>C46</f>
        <v>5893</v>
      </c>
      <c r="D45" s="279">
        <f>C47</f>
        <v>6.0000000000000001E-3</v>
      </c>
      <c r="E45" s="280" t="s">
        <v>129</v>
      </c>
      <c r="F45" s="290"/>
      <c r="G45" s="291" t="s">
        <v>1072</v>
      </c>
    </row>
    <row r="46" spans="1:7" s="258" customFormat="1" ht="13.5" customHeight="1">
      <c r="A46" s="951" t="s">
        <v>794</v>
      </c>
      <c r="B46" s="292" t="s">
        <v>1065</v>
      </c>
      <c r="C46" s="293">
        <f>ROUND((C33+C39)*F27,0)</f>
        <v>5893</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40307</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40307</v>
      </c>
      <c r="D51" s="276"/>
      <c r="E51" s="276"/>
      <c r="F51" s="308"/>
      <c r="G51" s="278" t="s">
        <v>64</v>
      </c>
    </row>
    <row r="52" spans="1:7" s="252" customFormat="1" ht="16.5" thickBot="1">
      <c r="A52" s="309" t="s">
        <v>65</v>
      </c>
      <c r="B52" s="310"/>
      <c r="C52" s="311">
        <f ca="1">C31+C51</f>
        <v>72481</v>
      </c>
      <c r="D52" s="310"/>
      <c r="E52" s="310"/>
      <c r="F52" s="310"/>
      <c r="G52" s="312"/>
    </row>
    <row r="55" spans="1:7" ht="15">
      <c r="B55" s="314" t="s">
        <v>66</v>
      </c>
      <c r="C55" s="315"/>
    </row>
    <row r="56" spans="1:7">
      <c r="B56" s="317" t="s">
        <v>67</v>
      </c>
      <c r="C56" s="318">
        <f ca="1">ROUND(C51/C52,3)</f>
        <v>0.55600000000000005</v>
      </c>
    </row>
    <row r="57" spans="1:7">
      <c r="B57" s="317" t="s">
        <v>68</v>
      </c>
      <c r="C57" s="319">
        <f ca="1">1-C56</f>
        <v>0.44399999999999995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84" t="s">
        <v>156</v>
      </c>
      <c r="B1" s="3284"/>
      <c r="C1" s="3284"/>
      <c r="D1" s="3284"/>
      <c r="E1" s="3284"/>
      <c r="F1" s="328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5" t="s">
        <v>169</v>
      </c>
      <c r="B2" s="3285"/>
      <c r="C2" s="3285"/>
      <c r="D2" s="3285"/>
      <c r="E2" s="3285"/>
      <c r="F2" s="328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4" t="s">
        <v>871</v>
      </c>
      <c r="B1" s="3284"/>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43273</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8"/>
  <sheetViews>
    <sheetView tabSelected="1" topLeftCell="G10" workbookViewId="0">
      <selection activeCell="I38" sqref="I38"/>
    </sheetView>
  </sheetViews>
  <sheetFormatPr defaultRowHeight="13.5"/>
  <cols>
    <col min="1" max="1" width="13" style="3734" hidden="1" customWidth="1"/>
    <col min="2" max="2" width="9" style="3734" hidden="1" customWidth="1"/>
    <col min="3" max="3" width="12.125" style="3734" hidden="1" customWidth="1"/>
    <col min="4" max="6" width="0" style="3734" hidden="1" customWidth="1"/>
    <col min="7" max="15" width="9" style="3734"/>
    <col min="16" max="16" width="15.25" style="3758" customWidth="1"/>
    <col min="17" max="17" width="16.125" style="3734" customWidth="1"/>
    <col min="18" max="18" width="18" style="3734" customWidth="1"/>
    <col min="19" max="16384" width="9" style="3734"/>
  </cols>
  <sheetData>
    <row r="1" spans="1:18">
      <c r="A1" s="3731" t="s">
        <v>3409</v>
      </c>
      <c r="B1" s="3732"/>
      <c r="C1" s="3732"/>
      <c r="D1" s="3733"/>
      <c r="H1" s="3735" t="s">
        <v>3410</v>
      </c>
      <c r="I1" s="3736"/>
      <c r="J1" s="3736"/>
      <c r="K1" s="3736"/>
      <c r="L1" s="3737"/>
      <c r="O1" s="3738" t="s">
        <v>3411</v>
      </c>
      <c r="P1" s="3739" t="s">
        <v>3412</v>
      </c>
      <c r="Q1" s="3738" t="s">
        <v>3413</v>
      </c>
      <c r="R1" s="3738" t="s">
        <v>3414</v>
      </c>
    </row>
    <row r="2" spans="1:18">
      <c r="A2" s="3740" t="s">
        <v>3411</v>
      </c>
      <c r="B2" s="3740"/>
      <c r="C2" s="3741" t="s">
        <v>3415</v>
      </c>
      <c r="D2" s="3740" t="s">
        <v>3414</v>
      </c>
      <c r="H2" s="3740" t="s">
        <v>3411</v>
      </c>
      <c r="I2" s="3740" t="s">
        <v>3416</v>
      </c>
      <c r="J2" s="3740" t="s">
        <v>3417</v>
      </c>
      <c r="K2" s="3740" t="s">
        <v>3413</v>
      </c>
      <c r="L2" s="3740" t="s">
        <v>3418</v>
      </c>
      <c r="O2" s="3742" t="s">
        <v>3419</v>
      </c>
      <c r="P2" s="3739" t="s">
        <v>3420</v>
      </c>
      <c r="Q2" s="3738">
        <v>166.93</v>
      </c>
      <c r="R2" s="3738" t="s">
        <v>3422</v>
      </c>
    </row>
    <row r="3" spans="1:18">
      <c r="A3" s="3743" t="s">
        <v>3423</v>
      </c>
      <c r="B3" s="3743"/>
      <c r="C3" s="3743">
        <v>2125.33</v>
      </c>
      <c r="D3" s="3743" t="s">
        <v>3422</v>
      </c>
      <c r="H3" s="3740" t="s">
        <v>3424</v>
      </c>
      <c r="I3" s="3738">
        <v>1</v>
      </c>
      <c r="J3" s="3738">
        <f>'比较法-商业 (2)'!C49</f>
        <v>49857</v>
      </c>
      <c r="K3" s="3738">
        <f>I12</f>
        <v>1175.17</v>
      </c>
      <c r="L3" s="3738">
        <f>ROUND(K3*J3/10000,0)</f>
        <v>5859</v>
      </c>
      <c r="O3" s="3744"/>
      <c r="P3" s="3739" t="s">
        <v>3425</v>
      </c>
      <c r="Q3" s="3738">
        <v>338.48</v>
      </c>
      <c r="R3" s="3738" t="s">
        <v>3421</v>
      </c>
    </row>
    <row r="4" spans="1:18">
      <c r="A4" s="3743" t="s">
        <v>3426</v>
      </c>
      <c r="B4" s="3743"/>
      <c r="C4" s="3743">
        <v>273.63</v>
      </c>
      <c r="D4" s="3743" t="s">
        <v>3421</v>
      </c>
      <c r="H4" s="3740" t="s">
        <v>3403</v>
      </c>
      <c r="I4" s="3738">
        <v>0.5</v>
      </c>
      <c r="J4" s="3738">
        <f>ROUND(J3*I4,0)</f>
        <v>24929</v>
      </c>
      <c r="K4" s="3738">
        <f>Q29</f>
        <v>3921.88</v>
      </c>
      <c r="L4" s="3738">
        <f t="shared" ref="L4:L6" si="0">ROUND(K4*J4/10000,0)</f>
        <v>9777</v>
      </c>
      <c r="O4" s="3744"/>
      <c r="P4" s="3739" t="s">
        <v>3427</v>
      </c>
      <c r="Q4" s="3738">
        <v>54.2</v>
      </c>
      <c r="R4" s="3738" t="s">
        <v>3428</v>
      </c>
    </row>
    <row r="5" spans="1:18">
      <c r="A5" s="3743" t="s">
        <v>3429</v>
      </c>
      <c r="B5" s="3743"/>
      <c r="C5" s="3743">
        <v>2425.84</v>
      </c>
      <c r="D5" s="3743" t="s">
        <v>3428</v>
      </c>
      <c r="H5" s="3740" t="s">
        <v>3405</v>
      </c>
      <c r="I5" s="3738">
        <v>0.6</v>
      </c>
      <c r="J5" s="3738">
        <f>ROUND(J3*I5,0)</f>
        <v>29914</v>
      </c>
      <c r="K5" s="3738">
        <f>Q235</f>
        <v>391.97</v>
      </c>
      <c r="L5" s="3738">
        <f t="shared" si="0"/>
        <v>1173</v>
      </c>
      <c r="O5" s="3744"/>
      <c r="P5" s="3739" t="s">
        <v>3430</v>
      </c>
      <c r="Q5" s="3738">
        <v>51.23</v>
      </c>
      <c r="R5" s="3738" t="s">
        <v>3428</v>
      </c>
    </row>
    <row r="6" spans="1:18">
      <c r="A6" s="3745" t="s">
        <v>3404</v>
      </c>
      <c r="B6" s="3745"/>
      <c r="C6" s="3745">
        <v>3107.96</v>
      </c>
      <c r="D6" s="3745" t="s">
        <v>3431</v>
      </c>
      <c r="H6" s="3740" t="s">
        <v>3406</v>
      </c>
      <c r="I6" s="3738">
        <f>I5</f>
        <v>0.6</v>
      </c>
      <c r="J6" s="3738">
        <f>ROUND(J3*I6,0)</f>
        <v>29914</v>
      </c>
      <c r="K6" s="3738">
        <f>Q237</f>
        <v>3630.35</v>
      </c>
      <c r="L6" s="3738">
        <f t="shared" si="0"/>
        <v>10860</v>
      </c>
      <c r="O6" s="3744"/>
      <c r="P6" s="3739" t="s">
        <v>3432</v>
      </c>
      <c r="Q6" s="3738">
        <v>51.23</v>
      </c>
      <c r="R6" s="3738" t="s">
        <v>3428</v>
      </c>
    </row>
    <row r="7" spans="1:18">
      <c r="A7" s="3740" t="s">
        <v>3433</v>
      </c>
      <c r="B7" s="3738"/>
      <c r="C7" s="3738">
        <v>61.73</v>
      </c>
      <c r="D7" s="3745"/>
      <c r="H7" s="3746" t="s">
        <v>3407</v>
      </c>
      <c r="I7" s="3747"/>
      <c r="J7" s="3748"/>
      <c r="K7" s="3749">
        <f>K3+K4+K5+K6</f>
        <v>9119.3700000000008</v>
      </c>
      <c r="L7" s="3749">
        <f>L3+L4+L5+L6</f>
        <v>27669</v>
      </c>
      <c r="M7" s="3734">
        <f>ROUND(L7/K7*10000,0)</f>
        <v>30341</v>
      </c>
      <c r="O7" s="3744"/>
      <c r="P7" s="3739" t="s">
        <v>3434</v>
      </c>
      <c r="Q7" s="3738">
        <v>39.549999999999997</v>
      </c>
      <c r="R7" s="3738" t="s">
        <v>3428</v>
      </c>
    </row>
    <row r="8" spans="1:18">
      <c r="A8" s="3740" t="s">
        <v>3435</v>
      </c>
      <c r="B8" s="3738"/>
      <c r="C8" s="3738">
        <v>949.25</v>
      </c>
      <c r="D8" s="3745"/>
      <c r="O8" s="3744"/>
      <c r="P8" s="3739" t="s">
        <v>3436</v>
      </c>
      <c r="Q8" s="3738">
        <v>26.22</v>
      </c>
      <c r="R8" s="3738" t="s">
        <v>3428</v>
      </c>
    </row>
    <row r="9" spans="1:18">
      <c r="A9" s="3745" t="s">
        <v>3437</v>
      </c>
      <c r="B9" s="3745"/>
      <c r="C9" s="3745">
        <v>2044.76</v>
      </c>
      <c r="D9" s="3745" t="s">
        <v>3438</v>
      </c>
      <c r="O9" s="3744"/>
      <c r="P9" s="3739" t="s">
        <v>3439</v>
      </c>
      <c r="Q9" s="3738">
        <v>67.25</v>
      </c>
      <c r="R9" s="3738" t="s">
        <v>3428</v>
      </c>
    </row>
    <row r="10" spans="1:18">
      <c r="A10" s="3750" t="s">
        <v>3437</v>
      </c>
      <c r="B10" s="3750"/>
      <c r="C10" s="3750">
        <v>1261.43</v>
      </c>
      <c r="D10" s="3750" t="s">
        <v>3440</v>
      </c>
      <c r="H10" s="3751" t="s">
        <v>3441</v>
      </c>
      <c r="I10" s="3751"/>
      <c r="J10" s="3751"/>
      <c r="K10" s="3751"/>
      <c r="O10" s="3744"/>
      <c r="P10" s="3739" t="s">
        <v>3442</v>
      </c>
      <c r="Q10" s="3738">
        <v>80.61</v>
      </c>
      <c r="R10" s="3738" t="s">
        <v>3428</v>
      </c>
    </row>
    <row r="11" spans="1:18">
      <c r="A11" s="3750" t="s">
        <v>3443</v>
      </c>
      <c r="B11" s="3750"/>
      <c r="C11" s="3750">
        <v>1924.81</v>
      </c>
      <c r="D11" s="3750" t="s">
        <v>3440</v>
      </c>
      <c r="H11" s="3740" t="s">
        <v>3444</v>
      </c>
      <c r="I11" s="3738" t="s">
        <v>3445</v>
      </c>
      <c r="J11" s="3738" t="s">
        <v>3446</v>
      </c>
      <c r="K11" s="3738" t="s">
        <v>3447</v>
      </c>
      <c r="O11" s="3744"/>
      <c r="P11" s="3739" t="s">
        <v>3448</v>
      </c>
      <c r="Q11" s="3738">
        <v>41.84</v>
      </c>
      <c r="R11" s="3738" t="s">
        <v>3428</v>
      </c>
    </row>
    <row r="12" spans="1:18">
      <c r="A12" s="3750" t="s">
        <v>3449</v>
      </c>
      <c r="B12" s="3750"/>
      <c r="C12" s="3750">
        <v>1924.81</v>
      </c>
      <c r="D12" s="3750" t="s">
        <v>3440</v>
      </c>
      <c r="H12" s="3740" t="s">
        <v>3438</v>
      </c>
      <c r="I12" s="3752">
        <f>Q36</f>
        <v>1175.17</v>
      </c>
      <c r="J12" s="3738">
        <v>0</v>
      </c>
      <c r="K12" s="3738">
        <f>I12</f>
        <v>1175.17</v>
      </c>
      <c r="O12" s="3744"/>
      <c r="P12" s="3739" t="s">
        <v>3450</v>
      </c>
      <c r="Q12" s="3738">
        <v>54.2</v>
      </c>
      <c r="R12" s="3738" t="s">
        <v>3428</v>
      </c>
    </row>
    <row r="13" spans="1:18">
      <c r="A13" s="3750" t="s">
        <v>3451</v>
      </c>
      <c r="B13" s="3750"/>
      <c r="C13" s="3750">
        <v>1924.81</v>
      </c>
      <c r="D13" s="3750" t="s">
        <v>3440</v>
      </c>
      <c r="H13" s="3740" t="s">
        <v>3431</v>
      </c>
      <c r="I13" s="3738">
        <f>Q235+Q237</f>
        <v>4022.3199999999997</v>
      </c>
      <c r="J13" s="3738">
        <f>Q29</f>
        <v>3921.88</v>
      </c>
      <c r="K13" s="3738">
        <f>I13+J13</f>
        <v>7944.2</v>
      </c>
      <c r="O13" s="3744"/>
      <c r="P13" s="3739" t="s">
        <v>3452</v>
      </c>
      <c r="Q13" s="3738">
        <v>61.71</v>
      </c>
      <c r="R13" s="3738" t="s">
        <v>3428</v>
      </c>
    </row>
    <row r="14" spans="1:18">
      <c r="A14" s="3750" t="s">
        <v>3453</v>
      </c>
      <c r="B14" s="3750"/>
      <c r="C14" s="3750">
        <v>1924.81</v>
      </c>
      <c r="D14" s="3750" t="s">
        <v>3440</v>
      </c>
      <c r="H14" s="3741" t="s">
        <v>3440</v>
      </c>
      <c r="I14" s="3738">
        <f>Q39+Q50+Q61+Q72+Q83+Q94+Q105+Q116+Q127+Q138+Q149+Q153+Q158+Q163+Q168+Q173+Q178+Q183+Q188+Q193+Q198+Q203+Q206+Q209+Q212+Q215+Q218+Q221+Q224+Q227+Q230+Q233</f>
        <v>61545.99</v>
      </c>
      <c r="J14" s="3738">
        <v>0</v>
      </c>
      <c r="K14" s="3738">
        <f>I14</f>
        <v>61545.99</v>
      </c>
      <c r="O14" s="3744"/>
      <c r="P14" s="3739" t="s">
        <v>3454</v>
      </c>
      <c r="Q14" s="3738">
        <v>90.37</v>
      </c>
      <c r="R14" s="3738" t="s">
        <v>3428</v>
      </c>
    </row>
    <row r="15" spans="1:18">
      <c r="A15" s="3750" t="s">
        <v>3455</v>
      </c>
      <c r="B15" s="3750"/>
      <c r="C15" s="3750">
        <v>1924.81</v>
      </c>
      <c r="D15" s="3750" t="s">
        <v>3440</v>
      </c>
      <c r="H15" s="3741" t="s">
        <v>3428</v>
      </c>
      <c r="I15" s="3753">
        <v>0</v>
      </c>
      <c r="J15" s="3738">
        <f>Q16+Q27</f>
        <v>2396.8900000000003</v>
      </c>
      <c r="K15" s="3753">
        <f>J15</f>
        <v>2396.8900000000003</v>
      </c>
      <c r="O15" s="3744"/>
      <c r="P15" s="3739" t="s">
        <v>3456</v>
      </c>
      <c r="Q15" s="3738">
        <v>83.78</v>
      </c>
      <c r="R15" s="3738" t="s">
        <v>3428</v>
      </c>
    </row>
    <row r="16" spans="1:18">
      <c r="A16" s="3750" t="s">
        <v>3457</v>
      </c>
      <c r="B16" s="3750"/>
      <c r="C16" s="3750">
        <v>1924.81</v>
      </c>
      <c r="D16" s="3750" t="s">
        <v>3440</v>
      </c>
      <c r="H16" s="3740" t="s">
        <v>3458</v>
      </c>
      <c r="I16" s="3753">
        <f>SUM(I12:I15)</f>
        <v>66743.48</v>
      </c>
      <c r="J16" s="3753">
        <f>SUM(J12:J15)</f>
        <v>6318.77</v>
      </c>
      <c r="K16" s="3753">
        <f>I16+J16</f>
        <v>73062.25</v>
      </c>
      <c r="O16" s="3754"/>
      <c r="P16" s="3749" t="s">
        <v>3458</v>
      </c>
      <c r="Q16" s="3749">
        <f>SUM(Q2:Q15)</f>
        <v>1207.6000000000001</v>
      </c>
      <c r="R16" s="3738" t="s">
        <v>3428</v>
      </c>
    </row>
    <row r="17" spans="1:18">
      <c r="A17" s="3750" t="s">
        <v>3459</v>
      </c>
      <c r="B17" s="3750"/>
      <c r="C17" s="3750">
        <v>1924.81</v>
      </c>
      <c r="D17" s="3750" t="s">
        <v>3440</v>
      </c>
      <c r="O17" s="3742" t="s">
        <v>3460</v>
      </c>
      <c r="P17" s="3739" t="s">
        <v>3461</v>
      </c>
      <c r="Q17" s="3738">
        <v>268.01</v>
      </c>
      <c r="R17" s="3738" t="s">
        <v>3428</v>
      </c>
    </row>
    <row r="18" spans="1:18">
      <c r="A18" s="3750" t="s">
        <v>3462</v>
      </c>
      <c r="B18" s="3750"/>
      <c r="C18" s="3750">
        <v>1924.81</v>
      </c>
      <c r="D18" s="3750" t="s">
        <v>3440</v>
      </c>
      <c r="O18" s="3744"/>
      <c r="P18" s="3739" t="s">
        <v>3463</v>
      </c>
      <c r="Q18" s="3738">
        <v>193.23</v>
      </c>
      <c r="R18" s="3738" t="s">
        <v>3428</v>
      </c>
    </row>
    <row r="19" spans="1:18">
      <c r="A19" s="3750" t="s">
        <v>3464</v>
      </c>
      <c r="B19" s="3750"/>
      <c r="C19" s="3750">
        <v>1924.81</v>
      </c>
      <c r="D19" s="3750" t="s">
        <v>3440</v>
      </c>
      <c r="O19" s="3744"/>
      <c r="P19" s="3739" t="s">
        <v>3465</v>
      </c>
      <c r="Q19" s="3738">
        <v>54.2</v>
      </c>
      <c r="R19" s="3738" t="s">
        <v>3428</v>
      </c>
    </row>
    <row r="20" spans="1:18">
      <c r="A20" s="3750" t="s">
        <v>3466</v>
      </c>
      <c r="B20" s="3750"/>
      <c r="C20" s="3750">
        <v>1924.81</v>
      </c>
      <c r="D20" s="3750" t="s">
        <v>3440</v>
      </c>
      <c r="O20" s="3744"/>
      <c r="P20" s="3739" t="s">
        <v>3467</v>
      </c>
      <c r="Q20" s="3738">
        <v>51.23</v>
      </c>
      <c r="R20" s="3738" t="s">
        <v>3428</v>
      </c>
    </row>
    <row r="21" spans="1:18">
      <c r="A21" s="3750" t="s">
        <v>3468</v>
      </c>
      <c r="B21" s="3750"/>
      <c r="C21" s="3750">
        <v>1711.05</v>
      </c>
      <c r="D21" s="3750"/>
      <c r="O21" s="3744"/>
      <c r="P21" s="3739" t="s">
        <v>3469</v>
      </c>
      <c r="Q21" s="3738">
        <v>51.23</v>
      </c>
      <c r="R21" s="3738" t="s">
        <v>3428</v>
      </c>
    </row>
    <row r="22" spans="1:18">
      <c r="A22" s="3750" t="s">
        <v>3470</v>
      </c>
      <c r="B22" s="3750"/>
      <c r="C22" s="3750">
        <v>1230.06</v>
      </c>
      <c r="D22" s="3750" t="s">
        <v>3440</v>
      </c>
      <c r="H22" s="3734" t="s">
        <v>3699</v>
      </c>
      <c r="O22" s="3744"/>
      <c r="P22" s="3739" t="s">
        <v>3471</v>
      </c>
      <c r="Q22" s="3738">
        <v>39.549999999999997</v>
      </c>
      <c r="R22" s="3738" t="s">
        <v>3428</v>
      </c>
    </row>
    <row r="23" spans="1:18">
      <c r="A23" s="3750" t="s">
        <v>3472</v>
      </c>
      <c r="B23" s="3750"/>
      <c r="C23" s="3750">
        <v>1924.81</v>
      </c>
      <c r="D23" s="3750" t="s">
        <v>3440</v>
      </c>
      <c r="O23" s="3744"/>
      <c r="P23" s="3739" t="s">
        <v>3473</v>
      </c>
      <c r="Q23" s="3738">
        <v>272.52</v>
      </c>
      <c r="R23" s="3738" t="s">
        <v>3428</v>
      </c>
    </row>
    <row r="24" spans="1:18">
      <c r="A24" s="3750" t="s">
        <v>3474</v>
      </c>
      <c r="B24" s="3750"/>
      <c r="C24" s="3750">
        <v>1924.81</v>
      </c>
      <c r="D24" s="3750" t="s">
        <v>3440</v>
      </c>
      <c r="O24" s="3744"/>
      <c r="P24" s="3739" t="s">
        <v>3475</v>
      </c>
      <c r="Q24" s="3738">
        <v>41.84</v>
      </c>
      <c r="R24" s="3738" t="s">
        <v>3428</v>
      </c>
    </row>
    <row r="25" spans="1:18">
      <c r="A25" s="3750" t="s">
        <v>3476</v>
      </c>
      <c r="B25" s="3750"/>
      <c r="C25" s="3750">
        <v>1924.81</v>
      </c>
      <c r="D25" s="3750" t="s">
        <v>3440</v>
      </c>
      <c r="G25" s="3760" t="s">
        <v>3700</v>
      </c>
      <c r="H25" s="3760" t="s">
        <v>3701</v>
      </c>
      <c r="I25" s="3760" t="s">
        <v>3702</v>
      </c>
      <c r="J25" s="3759" t="s">
        <v>3408</v>
      </c>
      <c r="K25" s="3732"/>
      <c r="L25" s="3733"/>
      <c r="O25" s="3744"/>
      <c r="P25" s="3739" t="s">
        <v>3477</v>
      </c>
      <c r="Q25" s="3738">
        <v>54.2</v>
      </c>
      <c r="R25" s="3738" t="s">
        <v>3428</v>
      </c>
    </row>
    <row r="26" spans="1:18">
      <c r="A26" s="3750" t="s">
        <v>3478</v>
      </c>
      <c r="B26" s="3750"/>
      <c r="C26" s="3750">
        <v>1924.81</v>
      </c>
      <c r="D26" s="3750" t="s">
        <v>3440</v>
      </c>
      <c r="G26" s="3761"/>
      <c r="H26" s="3761"/>
      <c r="I26" s="3761"/>
      <c r="J26" s="3738" t="s">
        <v>37</v>
      </c>
      <c r="K26" s="3738" t="s">
        <v>3068</v>
      </c>
      <c r="L26" s="3738" t="s">
        <v>3069</v>
      </c>
      <c r="O26" s="3744"/>
      <c r="P26" s="3739" t="s">
        <v>3479</v>
      </c>
      <c r="Q26" s="3738">
        <v>163.28</v>
      </c>
      <c r="R26" s="3738" t="s">
        <v>3428</v>
      </c>
    </row>
    <row r="27" spans="1:18">
      <c r="A27" s="3750" t="s">
        <v>3480</v>
      </c>
      <c r="B27" s="3750"/>
      <c r="C27" s="3750">
        <v>1924.81</v>
      </c>
      <c r="D27" s="3750" t="s">
        <v>3440</v>
      </c>
      <c r="G27" s="3738" t="s">
        <v>3705</v>
      </c>
      <c r="H27" s="3738" t="s">
        <v>27</v>
      </c>
      <c r="I27" s="3738">
        <v>11388.56</v>
      </c>
      <c r="J27" s="3738">
        <v>61545.99</v>
      </c>
      <c r="K27" s="3738">
        <v>61545.99</v>
      </c>
      <c r="L27" s="3738"/>
      <c r="O27" s="3754"/>
      <c r="P27" s="3749" t="s">
        <v>3458</v>
      </c>
      <c r="Q27" s="3749">
        <f>SUM(Q17:Q26)</f>
        <v>1189.29</v>
      </c>
      <c r="R27" s="3749"/>
    </row>
    <row r="28" spans="1:18">
      <c r="A28" s="3750" t="s">
        <v>3481</v>
      </c>
      <c r="B28" s="3750"/>
      <c r="C28" s="3750">
        <v>1924.81</v>
      </c>
      <c r="D28" s="3750" t="s">
        <v>3482</v>
      </c>
      <c r="G28" s="3738" t="s">
        <v>3705</v>
      </c>
      <c r="H28" s="3738" t="s">
        <v>1377</v>
      </c>
      <c r="I28" s="3738">
        <v>1687.46</v>
      </c>
      <c r="J28" s="3738">
        <v>9119.369999999999</v>
      </c>
      <c r="K28" s="3738">
        <v>5197.49</v>
      </c>
      <c r="L28" s="3738">
        <v>3921.88</v>
      </c>
      <c r="O28" s="3742" t="s">
        <v>3483</v>
      </c>
      <c r="P28" s="3739" t="s">
        <v>3484</v>
      </c>
      <c r="Q28" s="3738">
        <v>3921.88</v>
      </c>
      <c r="R28" s="3738" t="s">
        <v>3485</v>
      </c>
    </row>
    <row r="29" spans="1:18">
      <c r="A29" s="3750" t="s">
        <v>3486</v>
      </c>
      <c r="B29" s="3750"/>
      <c r="C29" s="3750">
        <v>1924.81</v>
      </c>
      <c r="D29" s="3750" t="s">
        <v>3482</v>
      </c>
      <c r="G29" s="3738" t="s">
        <v>3705</v>
      </c>
      <c r="H29" s="3738" t="s">
        <v>3070</v>
      </c>
      <c r="I29" s="3738">
        <v>443.52</v>
      </c>
      <c r="J29" s="3738">
        <v>2396.8900000000003</v>
      </c>
      <c r="K29" s="3738"/>
      <c r="L29" s="3738">
        <v>2396.8900000000003</v>
      </c>
      <c r="O29" s="3754"/>
      <c r="P29" s="3749" t="s">
        <v>3487</v>
      </c>
      <c r="Q29" s="3749">
        <f>SUM(Q28)</f>
        <v>3921.88</v>
      </c>
      <c r="R29" s="3749"/>
    </row>
    <row r="30" spans="1:18">
      <c r="A30" s="3750" t="s">
        <v>3488</v>
      </c>
      <c r="B30" s="3750"/>
      <c r="C30" s="3750">
        <v>1924.81</v>
      </c>
      <c r="D30" s="3750" t="s">
        <v>3440</v>
      </c>
      <c r="G30" s="3738"/>
      <c r="H30" s="3738" t="s">
        <v>40</v>
      </c>
      <c r="I30" s="3738">
        <v>13519.54</v>
      </c>
      <c r="J30" s="3738">
        <v>73062.25</v>
      </c>
      <c r="K30" s="3738">
        <v>66743.48</v>
      </c>
      <c r="L30" s="3738">
        <v>6318.77</v>
      </c>
      <c r="O30" s="3742" t="s">
        <v>3437</v>
      </c>
      <c r="P30" s="3739" t="s">
        <v>3489</v>
      </c>
      <c r="Q30" s="3738">
        <v>308.73</v>
      </c>
      <c r="R30" s="3738" t="s">
        <v>3438</v>
      </c>
    </row>
    <row r="31" spans="1:18">
      <c r="A31" s="3750" t="s">
        <v>3490</v>
      </c>
      <c r="B31" s="3750"/>
      <c r="C31" s="3750">
        <v>1924.81</v>
      </c>
      <c r="D31" s="3750" t="s">
        <v>3440</v>
      </c>
      <c r="G31" s="3738" t="s">
        <v>3703</v>
      </c>
      <c r="H31" s="3738" t="s">
        <v>3704</v>
      </c>
      <c r="I31" s="3738">
        <v>1249.58</v>
      </c>
      <c r="J31" s="3738">
        <v>6752.99</v>
      </c>
      <c r="K31" s="3738">
        <v>4128.0599999999995</v>
      </c>
      <c r="L31" s="3738">
        <v>2624.9300000000003</v>
      </c>
      <c r="O31" s="3744"/>
      <c r="P31" s="3739" t="s">
        <v>3491</v>
      </c>
      <c r="Q31" s="3755">
        <v>124.31</v>
      </c>
      <c r="R31" s="3738" t="s">
        <v>3438</v>
      </c>
    </row>
    <row r="32" spans="1:18">
      <c r="A32" s="3750" t="s">
        <v>3492</v>
      </c>
      <c r="B32" s="3750"/>
      <c r="C32" s="3750">
        <v>1924.81</v>
      </c>
      <c r="D32" s="3750" t="s">
        <v>3440</v>
      </c>
      <c r="G32" s="3738"/>
      <c r="H32" s="3738" t="s">
        <v>40</v>
      </c>
      <c r="I32" s="3738">
        <v>1249.58</v>
      </c>
      <c r="J32" s="3738">
        <v>6752.99</v>
      </c>
      <c r="K32" s="3738">
        <v>4128.0599999999995</v>
      </c>
      <c r="L32" s="3738">
        <v>2624.9300000000003</v>
      </c>
      <c r="O32" s="3744"/>
      <c r="P32" s="3739" t="s">
        <v>3493</v>
      </c>
      <c r="Q32" s="3738">
        <v>175.31</v>
      </c>
      <c r="R32" s="3738" t="s">
        <v>3438</v>
      </c>
    </row>
    <row r="33" spans="1:18">
      <c r="A33" s="3750" t="s">
        <v>3494</v>
      </c>
      <c r="B33" s="3750"/>
      <c r="C33" s="3750">
        <v>1701.47</v>
      </c>
      <c r="D33" s="3750"/>
      <c r="G33" s="3759" t="s">
        <v>3706</v>
      </c>
      <c r="H33" s="3733"/>
      <c r="I33" s="3738">
        <v>14769.12</v>
      </c>
      <c r="J33" s="3738">
        <v>79815.240000000005</v>
      </c>
      <c r="K33" s="3738">
        <v>70871.539999999994</v>
      </c>
      <c r="L33" s="3738">
        <v>8943.7000000000007</v>
      </c>
      <c r="O33" s="3744"/>
      <c r="P33" s="3739" t="s">
        <v>3495</v>
      </c>
      <c r="Q33" s="3738">
        <v>182.72</v>
      </c>
      <c r="R33" s="3738" t="s">
        <v>3438</v>
      </c>
    </row>
    <row r="34" spans="1:18">
      <c r="A34" s="3750" t="s">
        <v>3496</v>
      </c>
      <c r="B34" s="3750"/>
      <c r="C34" s="3750">
        <v>1925.46</v>
      </c>
      <c r="D34" s="3750" t="s">
        <v>3440</v>
      </c>
      <c r="O34" s="3744"/>
      <c r="P34" s="3739" t="s">
        <v>3497</v>
      </c>
      <c r="Q34" s="3738">
        <v>114.31</v>
      </c>
      <c r="R34" s="3738" t="s">
        <v>3438</v>
      </c>
    </row>
    <row r="35" spans="1:18">
      <c r="A35" s="3750" t="s">
        <v>3498</v>
      </c>
      <c r="B35" s="3750"/>
      <c r="C35" s="3750">
        <v>1925.46</v>
      </c>
      <c r="D35" s="3750" t="s">
        <v>3440</v>
      </c>
      <c r="O35" s="3744"/>
      <c r="P35" s="3739" t="s">
        <v>3499</v>
      </c>
      <c r="Q35" s="3738">
        <v>269.79000000000002</v>
      </c>
      <c r="R35" s="3738" t="s">
        <v>3438</v>
      </c>
    </row>
    <row r="36" spans="1:18">
      <c r="A36" s="3750" t="s">
        <v>3500</v>
      </c>
      <c r="B36" s="3750"/>
      <c r="C36" s="3750">
        <v>1925.46</v>
      </c>
      <c r="D36" s="3750" t="s">
        <v>3440</v>
      </c>
      <c r="O36" s="3754"/>
      <c r="P36" s="3749" t="s">
        <v>3458</v>
      </c>
      <c r="Q36" s="3749">
        <f>SUM(Q30:Q35)</f>
        <v>1175.17</v>
      </c>
      <c r="R36" s="3749"/>
    </row>
    <row r="37" spans="1:18">
      <c r="A37" s="3750" t="s">
        <v>3501</v>
      </c>
      <c r="B37" s="3750"/>
      <c r="C37" s="3750">
        <v>1925.46</v>
      </c>
      <c r="D37" s="3750" t="s">
        <v>3440</v>
      </c>
      <c r="O37" s="3742" t="s">
        <v>3502</v>
      </c>
      <c r="P37" s="3739" t="s">
        <v>3503</v>
      </c>
      <c r="Q37" s="3738">
        <v>506.6</v>
      </c>
      <c r="R37" s="3738" t="s">
        <v>3440</v>
      </c>
    </row>
    <row r="38" spans="1:18">
      <c r="A38" s="3750" t="s">
        <v>3504</v>
      </c>
      <c r="B38" s="3750"/>
      <c r="C38" s="3750">
        <v>1925.46</v>
      </c>
      <c r="D38" s="3750" t="s">
        <v>3440</v>
      </c>
      <c r="O38" s="3744"/>
      <c r="P38" s="3739" t="s">
        <v>3505</v>
      </c>
      <c r="Q38" s="3738">
        <v>493.23</v>
      </c>
      <c r="R38" s="3738" t="s">
        <v>3440</v>
      </c>
    </row>
    <row r="39" spans="1:18">
      <c r="A39" s="3750" t="s">
        <v>3506</v>
      </c>
      <c r="B39" s="3750"/>
      <c r="C39" s="3750">
        <v>1925.46</v>
      </c>
      <c r="D39" s="3750" t="s">
        <v>3440</v>
      </c>
      <c r="O39" s="3754"/>
      <c r="P39" s="3749" t="s">
        <v>3458</v>
      </c>
      <c r="Q39" s="3749">
        <f>SUM(Q37:Q38)</f>
        <v>999.83</v>
      </c>
      <c r="R39" s="3749"/>
    </row>
    <row r="40" spans="1:18">
      <c r="A40" s="3750" t="s">
        <v>3507</v>
      </c>
      <c r="B40" s="3750"/>
      <c r="C40" s="3750">
        <v>1925.46</v>
      </c>
      <c r="D40" s="3750" t="s">
        <v>3440</v>
      </c>
      <c r="O40" s="3742" t="s">
        <v>3508</v>
      </c>
      <c r="P40" s="3739" t="s">
        <v>3509</v>
      </c>
      <c r="Q40" s="3738">
        <v>148.62</v>
      </c>
      <c r="R40" s="3738" t="s">
        <v>3440</v>
      </c>
    </row>
    <row r="41" spans="1:18">
      <c r="A41" s="3750" t="s">
        <v>3510</v>
      </c>
      <c r="B41" s="3750"/>
      <c r="C41" s="3750">
        <v>1925.46</v>
      </c>
      <c r="D41" s="3750" t="s">
        <v>3440</v>
      </c>
      <c r="O41" s="3744"/>
      <c r="P41" s="3739" t="s">
        <v>3511</v>
      </c>
      <c r="Q41" s="3738">
        <v>80.959999999999994</v>
      </c>
      <c r="R41" s="3738" t="s">
        <v>3440</v>
      </c>
    </row>
    <row r="42" spans="1:18">
      <c r="A42" s="3750" t="s">
        <v>3512</v>
      </c>
      <c r="B42" s="3750"/>
      <c r="C42" s="3750">
        <v>1925.46</v>
      </c>
      <c r="D42" s="3750" t="s">
        <v>3440</v>
      </c>
      <c r="O42" s="3744"/>
      <c r="P42" s="3739" t="s">
        <v>3513</v>
      </c>
      <c r="Q42" s="3738">
        <v>183.48</v>
      </c>
      <c r="R42" s="3738" t="s">
        <v>3440</v>
      </c>
    </row>
    <row r="43" spans="1:18">
      <c r="A43" s="3750" t="s">
        <v>3514</v>
      </c>
      <c r="B43" s="3750"/>
      <c r="C43" s="3750">
        <v>1925.46</v>
      </c>
      <c r="D43" s="3750" t="s">
        <v>3440</v>
      </c>
      <c r="O43" s="3744"/>
      <c r="P43" s="3739" t="s">
        <v>3515</v>
      </c>
      <c r="Q43" s="3738">
        <v>292.17</v>
      </c>
      <c r="R43" s="3738" t="s">
        <v>3440</v>
      </c>
    </row>
    <row r="44" spans="1:18">
      <c r="A44" s="3745" t="s">
        <v>3405</v>
      </c>
      <c r="B44" s="3745"/>
      <c r="C44" s="3745">
        <v>1691.88</v>
      </c>
      <c r="D44" s="3745" t="s">
        <v>3431</v>
      </c>
      <c r="O44" s="3744"/>
      <c r="P44" s="3739" t="s">
        <v>3516</v>
      </c>
      <c r="Q44" s="3738">
        <v>183.48</v>
      </c>
      <c r="R44" s="3738" t="s">
        <v>3440</v>
      </c>
    </row>
    <row r="45" spans="1:18">
      <c r="A45" s="3745" t="s">
        <v>3517</v>
      </c>
      <c r="B45" s="3745"/>
      <c r="C45" s="3745">
        <v>1902.01</v>
      </c>
      <c r="D45" s="3745" t="s">
        <v>3431</v>
      </c>
      <c r="O45" s="3744"/>
      <c r="P45" s="3739" t="s">
        <v>3518</v>
      </c>
      <c r="Q45" s="3738">
        <v>148.62</v>
      </c>
      <c r="R45" s="3738" t="s">
        <v>3440</v>
      </c>
    </row>
    <row r="46" spans="1:18">
      <c r="A46" s="3745" t="s">
        <v>3519</v>
      </c>
      <c r="B46" s="3745"/>
      <c r="C46" s="3745">
        <v>1074.23</v>
      </c>
      <c r="D46" s="3745"/>
      <c r="O46" s="3744"/>
      <c r="P46" s="3739" t="s">
        <v>3520</v>
      </c>
      <c r="Q46" s="3738">
        <v>78.489999999999995</v>
      </c>
      <c r="R46" s="3738" t="s">
        <v>3440</v>
      </c>
    </row>
    <row r="47" spans="1:18">
      <c r="A47" s="3745" t="s">
        <v>3521</v>
      </c>
      <c r="B47" s="3745"/>
      <c r="C47" s="3745">
        <v>346.08</v>
      </c>
      <c r="D47" s="3745"/>
      <c r="O47" s="3744"/>
      <c r="P47" s="3739" t="s">
        <v>3522</v>
      </c>
      <c r="Q47" s="3738">
        <v>183.48</v>
      </c>
      <c r="R47" s="3738" t="s">
        <v>3440</v>
      </c>
    </row>
    <row r="48" spans="1:18">
      <c r="A48" s="3745" t="s">
        <v>3523</v>
      </c>
      <c r="B48" s="3745"/>
      <c r="C48" s="3745">
        <v>157.76</v>
      </c>
      <c r="D48" s="3745"/>
      <c r="O48" s="3744"/>
      <c r="P48" s="3739" t="s">
        <v>3524</v>
      </c>
      <c r="Q48" s="3738">
        <v>292.17</v>
      </c>
      <c r="R48" s="3738" t="s">
        <v>3440</v>
      </c>
    </row>
    <row r="49" spans="1:18">
      <c r="A49" s="3740" t="s">
        <v>3407</v>
      </c>
      <c r="B49" s="3738"/>
      <c r="C49" s="3738">
        <f>SUM(C3:C48)</f>
        <v>79815.27</v>
      </c>
      <c r="D49" s="3738"/>
      <c r="O49" s="3744"/>
      <c r="P49" s="3739" t="s">
        <v>3525</v>
      </c>
      <c r="Q49" s="3738">
        <v>183.48</v>
      </c>
      <c r="R49" s="3738" t="s">
        <v>3440</v>
      </c>
    </row>
    <row r="50" spans="1:18">
      <c r="O50" s="3754"/>
      <c r="P50" s="3749" t="s">
        <v>3458</v>
      </c>
      <c r="Q50" s="3749">
        <f>SUM(Q40:Q49)</f>
        <v>1774.95</v>
      </c>
      <c r="R50" s="3749"/>
    </row>
    <row r="51" spans="1:18">
      <c r="A51" s="3751" t="s">
        <v>3441</v>
      </c>
      <c r="B51" s="3751"/>
      <c r="C51" s="3751"/>
      <c r="D51" s="3751"/>
      <c r="O51" s="3742" t="s">
        <v>3526</v>
      </c>
      <c r="P51" s="3739" t="s">
        <v>3527</v>
      </c>
      <c r="Q51" s="3738">
        <v>148.62</v>
      </c>
      <c r="R51" s="3738" t="s">
        <v>3440</v>
      </c>
    </row>
    <row r="52" spans="1:18">
      <c r="A52" s="3740" t="s">
        <v>3438</v>
      </c>
      <c r="B52" s="3738"/>
      <c r="C52" s="3738">
        <f>C9</f>
        <v>2044.76</v>
      </c>
      <c r="D52" s="3738"/>
      <c r="O52" s="3744"/>
      <c r="P52" s="3739" t="s">
        <v>3528</v>
      </c>
      <c r="Q52" s="3738">
        <v>80.959999999999994</v>
      </c>
      <c r="R52" s="3738" t="s">
        <v>3440</v>
      </c>
    </row>
    <row r="53" spans="1:18">
      <c r="A53" s="3740" t="s">
        <v>3431</v>
      </c>
      <c r="B53" s="3738"/>
      <c r="C53" s="3738">
        <f>C6++C44+C45</f>
        <v>6701.85</v>
      </c>
      <c r="D53" s="3738"/>
      <c r="O53" s="3744"/>
      <c r="P53" s="3739" t="s">
        <v>3529</v>
      </c>
      <c r="Q53" s="3738">
        <v>183.48</v>
      </c>
      <c r="R53" s="3738" t="s">
        <v>3440</v>
      </c>
    </row>
    <row r="54" spans="1:18">
      <c r="A54" s="3741" t="s">
        <v>3440</v>
      </c>
      <c r="B54" s="3738"/>
      <c r="C54" s="3738">
        <f>SUM(C10:C43)</f>
        <v>63654.809999999983</v>
      </c>
      <c r="D54" s="3738"/>
      <c r="O54" s="3744"/>
      <c r="P54" s="3739" t="s">
        <v>3530</v>
      </c>
      <c r="Q54" s="3738">
        <v>292.17</v>
      </c>
      <c r="R54" s="3738" t="s">
        <v>3440</v>
      </c>
    </row>
    <row r="55" spans="1:18">
      <c r="A55" s="3741" t="s">
        <v>3428</v>
      </c>
      <c r="B55" s="3738"/>
      <c r="C55" s="3738">
        <f>C3+C4+C5</f>
        <v>4824.8</v>
      </c>
      <c r="D55" s="3738"/>
      <c r="O55" s="3744"/>
      <c r="P55" s="3739" t="s">
        <v>3531</v>
      </c>
      <c r="Q55" s="3738">
        <v>183.48</v>
      </c>
      <c r="R55" s="3738" t="s">
        <v>3440</v>
      </c>
    </row>
    <row r="56" spans="1:18">
      <c r="A56" s="3740" t="s">
        <v>3407</v>
      </c>
      <c r="B56" s="3753"/>
      <c r="C56" s="3738">
        <f>C55+C54+C53+C52</f>
        <v>77226.219999999987</v>
      </c>
      <c r="D56" s="3753"/>
      <c r="O56" s="3744"/>
      <c r="P56" s="3739" t="s">
        <v>3532</v>
      </c>
      <c r="Q56" s="3738">
        <v>148.62</v>
      </c>
      <c r="R56" s="3738" t="s">
        <v>3440</v>
      </c>
    </row>
    <row r="57" spans="1:18">
      <c r="O57" s="3744"/>
      <c r="P57" s="3739" t="s">
        <v>3533</v>
      </c>
      <c r="Q57" s="3738">
        <v>78.489999999999995</v>
      </c>
      <c r="R57" s="3738" t="s">
        <v>3440</v>
      </c>
    </row>
    <row r="58" spans="1:18">
      <c r="O58" s="3744"/>
      <c r="P58" s="3739" t="s">
        <v>3534</v>
      </c>
      <c r="Q58" s="3738">
        <v>183.48</v>
      </c>
      <c r="R58" s="3738" t="s">
        <v>3440</v>
      </c>
    </row>
    <row r="59" spans="1:18">
      <c r="O59" s="3744"/>
      <c r="P59" s="3739" t="s">
        <v>3535</v>
      </c>
      <c r="Q59" s="3738">
        <v>292.17</v>
      </c>
      <c r="R59" s="3738" t="s">
        <v>3440</v>
      </c>
    </row>
    <row r="60" spans="1:18">
      <c r="O60" s="3744"/>
      <c r="P60" s="3739" t="s">
        <v>3536</v>
      </c>
      <c r="Q60" s="3738">
        <v>183.48</v>
      </c>
      <c r="R60" s="3738" t="s">
        <v>3440</v>
      </c>
    </row>
    <row r="61" spans="1:18">
      <c r="O61" s="3754"/>
      <c r="P61" s="3749" t="s">
        <v>3458</v>
      </c>
      <c r="Q61" s="3749">
        <f>SUM(Q51:Q60)</f>
        <v>1774.95</v>
      </c>
      <c r="R61" s="3749"/>
    </row>
    <row r="62" spans="1:18">
      <c r="O62" s="3742" t="s">
        <v>3537</v>
      </c>
      <c r="P62" s="3739" t="s">
        <v>3538</v>
      </c>
      <c r="Q62" s="3738">
        <v>149.80000000000001</v>
      </c>
      <c r="R62" s="3738" t="s">
        <v>3440</v>
      </c>
    </row>
    <row r="63" spans="1:18">
      <c r="O63" s="3744"/>
      <c r="P63" s="3739" t="s">
        <v>3539</v>
      </c>
      <c r="Q63" s="3738">
        <v>81.239999999999995</v>
      </c>
      <c r="R63" s="3738" t="s">
        <v>3440</v>
      </c>
    </row>
    <row r="64" spans="1:18">
      <c r="O64" s="3744"/>
      <c r="P64" s="3739" t="s">
        <v>3540</v>
      </c>
      <c r="Q64" s="3738">
        <v>185.31</v>
      </c>
      <c r="R64" s="3738" t="s">
        <v>3440</v>
      </c>
    </row>
    <row r="65" spans="15:18">
      <c r="O65" s="3744"/>
      <c r="P65" s="3739" t="s">
        <v>3541</v>
      </c>
      <c r="Q65" s="3738">
        <v>295.45</v>
      </c>
      <c r="R65" s="3738" t="s">
        <v>3440</v>
      </c>
    </row>
    <row r="66" spans="15:18">
      <c r="O66" s="3744"/>
      <c r="P66" s="3739" t="s">
        <v>3542</v>
      </c>
      <c r="Q66" s="3738">
        <v>185.31</v>
      </c>
      <c r="R66" s="3738" t="s">
        <v>3440</v>
      </c>
    </row>
    <row r="67" spans="15:18">
      <c r="O67" s="3744"/>
      <c r="P67" s="3739" t="s">
        <v>3543</v>
      </c>
      <c r="Q67" s="3738">
        <v>149.80000000000001</v>
      </c>
      <c r="R67" s="3738" t="s">
        <v>3440</v>
      </c>
    </row>
    <row r="68" spans="15:18">
      <c r="O68" s="3744"/>
      <c r="P68" s="3739" t="s">
        <v>3544</v>
      </c>
      <c r="Q68" s="3738">
        <v>78.53</v>
      </c>
      <c r="R68" s="3738" t="s">
        <v>3440</v>
      </c>
    </row>
    <row r="69" spans="15:18">
      <c r="O69" s="3744"/>
      <c r="P69" s="3739" t="s">
        <v>3545</v>
      </c>
      <c r="Q69" s="3738">
        <v>185.31</v>
      </c>
      <c r="R69" s="3738" t="s">
        <v>3440</v>
      </c>
    </row>
    <row r="70" spans="15:18">
      <c r="O70" s="3744"/>
      <c r="P70" s="3739" t="s">
        <v>3546</v>
      </c>
      <c r="Q70" s="3738">
        <v>295.45</v>
      </c>
      <c r="R70" s="3738" t="s">
        <v>3440</v>
      </c>
    </row>
    <row r="71" spans="15:18">
      <c r="O71" s="3744"/>
      <c r="P71" s="3739" t="s">
        <v>3547</v>
      </c>
      <c r="Q71" s="3738">
        <v>185.31</v>
      </c>
      <c r="R71" s="3738" t="s">
        <v>3440</v>
      </c>
    </row>
    <row r="72" spans="15:18">
      <c r="O72" s="3754"/>
      <c r="P72" s="3749" t="s">
        <v>3458</v>
      </c>
      <c r="Q72" s="3749">
        <f>SUM(Q62:Q71)</f>
        <v>1791.5099999999998</v>
      </c>
      <c r="R72" s="3749"/>
    </row>
    <row r="73" spans="15:18">
      <c r="O73" s="3742" t="s">
        <v>3548</v>
      </c>
      <c r="P73" s="3739" t="s">
        <v>3549</v>
      </c>
      <c r="Q73" s="3738">
        <v>149.80000000000001</v>
      </c>
      <c r="R73" s="3738" t="s">
        <v>3440</v>
      </c>
    </row>
    <row r="74" spans="15:18">
      <c r="O74" s="3744"/>
      <c r="P74" s="3739" t="s">
        <v>3550</v>
      </c>
      <c r="Q74" s="3738">
        <v>81.239999999999995</v>
      </c>
      <c r="R74" s="3738" t="s">
        <v>3440</v>
      </c>
    </row>
    <row r="75" spans="15:18">
      <c r="O75" s="3744"/>
      <c r="P75" s="3739" t="s">
        <v>3551</v>
      </c>
      <c r="Q75" s="3738">
        <v>185.31</v>
      </c>
      <c r="R75" s="3738" t="s">
        <v>3440</v>
      </c>
    </row>
    <row r="76" spans="15:18">
      <c r="O76" s="3744"/>
      <c r="P76" s="3739" t="s">
        <v>3552</v>
      </c>
      <c r="Q76" s="3738">
        <v>295.45</v>
      </c>
      <c r="R76" s="3738" t="s">
        <v>3440</v>
      </c>
    </row>
    <row r="77" spans="15:18">
      <c r="O77" s="3744"/>
      <c r="P77" s="3739" t="s">
        <v>3553</v>
      </c>
      <c r="Q77" s="3738">
        <v>185.31</v>
      </c>
      <c r="R77" s="3738" t="s">
        <v>3440</v>
      </c>
    </row>
    <row r="78" spans="15:18">
      <c r="O78" s="3744"/>
      <c r="P78" s="3739" t="s">
        <v>3554</v>
      </c>
      <c r="Q78" s="3738">
        <v>149.80000000000001</v>
      </c>
      <c r="R78" s="3738" t="s">
        <v>3440</v>
      </c>
    </row>
    <row r="79" spans="15:18">
      <c r="O79" s="3744"/>
      <c r="P79" s="3739" t="s">
        <v>3555</v>
      </c>
      <c r="Q79" s="3738">
        <v>78.53</v>
      </c>
      <c r="R79" s="3738" t="s">
        <v>3440</v>
      </c>
    </row>
    <row r="80" spans="15:18">
      <c r="O80" s="3744"/>
      <c r="P80" s="3739" t="s">
        <v>3556</v>
      </c>
      <c r="Q80" s="3738">
        <v>185.31</v>
      </c>
      <c r="R80" s="3738" t="s">
        <v>3440</v>
      </c>
    </row>
    <row r="81" spans="15:18">
      <c r="O81" s="3744"/>
      <c r="P81" s="3739" t="s">
        <v>3557</v>
      </c>
      <c r="Q81" s="3738">
        <v>295.45</v>
      </c>
      <c r="R81" s="3738" t="s">
        <v>3440</v>
      </c>
    </row>
    <row r="82" spans="15:18">
      <c r="O82" s="3744"/>
      <c r="P82" s="3739" t="s">
        <v>3558</v>
      </c>
      <c r="Q82" s="3738">
        <v>185.31</v>
      </c>
      <c r="R82" s="3738" t="s">
        <v>3440</v>
      </c>
    </row>
    <row r="83" spans="15:18">
      <c r="O83" s="3754"/>
      <c r="P83" s="3749" t="s">
        <v>3458</v>
      </c>
      <c r="Q83" s="3749">
        <f>SUM(Q73:Q82)</f>
        <v>1791.5099999999998</v>
      </c>
      <c r="R83" s="3749"/>
    </row>
    <row r="84" spans="15:18">
      <c r="O84" s="3742" t="s">
        <v>3559</v>
      </c>
      <c r="P84" s="3739" t="s">
        <v>3560</v>
      </c>
      <c r="Q84" s="3738">
        <v>149.80000000000001</v>
      </c>
      <c r="R84" s="3738" t="s">
        <v>3440</v>
      </c>
    </row>
    <row r="85" spans="15:18">
      <c r="O85" s="3744"/>
      <c r="P85" s="3739" t="s">
        <v>3561</v>
      </c>
      <c r="Q85" s="3738">
        <v>81.239999999999995</v>
      </c>
      <c r="R85" s="3738" t="s">
        <v>3440</v>
      </c>
    </row>
    <row r="86" spans="15:18">
      <c r="O86" s="3744"/>
      <c r="P86" s="3739" t="s">
        <v>3562</v>
      </c>
      <c r="Q86" s="3738">
        <v>185.31</v>
      </c>
      <c r="R86" s="3738" t="s">
        <v>3440</v>
      </c>
    </row>
    <row r="87" spans="15:18">
      <c r="O87" s="3744"/>
      <c r="P87" s="3739" t="s">
        <v>3563</v>
      </c>
      <c r="Q87" s="3738">
        <v>295.45</v>
      </c>
      <c r="R87" s="3738" t="s">
        <v>3440</v>
      </c>
    </row>
    <row r="88" spans="15:18">
      <c r="O88" s="3744"/>
      <c r="P88" s="3739" t="s">
        <v>3564</v>
      </c>
      <c r="Q88" s="3738">
        <v>185.31</v>
      </c>
      <c r="R88" s="3738" t="s">
        <v>3440</v>
      </c>
    </row>
    <row r="89" spans="15:18">
      <c r="O89" s="3744"/>
      <c r="P89" s="3739" t="s">
        <v>3565</v>
      </c>
      <c r="Q89" s="3738">
        <v>149.80000000000001</v>
      </c>
      <c r="R89" s="3738" t="s">
        <v>3440</v>
      </c>
    </row>
    <row r="90" spans="15:18">
      <c r="O90" s="3744"/>
      <c r="P90" s="3739" t="s">
        <v>3566</v>
      </c>
      <c r="Q90" s="3738">
        <v>78.53</v>
      </c>
      <c r="R90" s="3738" t="s">
        <v>3440</v>
      </c>
    </row>
    <row r="91" spans="15:18">
      <c r="O91" s="3744"/>
      <c r="P91" s="3739" t="s">
        <v>3567</v>
      </c>
      <c r="Q91" s="3738">
        <v>185.31</v>
      </c>
      <c r="R91" s="3738" t="s">
        <v>3440</v>
      </c>
    </row>
    <row r="92" spans="15:18">
      <c r="O92" s="3744"/>
      <c r="P92" s="3739" t="s">
        <v>3568</v>
      </c>
      <c r="Q92" s="3738">
        <v>295.45</v>
      </c>
      <c r="R92" s="3738" t="s">
        <v>3440</v>
      </c>
    </row>
    <row r="93" spans="15:18">
      <c r="O93" s="3744"/>
      <c r="P93" s="3739" t="s">
        <v>3569</v>
      </c>
      <c r="Q93" s="3738">
        <v>185.31</v>
      </c>
      <c r="R93" s="3738" t="s">
        <v>3440</v>
      </c>
    </row>
    <row r="94" spans="15:18">
      <c r="O94" s="3754"/>
      <c r="P94" s="3749" t="s">
        <v>3458</v>
      </c>
      <c r="Q94" s="3749">
        <f>SUM(Q84:Q93)</f>
        <v>1791.5099999999998</v>
      </c>
      <c r="R94" s="3749"/>
    </row>
    <row r="95" spans="15:18">
      <c r="O95" s="3742" t="s">
        <v>3570</v>
      </c>
      <c r="P95" s="3739" t="s">
        <v>3571</v>
      </c>
      <c r="Q95" s="3738">
        <v>149.80000000000001</v>
      </c>
      <c r="R95" s="3738" t="s">
        <v>3440</v>
      </c>
    </row>
    <row r="96" spans="15:18">
      <c r="O96" s="3744"/>
      <c r="P96" s="3739" t="s">
        <v>3572</v>
      </c>
      <c r="Q96" s="3738">
        <v>81.239999999999995</v>
      </c>
      <c r="R96" s="3738" t="s">
        <v>3440</v>
      </c>
    </row>
    <row r="97" spans="15:18">
      <c r="O97" s="3744"/>
      <c r="P97" s="3739" t="s">
        <v>3573</v>
      </c>
      <c r="Q97" s="3738">
        <v>185.31</v>
      </c>
      <c r="R97" s="3738" t="s">
        <v>3440</v>
      </c>
    </row>
    <row r="98" spans="15:18">
      <c r="O98" s="3744"/>
      <c r="P98" s="3739" t="s">
        <v>3574</v>
      </c>
      <c r="Q98" s="3738">
        <v>295.45</v>
      </c>
      <c r="R98" s="3738" t="s">
        <v>3440</v>
      </c>
    </row>
    <row r="99" spans="15:18">
      <c r="O99" s="3744"/>
      <c r="P99" s="3739" t="s">
        <v>3575</v>
      </c>
      <c r="Q99" s="3738">
        <v>185.31</v>
      </c>
      <c r="R99" s="3738" t="s">
        <v>3440</v>
      </c>
    </row>
    <row r="100" spans="15:18">
      <c r="O100" s="3744"/>
      <c r="P100" s="3739" t="s">
        <v>3576</v>
      </c>
      <c r="Q100" s="3738">
        <v>149.80000000000001</v>
      </c>
      <c r="R100" s="3738" t="s">
        <v>3440</v>
      </c>
    </row>
    <row r="101" spans="15:18">
      <c r="O101" s="3744"/>
      <c r="P101" s="3739" t="s">
        <v>3577</v>
      </c>
      <c r="Q101" s="3738">
        <v>78.53</v>
      </c>
      <c r="R101" s="3738" t="s">
        <v>3440</v>
      </c>
    </row>
    <row r="102" spans="15:18">
      <c r="O102" s="3744"/>
      <c r="P102" s="3739" t="s">
        <v>3578</v>
      </c>
      <c r="Q102" s="3738">
        <v>185.31</v>
      </c>
      <c r="R102" s="3738" t="s">
        <v>3440</v>
      </c>
    </row>
    <row r="103" spans="15:18">
      <c r="O103" s="3744"/>
      <c r="P103" s="3739" t="s">
        <v>3579</v>
      </c>
      <c r="Q103" s="3738">
        <v>295.45</v>
      </c>
      <c r="R103" s="3738" t="s">
        <v>3440</v>
      </c>
    </row>
    <row r="104" spans="15:18">
      <c r="O104" s="3744"/>
      <c r="P104" s="3739" t="s">
        <v>3580</v>
      </c>
      <c r="Q104" s="3738">
        <v>185.31</v>
      </c>
      <c r="R104" s="3738" t="s">
        <v>3440</v>
      </c>
    </row>
    <row r="105" spans="15:18">
      <c r="O105" s="3754"/>
      <c r="P105" s="3749" t="s">
        <v>3458</v>
      </c>
      <c r="Q105" s="3749">
        <f>SUM(Q95:Q104)</f>
        <v>1791.5099999999998</v>
      </c>
      <c r="R105" s="3749"/>
    </row>
    <row r="106" spans="15:18">
      <c r="O106" s="3742" t="s">
        <v>3581</v>
      </c>
      <c r="P106" s="3739" t="s">
        <v>3582</v>
      </c>
      <c r="Q106" s="3738">
        <v>150.96</v>
      </c>
      <c r="R106" s="3738" t="s">
        <v>3440</v>
      </c>
    </row>
    <row r="107" spans="15:18">
      <c r="O107" s="3744"/>
      <c r="P107" s="3739" t="s">
        <v>3583</v>
      </c>
      <c r="Q107" s="3738">
        <v>81.48</v>
      </c>
      <c r="R107" s="3738" t="s">
        <v>3440</v>
      </c>
    </row>
    <row r="108" spans="15:18">
      <c r="O108" s="3744"/>
      <c r="P108" s="3739" t="s">
        <v>3584</v>
      </c>
      <c r="Q108" s="3738">
        <v>187.13</v>
      </c>
      <c r="R108" s="3738" t="s">
        <v>3440</v>
      </c>
    </row>
    <row r="109" spans="15:18">
      <c r="O109" s="3744"/>
      <c r="P109" s="3739" t="s">
        <v>3585</v>
      </c>
      <c r="Q109" s="3738">
        <v>298.73</v>
      </c>
      <c r="R109" s="3738" t="s">
        <v>3440</v>
      </c>
    </row>
    <row r="110" spans="15:18">
      <c r="O110" s="3744"/>
      <c r="P110" s="3739" t="s">
        <v>3586</v>
      </c>
      <c r="Q110" s="3738">
        <v>187.13</v>
      </c>
      <c r="R110" s="3738" t="s">
        <v>3440</v>
      </c>
    </row>
    <row r="111" spans="15:18">
      <c r="O111" s="3744"/>
      <c r="P111" s="3739" t="s">
        <v>3587</v>
      </c>
      <c r="Q111" s="3738">
        <v>150.96</v>
      </c>
      <c r="R111" s="3738" t="s">
        <v>3440</v>
      </c>
    </row>
    <row r="112" spans="15:18">
      <c r="O112" s="3744"/>
      <c r="P112" s="3739" t="s">
        <v>3588</v>
      </c>
      <c r="Q112" s="3738">
        <v>78.53</v>
      </c>
      <c r="R112" s="3738" t="s">
        <v>3440</v>
      </c>
    </row>
    <row r="113" spans="15:18">
      <c r="O113" s="3744"/>
      <c r="P113" s="3739" t="s">
        <v>3589</v>
      </c>
      <c r="Q113" s="3738">
        <v>187.13</v>
      </c>
      <c r="R113" s="3738" t="s">
        <v>3440</v>
      </c>
    </row>
    <row r="114" spans="15:18">
      <c r="O114" s="3744"/>
      <c r="P114" s="3739" t="s">
        <v>3590</v>
      </c>
      <c r="Q114" s="3738">
        <v>298.73</v>
      </c>
      <c r="R114" s="3738" t="s">
        <v>3440</v>
      </c>
    </row>
    <row r="115" spans="15:18">
      <c r="O115" s="3744"/>
      <c r="P115" s="3739" t="s">
        <v>3591</v>
      </c>
      <c r="Q115" s="3738">
        <v>187.13</v>
      </c>
      <c r="R115" s="3738" t="s">
        <v>3440</v>
      </c>
    </row>
    <row r="116" spans="15:18">
      <c r="O116" s="3754"/>
      <c r="P116" s="3749" t="s">
        <v>3458</v>
      </c>
      <c r="Q116" s="3749">
        <f>SUM(Q106:Q115)</f>
        <v>1807.9099999999999</v>
      </c>
      <c r="R116" s="3749"/>
    </row>
    <row r="117" spans="15:18">
      <c r="O117" s="3742" t="s">
        <v>3592</v>
      </c>
      <c r="P117" s="3739" t="s">
        <v>3593</v>
      </c>
      <c r="Q117" s="3738">
        <v>150.96</v>
      </c>
      <c r="R117" s="3738" t="s">
        <v>3440</v>
      </c>
    </row>
    <row r="118" spans="15:18">
      <c r="O118" s="3744"/>
      <c r="P118" s="3739" t="s">
        <v>3594</v>
      </c>
      <c r="Q118" s="3738">
        <v>81.48</v>
      </c>
      <c r="R118" s="3738" t="s">
        <v>3440</v>
      </c>
    </row>
    <row r="119" spans="15:18">
      <c r="O119" s="3744"/>
      <c r="P119" s="3739" t="s">
        <v>3595</v>
      </c>
      <c r="Q119" s="3738">
        <v>187.13</v>
      </c>
      <c r="R119" s="3738" t="s">
        <v>3440</v>
      </c>
    </row>
    <row r="120" spans="15:18">
      <c r="O120" s="3744"/>
      <c r="P120" s="3739" t="s">
        <v>3596</v>
      </c>
      <c r="Q120" s="3738">
        <v>298.73</v>
      </c>
      <c r="R120" s="3738" t="s">
        <v>3440</v>
      </c>
    </row>
    <row r="121" spans="15:18">
      <c r="O121" s="3744"/>
      <c r="P121" s="3739" t="s">
        <v>3597</v>
      </c>
      <c r="Q121" s="3738">
        <v>187.13</v>
      </c>
      <c r="R121" s="3738" t="s">
        <v>3440</v>
      </c>
    </row>
    <row r="122" spans="15:18">
      <c r="O122" s="3744"/>
      <c r="P122" s="3739" t="s">
        <v>3598</v>
      </c>
      <c r="Q122" s="3738">
        <v>150.96</v>
      </c>
      <c r="R122" s="3738" t="s">
        <v>3440</v>
      </c>
    </row>
    <row r="123" spans="15:18">
      <c r="O123" s="3744"/>
      <c r="P123" s="3739" t="s">
        <v>3599</v>
      </c>
      <c r="Q123" s="3738">
        <v>78.53</v>
      </c>
      <c r="R123" s="3738" t="s">
        <v>3440</v>
      </c>
    </row>
    <row r="124" spans="15:18">
      <c r="O124" s="3744"/>
      <c r="P124" s="3739" t="s">
        <v>3600</v>
      </c>
      <c r="Q124" s="3738">
        <v>187.13</v>
      </c>
      <c r="R124" s="3738" t="s">
        <v>3440</v>
      </c>
    </row>
    <row r="125" spans="15:18">
      <c r="O125" s="3744"/>
      <c r="P125" s="3739" t="s">
        <v>3601</v>
      </c>
      <c r="Q125" s="3738">
        <v>298.73</v>
      </c>
      <c r="R125" s="3738" t="s">
        <v>3440</v>
      </c>
    </row>
    <row r="126" spans="15:18">
      <c r="O126" s="3744"/>
      <c r="P126" s="3739" t="s">
        <v>3602</v>
      </c>
      <c r="Q126" s="3738">
        <v>187.13</v>
      </c>
      <c r="R126" s="3738" t="s">
        <v>3440</v>
      </c>
    </row>
    <row r="127" spans="15:18">
      <c r="O127" s="3754"/>
      <c r="P127" s="3749" t="s">
        <v>3458</v>
      </c>
      <c r="Q127" s="3749">
        <f>SUM(Q117:Q126)</f>
        <v>1807.9099999999999</v>
      </c>
      <c r="R127" s="3749"/>
    </row>
    <row r="128" spans="15:18">
      <c r="O128" s="3742" t="s">
        <v>3464</v>
      </c>
      <c r="P128" s="3739" t="s">
        <v>3603</v>
      </c>
      <c r="Q128" s="3738">
        <v>150.96</v>
      </c>
      <c r="R128" s="3738" t="s">
        <v>3440</v>
      </c>
    </row>
    <row r="129" spans="15:18">
      <c r="O129" s="3744"/>
      <c r="P129" s="3739" t="s">
        <v>3604</v>
      </c>
      <c r="Q129" s="3738">
        <v>81.48</v>
      </c>
      <c r="R129" s="3738" t="s">
        <v>3440</v>
      </c>
    </row>
    <row r="130" spans="15:18">
      <c r="O130" s="3744"/>
      <c r="P130" s="3739" t="s">
        <v>3605</v>
      </c>
      <c r="Q130" s="3738">
        <v>187.13</v>
      </c>
      <c r="R130" s="3738" t="s">
        <v>3440</v>
      </c>
    </row>
    <row r="131" spans="15:18">
      <c r="O131" s="3744"/>
      <c r="P131" s="3739" t="s">
        <v>3606</v>
      </c>
      <c r="Q131" s="3738">
        <v>298.73</v>
      </c>
      <c r="R131" s="3738" t="s">
        <v>3440</v>
      </c>
    </row>
    <row r="132" spans="15:18">
      <c r="O132" s="3744"/>
      <c r="P132" s="3739" t="s">
        <v>3607</v>
      </c>
      <c r="Q132" s="3738">
        <v>187.13</v>
      </c>
      <c r="R132" s="3738" t="s">
        <v>3440</v>
      </c>
    </row>
    <row r="133" spans="15:18">
      <c r="O133" s="3744"/>
      <c r="P133" s="3739" t="s">
        <v>3608</v>
      </c>
      <c r="Q133" s="3738">
        <v>150.96</v>
      </c>
      <c r="R133" s="3738" t="s">
        <v>3440</v>
      </c>
    </row>
    <row r="134" spans="15:18">
      <c r="O134" s="3744"/>
      <c r="P134" s="3739" t="s">
        <v>3609</v>
      </c>
      <c r="Q134" s="3738">
        <v>78.53</v>
      </c>
      <c r="R134" s="3738" t="s">
        <v>3440</v>
      </c>
    </row>
    <row r="135" spans="15:18">
      <c r="O135" s="3744"/>
      <c r="P135" s="3739" t="s">
        <v>3610</v>
      </c>
      <c r="Q135" s="3738">
        <v>187.13</v>
      </c>
      <c r="R135" s="3738" t="s">
        <v>3440</v>
      </c>
    </row>
    <row r="136" spans="15:18">
      <c r="O136" s="3744"/>
      <c r="P136" s="3739" t="s">
        <v>3611</v>
      </c>
      <c r="Q136" s="3738">
        <v>298.73</v>
      </c>
      <c r="R136" s="3738" t="s">
        <v>3440</v>
      </c>
    </row>
    <row r="137" spans="15:18">
      <c r="O137" s="3744"/>
      <c r="P137" s="3739" t="s">
        <v>3612</v>
      </c>
      <c r="Q137" s="3738">
        <v>187.13</v>
      </c>
      <c r="R137" s="3738" t="s">
        <v>3440</v>
      </c>
    </row>
    <row r="138" spans="15:18">
      <c r="O138" s="3754"/>
      <c r="P138" s="3749" t="s">
        <v>3458</v>
      </c>
      <c r="Q138" s="3749">
        <f>SUM(Q128:Q137)</f>
        <v>1807.9099999999999</v>
      </c>
      <c r="R138" s="3749"/>
    </row>
    <row r="139" spans="15:18">
      <c r="O139" s="3742" t="s">
        <v>3466</v>
      </c>
      <c r="P139" s="3739" t="s">
        <v>3613</v>
      </c>
      <c r="Q139" s="3738">
        <v>150.96</v>
      </c>
      <c r="R139" s="3738" t="s">
        <v>3440</v>
      </c>
    </row>
    <row r="140" spans="15:18">
      <c r="O140" s="3744"/>
      <c r="P140" s="3739" t="s">
        <v>3614</v>
      </c>
      <c r="Q140" s="3738">
        <v>81.48</v>
      </c>
      <c r="R140" s="3738" t="s">
        <v>3440</v>
      </c>
    </row>
    <row r="141" spans="15:18">
      <c r="O141" s="3744"/>
      <c r="P141" s="3739" t="s">
        <v>3615</v>
      </c>
      <c r="Q141" s="3738">
        <v>187.13</v>
      </c>
      <c r="R141" s="3738" t="s">
        <v>3440</v>
      </c>
    </row>
    <row r="142" spans="15:18">
      <c r="O142" s="3744"/>
      <c r="P142" s="3739" t="s">
        <v>3616</v>
      </c>
      <c r="Q142" s="3738">
        <v>298.73</v>
      </c>
      <c r="R142" s="3738" t="s">
        <v>3440</v>
      </c>
    </row>
    <row r="143" spans="15:18">
      <c r="O143" s="3744"/>
      <c r="P143" s="3739" t="s">
        <v>3617</v>
      </c>
      <c r="Q143" s="3738">
        <v>187.13</v>
      </c>
      <c r="R143" s="3738" t="s">
        <v>3440</v>
      </c>
    </row>
    <row r="144" spans="15:18">
      <c r="O144" s="3744"/>
      <c r="P144" s="3739" t="s">
        <v>3618</v>
      </c>
      <c r="Q144" s="3738">
        <v>150.96</v>
      </c>
      <c r="R144" s="3738" t="s">
        <v>3440</v>
      </c>
    </row>
    <row r="145" spans="15:18">
      <c r="O145" s="3744"/>
      <c r="P145" s="3739" t="s">
        <v>3619</v>
      </c>
      <c r="Q145" s="3738">
        <v>78.53</v>
      </c>
      <c r="R145" s="3738" t="s">
        <v>3440</v>
      </c>
    </row>
    <row r="146" spans="15:18">
      <c r="O146" s="3744"/>
      <c r="P146" s="3739" t="s">
        <v>3620</v>
      </c>
      <c r="Q146" s="3738">
        <v>187.13</v>
      </c>
      <c r="R146" s="3738" t="s">
        <v>3440</v>
      </c>
    </row>
    <row r="147" spans="15:18">
      <c r="O147" s="3744"/>
      <c r="P147" s="3739" t="s">
        <v>3621</v>
      </c>
      <c r="Q147" s="3738">
        <v>298.73</v>
      </c>
      <c r="R147" s="3738" t="s">
        <v>3440</v>
      </c>
    </row>
    <row r="148" spans="15:18">
      <c r="O148" s="3744"/>
      <c r="P148" s="3739" t="s">
        <v>3622</v>
      </c>
      <c r="Q148" s="3738">
        <v>187.13</v>
      </c>
      <c r="R148" s="3738" t="s">
        <v>3440</v>
      </c>
    </row>
    <row r="149" spans="15:18">
      <c r="O149" s="3754"/>
      <c r="P149" s="3749" t="s">
        <v>3458</v>
      </c>
      <c r="Q149" s="3749">
        <f>SUM(Q139:Q148)</f>
        <v>1807.9099999999999</v>
      </c>
      <c r="R149" s="3749"/>
    </row>
    <row r="150" spans="15:18">
      <c r="O150" s="3742" t="s">
        <v>3623</v>
      </c>
      <c r="P150" s="3739" t="s">
        <v>3624</v>
      </c>
      <c r="Q150" s="3738">
        <v>37.06</v>
      </c>
      <c r="R150" s="3738" t="s">
        <v>3440</v>
      </c>
    </row>
    <row r="151" spans="15:18">
      <c r="O151" s="3744"/>
      <c r="P151" s="3739" t="s">
        <v>3625</v>
      </c>
      <c r="Q151" s="3738">
        <v>553.53</v>
      </c>
      <c r="R151" s="3738" t="s">
        <v>3440</v>
      </c>
    </row>
    <row r="152" spans="15:18">
      <c r="O152" s="3744"/>
      <c r="P152" s="3739" t="s">
        <v>3626</v>
      </c>
      <c r="Q152" s="3738">
        <v>89.9</v>
      </c>
      <c r="R152" s="3738" t="s">
        <v>3440</v>
      </c>
    </row>
    <row r="153" spans="15:18">
      <c r="O153" s="3754"/>
      <c r="P153" s="3749" t="s">
        <v>3458</v>
      </c>
      <c r="Q153" s="3749">
        <f>SUM(Q150:Q152)</f>
        <v>680.4899999999999</v>
      </c>
      <c r="R153" s="3749"/>
    </row>
    <row r="154" spans="15:18">
      <c r="O154" s="3742" t="s">
        <v>3472</v>
      </c>
      <c r="P154" s="3739" t="s">
        <v>3627</v>
      </c>
      <c r="Q154" s="3738">
        <v>460.66</v>
      </c>
      <c r="R154" s="3738" t="s">
        <v>3440</v>
      </c>
    </row>
    <row r="155" spans="15:18">
      <c r="O155" s="3744"/>
      <c r="P155" s="3739" t="s">
        <v>3628</v>
      </c>
      <c r="Q155" s="3738">
        <v>580.66999999999996</v>
      </c>
      <c r="R155" s="3738" t="s">
        <v>3440</v>
      </c>
    </row>
    <row r="156" spans="15:18">
      <c r="O156" s="3744"/>
      <c r="P156" s="3739" t="s">
        <v>3629</v>
      </c>
      <c r="Q156" s="3738">
        <v>510.2</v>
      </c>
      <c r="R156" s="3738" t="s">
        <v>3440</v>
      </c>
    </row>
    <row r="157" spans="15:18">
      <c r="O157" s="3744"/>
      <c r="P157" s="3739" t="s">
        <v>3630</v>
      </c>
      <c r="Q157" s="3738">
        <v>455.55</v>
      </c>
      <c r="R157" s="3738" t="s">
        <v>3440</v>
      </c>
    </row>
    <row r="158" spans="15:18">
      <c r="O158" s="3754"/>
      <c r="P158" s="3749" t="s">
        <v>3458</v>
      </c>
      <c r="Q158" s="3749">
        <f>SUM(Q154:Q157)</f>
        <v>2007.08</v>
      </c>
      <c r="R158" s="3749"/>
    </row>
    <row r="159" spans="15:18">
      <c r="O159" s="3742" t="s">
        <v>3474</v>
      </c>
      <c r="P159" s="3739" t="s">
        <v>3631</v>
      </c>
      <c r="Q159" s="3738">
        <v>460.66</v>
      </c>
      <c r="R159" s="3738" t="s">
        <v>3440</v>
      </c>
    </row>
    <row r="160" spans="15:18">
      <c r="O160" s="3744"/>
      <c r="P160" s="3739" t="s">
        <v>3632</v>
      </c>
      <c r="Q160" s="3738">
        <v>580.66999999999996</v>
      </c>
      <c r="R160" s="3738" t="s">
        <v>3440</v>
      </c>
    </row>
    <row r="161" spans="15:18">
      <c r="O161" s="3744"/>
      <c r="P161" s="3739" t="s">
        <v>3633</v>
      </c>
      <c r="Q161" s="3738">
        <v>510.2</v>
      </c>
      <c r="R161" s="3738" t="s">
        <v>3440</v>
      </c>
    </row>
    <row r="162" spans="15:18">
      <c r="O162" s="3744"/>
      <c r="P162" s="3739" t="s">
        <v>3634</v>
      </c>
      <c r="Q162" s="3738">
        <v>455.55</v>
      </c>
      <c r="R162" s="3738" t="s">
        <v>3440</v>
      </c>
    </row>
    <row r="163" spans="15:18">
      <c r="O163" s="3754"/>
      <c r="P163" s="3749" t="s">
        <v>3458</v>
      </c>
      <c r="Q163" s="3749">
        <f>SUM(Q159:Q162)</f>
        <v>2007.08</v>
      </c>
      <c r="R163" s="3749"/>
    </row>
    <row r="164" spans="15:18">
      <c r="O164" s="3742" t="s">
        <v>3476</v>
      </c>
      <c r="P164" s="3739" t="s">
        <v>3635</v>
      </c>
      <c r="Q164" s="3738">
        <v>460.66</v>
      </c>
      <c r="R164" s="3738" t="s">
        <v>3440</v>
      </c>
    </row>
    <row r="165" spans="15:18">
      <c r="O165" s="3744"/>
      <c r="P165" s="3739" t="s">
        <v>3636</v>
      </c>
      <c r="Q165" s="3738">
        <v>580.66999999999996</v>
      </c>
      <c r="R165" s="3738" t="s">
        <v>3440</v>
      </c>
    </row>
    <row r="166" spans="15:18">
      <c r="O166" s="3744"/>
      <c r="P166" s="3739" t="s">
        <v>3637</v>
      </c>
      <c r="Q166" s="3738">
        <v>510.2</v>
      </c>
      <c r="R166" s="3738" t="s">
        <v>3440</v>
      </c>
    </row>
    <row r="167" spans="15:18">
      <c r="O167" s="3744"/>
      <c r="P167" s="3739" t="s">
        <v>3638</v>
      </c>
      <c r="Q167" s="3738">
        <v>455.55</v>
      </c>
      <c r="R167" s="3738" t="s">
        <v>3440</v>
      </c>
    </row>
    <row r="168" spans="15:18">
      <c r="O168" s="3754"/>
      <c r="P168" s="3749" t="s">
        <v>3458</v>
      </c>
      <c r="Q168" s="3749">
        <f>SUM(Q164:Q167)</f>
        <v>2007.08</v>
      </c>
      <c r="R168" s="3749"/>
    </row>
    <row r="169" spans="15:18">
      <c r="O169" s="3742" t="s">
        <v>3478</v>
      </c>
      <c r="P169" s="3739" t="s">
        <v>3639</v>
      </c>
      <c r="Q169" s="3738">
        <v>460.66</v>
      </c>
      <c r="R169" s="3738" t="s">
        <v>3440</v>
      </c>
    </row>
    <row r="170" spans="15:18">
      <c r="O170" s="3744"/>
      <c r="P170" s="3739" t="s">
        <v>3640</v>
      </c>
      <c r="Q170" s="3738">
        <v>580.66999999999996</v>
      </c>
      <c r="R170" s="3738" t="s">
        <v>3440</v>
      </c>
    </row>
    <row r="171" spans="15:18">
      <c r="O171" s="3744"/>
      <c r="P171" s="3739" t="s">
        <v>3641</v>
      </c>
      <c r="Q171" s="3738">
        <v>510.2</v>
      </c>
      <c r="R171" s="3738" t="s">
        <v>3440</v>
      </c>
    </row>
    <row r="172" spans="15:18">
      <c r="O172" s="3744"/>
      <c r="P172" s="3739" t="s">
        <v>3642</v>
      </c>
      <c r="Q172" s="3738">
        <v>455.55</v>
      </c>
      <c r="R172" s="3738" t="s">
        <v>3440</v>
      </c>
    </row>
    <row r="173" spans="15:18">
      <c r="O173" s="3754"/>
      <c r="P173" s="3749" t="s">
        <v>3458</v>
      </c>
      <c r="Q173" s="3749">
        <f>SUM(Q169:Q172)</f>
        <v>2007.08</v>
      </c>
      <c r="R173" s="3749"/>
    </row>
    <row r="174" spans="15:18">
      <c r="O174" s="3742" t="s">
        <v>3480</v>
      </c>
      <c r="P174" s="3739" t="s">
        <v>3643</v>
      </c>
      <c r="Q174" s="3738">
        <v>462.36</v>
      </c>
      <c r="R174" s="3738" t="s">
        <v>3440</v>
      </c>
    </row>
    <row r="175" spans="15:18">
      <c r="O175" s="3744"/>
      <c r="P175" s="3739" t="s">
        <v>3644</v>
      </c>
      <c r="Q175" s="3738">
        <v>582.9</v>
      </c>
      <c r="R175" s="3738" t="s">
        <v>3440</v>
      </c>
    </row>
    <row r="176" spans="15:18">
      <c r="O176" s="3744"/>
      <c r="P176" s="3739" t="s">
        <v>3645</v>
      </c>
      <c r="Q176" s="3738">
        <v>511.16</v>
      </c>
      <c r="R176" s="3738" t="s">
        <v>3440</v>
      </c>
    </row>
    <row r="177" spans="15:19">
      <c r="O177" s="3744"/>
      <c r="P177" s="3739" t="s">
        <v>3646</v>
      </c>
      <c r="Q177" s="3738">
        <v>457.89</v>
      </c>
      <c r="R177" s="3738" t="s">
        <v>3440</v>
      </c>
    </row>
    <row r="178" spans="15:19">
      <c r="O178" s="3754"/>
      <c r="P178" s="3749" t="s">
        <v>3458</v>
      </c>
      <c r="Q178" s="3749">
        <f>SUM(Q174:Q177)</f>
        <v>2014.31</v>
      </c>
      <c r="R178" s="3749"/>
    </row>
    <row r="179" spans="15:19">
      <c r="O179" s="3742" t="s">
        <v>3647</v>
      </c>
      <c r="P179" s="3739" t="s">
        <v>3648</v>
      </c>
      <c r="Q179" s="3738">
        <v>462.36</v>
      </c>
      <c r="R179" s="3738" t="s">
        <v>3440</v>
      </c>
    </row>
    <row r="180" spans="15:19">
      <c r="O180" s="3744"/>
      <c r="P180" s="3739" t="s">
        <v>3649</v>
      </c>
      <c r="Q180" s="3738">
        <v>582.9</v>
      </c>
      <c r="R180" s="3738" t="s">
        <v>3440</v>
      </c>
    </row>
    <row r="181" spans="15:19">
      <c r="O181" s="3744"/>
      <c r="P181" s="3739" t="s">
        <v>3650</v>
      </c>
      <c r="Q181" s="3738">
        <v>511.16</v>
      </c>
      <c r="R181" s="3738" t="s">
        <v>3440</v>
      </c>
    </row>
    <row r="182" spans="15:19">
      <c r="O182" s="3744"/>
      <c r="P182" s="3739" t="s">
        <v>3651</v>
      </c>
      <c r="Q182" s="3738">
        <v>457.89</v>
      </c>
      <c r="R182" s="3738" t="s">
        <v>3440</v>
      </c>
    </row>
    <row r="183" spans="15:19">
      <c r="O183" s="3754"/>
      <c r="P183" s="3749" t="s">
        <v>3458</v>
      </c>
      <c r="Q183" s="3749">
        <f>SUM(Q179:Q182)</f>
        <v>2014.31</v>
      </c>
      <c r="R183" s="3749"/>
    </row>
    <row r="184" spans="15:19">
      <c r="O184" s="3742" t="s">
        <v>3652</v>
      </c>
      <c r="P184" s="3739" t="s">
        <v>3653</v>
      </c>
      <c r="Q184" s="3738">
        <v>462.36</v>
      </c>
      <c r="R184" s="3738" t="s">
        <v>3440</v>
      </c>
    </row>
    <row r="185" spans="15:19">
      <c r="O185" s="3744"/>
      <c r="P185" s="3739" t="s">
        <v>3654</v>
      </c>
      <c r="Q185" s="3738">
        <v>582.9</v>
      </c>
      <c r="R185" s="3738" t="s">
        <v>3440</v>
      </c>
    </row>
    <row r="186" spans="15:19">
      <c r="O186" s="3744"/>
      <c r="P186" s="3739" t="s">
        <v>3655</v>
      </c>
      <c r="Q186" s="3738">
        <v>511.16</v>
      </c>
      <c r="R186" s="3738" t="s">
        <v>3440</v>
      </c>
    </row>
    <row r="187" spans="15:19">
      <c r="O187" s="3744"/>
      <c r="P187" s="3739" t="s">
        <v>3656</v>
      </c>
      <c r="Q187" s="3738">
        <v>457.89</v>
      </c>
      <c r="R187" s="3738" t="s">
        <v>3440</v>
      </c>
    </row>
    <row r="188" spans="15:19">
      <c r="O188" s="3754"/>
      <c r="P188" s="3749" t="s">
        <v>3458</v>
      </c>
      <c r="Q188" s="3749">
        <f>SUM(Q184:Q187)</f>
        <v>2014.31</v>
      </c>
      <c r="R188" s="3749"/>
    </row>
    <row r="189" spans="15:19">
      <c r="O189" s="3742" t="s">
        <v>3488</v>
      </c>
      <c r="P189" s="3739" t="s">
        <v>3657</v>
      </c>
      <c r="Q189" s="3755">
        <v>462.36</v>
      </c>
      <c r="R189" s="3738" t="s">
        <v>3440</v>
      </c>
      <c r="S189" s="3734" t="s">
        <v>3658</v>
      </c>
    </row>
    <row r="190" spans="15:19">
      <c r="O190" s="3744"/>
      <c r="P190" s="3739" t="s">
        <v>3659</v>
      </c>
      <c r="Q190" s="3738">
        <v>582.9</v>
      </c>
      <c r="R190" s="3738" t="s">
        <v>3440</v>
      </c>
    </row>
    <row r="191" spans="15:19">
      <c r="O191" s="3744"/>
      <c r="P191" s="3739" t="s">
        <v>3660</v>
      </c>
      <c r="Q191" s="3738">
        <v>511.16</v>
      </c>
      <c r="R191" s="3738" t="s">
        <v>3440</v>
      </c>
    </row>
    <row r="192" spans="15:19">
      <c r="O192" s="3744"/>
      <c r="P192" s="3739" t="s">
        <v>3661</v>
      </c>
      <c r="Q192" s="3738">
        <v>457.89</v>
      </c>
      <c r="R192" s="3738" t="s">
        <v>3440</v>
      </c>
    </row>
    <row r="193" spans="15:18">
      <c r="O193" s="3754"/>
      <c r="P193" s="3749" t="s">
        <v>3458</v>
      </c>
      <c r="Q193" s="3749">
        <f>SUM(Q189:Q192)</f>
        <v>2014.31</v>
      </c>
      <c r="R193" s="3749"/>
    </row>
    <row r="194" spans="15:18">
      <c r="O194" s="3742" t="s">
        <v>3490</v>
      </c>
      <c r="P194" s="3739" t="s">
        <v>3662</v>
      </c>
      <c r="Q194" s="3738">
        <v>462.36</v>
      </c>
      <c r="R194" s="3738" t="s">
        <v>3440</v>
      </c>
    </row>
    <row r="195" spans="15:18">
      <c r="O195" s="3744"/>
      <c r="P195" s="3739" t="s">
        <v>3663</v>
      </c>
      <c r="Q195" s="3738">
        <v>582.9</v>
      </c>
      <c r="R195" s="3738" t="s">
        <v>3440</v>
      </c>
    </row>
    <row r="196" spans="15:18">
      <c r="O196" s="3744"/>
      <c r="P196" s="3739" t="s">
        <v>3664</v>
      </c>
      <c r="Q196" s="3738">
        <v>511.16</v>
      </c>
      <c r="R196" s="3738" t="s">
        <v>3440</v>
      </c>
    </row>
    <row r="197" spans="15:18">
      <c r="O197" s="3744"/>
      <c r="P197" s="3739" t="s">
        <v>3665</v>
      </c>
      <c r="Q197" s="3738">
        <v>457.89</v>
      </c>
      <c r="R197" s="3738" t="s">
        <v>3440</v>
      </c>
    </row>
    <row r="198" spans="15:18">
      <c r="O198" s="3754"/>
      <c r="P198" s="3749" t="s">
        <v>3458</v>
      </c>
      <c r="Q198" s="3749">
        <f>SUM(Q194:Q197)</f>
        <v>2014.31</v>
      </c>
      <c r="R198" s="3749"/>
    </row>
    <row r="199" spans="15:18">
      <c r="O199" s="3742" t="s">
        <v>3492</v>
      </c>
      <c r="P199" s="3739" t="s">
        <v>3666</v>
      </c>
      <c r="Q199" s="3738">
        <v>462.36</v>
      </c>
      <c r="R199" s="3738" t="s">
        <v>3440</v>
      </c>
    </row>
    <row r="200" spans="15:18">
      <c r="O200" s="3744"/>
      <c r="P200" s="3739" t="s">
        <v>3667</v>
      </c>
      <c r="Q200" s="3738">
        <v>582.9</v>
      </c>
      <c r="R200" s="3738" t="s">
        <v>3440</v>
      </c>
    </row>
    <row r="201" spans="15:18">
      <c r="O201" s="3744"/>
      <c r="P201" s="3739" t="s">
        <v>3668</v>
      </c>
      <c r="Q201" s="3738">
        <v>511.16</v>
      </c>
      <c r="R201" s="3738" t="s">
        <v>3440</v>
      </c>
    </row>
    <row r="202" spans="15:18">
      <c r="O202" s="3744"/>
      <c r="P202" s="3739" t="s">
        <v>3669</v>
      </c>
      <c r="Q202" s="3738">
        <v>457.89</v>
      </c>
      <c r="R202" s="3738" t="s">
        <v>3440</v>
      </c>
    </row>
    <row r="203" spans="15:18">
      <c r="O203" s="3754"/>
      <c r="P203" s="3749" t="s">
        <v>3458</v>
      </c>
      <c r="Q203" s="3749">
        <f>SUM(Q199:Q202)</f>
        <v>2014.31</v>
      </c>
      <c r="R203" s="3749"/>
    </row>
    <row r="204" spans="15:18">
      <c r="O204" s="3742" t="s">
        <v>3496</v>
      </c>
      <c r="P204" s="3739" t="s">
        <v>3670</v>
      </c>
      <c r="Q204" s="3738">
        <v>955.78</v>
      </c>
      <c r="R204" s="3738" t="s">
        <v>3440</v>
      </c>
    </row>
    <row r="205" spans="15:18">
      <c r="O205" s="3744"/>
      <c r="P205" s="3739" t="s">
        <v>3671</v>
      </c>
      <c r="Q205" s="3738">
        <v>1216.56</v>
      </c>
      <c r="R205" s="3738" t="s">
        <v>3440</v>
      </c>
    </row>
    <row r="206" spans="15:18">
      <c r="O206" s="3754"/>
      <c r="P206" s="3749" t="s">
        <v>3458</v>
      </c>
      <c r="Q206" s="3749">
        <f>SUM(Q204:Q205)</f>
        <v>2172.34</v>
      </c>
      <c r="R206" s="3749"/>
    </row>
    <row r="207" spans="15:18">
      <c r="O207" s="3742" t="s">
        <v>3498</v>
      </c>
      <c r="P207" s="3739" t="s">
        <v>3672</v>
      </c>
      <c r="Q207" s="3738">
        <v>955.78</v>
      </c>
      <c r="R207" s="3738" t="s">
        <v>3440</v>
      </c>
    </row>
    <row r="208" spans="15:18">
      <c r="O208" s="3744"/>
      <c r="P208" s="3739" t="s">
        <v>3673</v>
      </c>
      <c r="Q208" s="3738">
        <v>1216.56</v>
      </c>
      <c r="R208" s="3738" t="s">
        <v>3440</v>
      </c>
    </row>
    <row r="209" spans="15:18">
      <c r="O209" s="3754"/>
      <c r="P209" s="3749" t="s">
        <v>3458</v>
      </c>
      <c r="Q209" s="3749">
        <f>SUM(Q207:Q208)</f>
        <v>2172.34</v>
      </c>
      <c r="R209" s="3749"/>
    </row>
    <row r="210" spans="15:18">
      <c r="O210" s="3742" t="s">
        <v>3500</v>
      </c>
      <c r="P210" s="3739" t="s">
        <v>3674</v>
      </c>
      <c r="Q210" s="3738">
        <v>959</v>
      </c>
      <c r="R210" s="3738" t="s">
        <v>3440</v>
      </c>
    </row>
    <row r="211" spans="15:18">
      <c r="O211" s="3744"/>
      <c r="P211" s="3739" t="s">
        <v>3675</v>
      </c>
      <c r="Q211" s="3738">
        <v>1219.96</v>
      </c>
      <c r="R211" s="3738" t="s">
        <v>3440</v>
      </c>
    </row>
    <row r="212" spans="15:18">
      <c r="O212" s="3754"/>
      <c r="P212" s="3749" t="s">
        <v>3458</v>
      </c>
      <c r="Q212" s="3749">
        <f>SUM(Q210:Q211)</f>
        <v>2178.96</v>
      </c>
      <c r="R212" s="3749"/>
    </row>
    <row r="213" spans="15:18">
      <c r="O213" s="3742" t="s">
        <v>3501</v>
      </c>
      <c r="P213" s="3739" t="s">
        <v>3676</v>
      </c>
      <c r="Q213" s="3738">
        <v>959</v>
      </c>
      <c r="R213" s="3738" t="s">
        <v>3440</v>
      </c>
    </row>
    <row r="214" spans="15:18">
      <c r="O214" s="3744"/>
      <c r="P214" s="3739" t="s">
        <v>3677</v>
      </c>
      <c r="Q214" s="3738">
        <v>1219.96</v>
      </c>
      <c r="R214" s="3738" t="s">
        <v>3440</v>
      </c>
    </row>
    <row r="215" spans="15:18">
      <c r="O215" s="3754"/>
      <c r="P215" s="3749" t="s">
        <v>3458</v>
      </c>
      <c r="Q215" s="3749">
        <f>SUM(Q213:Q214)</f>
        <v>2178.96</v>
      </c>
      <c r="R215" s="3749"/>
    </row>
    <row r="216" spans="15:18">
      <c r="O216" s="3742" t="s">
        <v>3504</v>
      </c>
      <c r="P216" s="3739" t="s">
        <v>3678</v>
      </c>
      <c r="Q216" s="3738">
        <v>959</v>
      </c>
      <c r="R216" s="3738" t="s">
        <v>3440</v>
      </c>
    </row>
    <row r="217" spans="15:18">
      <c r="O217" s="3744"/>
      <c r="P217" s="3739" t="s">
        <v>3679</v>
      </c>
      <c r="Q217" s="3738">
        <v>1219.96</v>
      </c>
      <c r="R217" s="3738" t="s">
        <v>3440</v>
      </c>
    </row>
    <row r="218" spans="15:18">
      <c r="O218" s="3754"/>
      <c r="P218" s="3749" t="s">
        <v>3458</v>
      </c>
      <c r="Q218" s="3749">
        <f>SUM(Q216:Q217)</f>
        <v>2178.96</v>
      </c>
      <c r="R218" s="3749"/>
    </row>
    <row r="219" spans="15:18">
      <c r="O219" s="3742" t="s">
        <v>3506</v>
      </c>
      <c r="P219" s="3739" t="s">
        <v>3680</v>
      </c>
      <c r="Q219" s="3738">
        <v>961.91</v>
      </c>
      <c r="R219" s="3738" t="s">
        <v>3440</v>
      </c>
    </row>
    <row r="220" spans="15:18">
      <c r="O220" s="3744"/>
      <c r="P220" s="3739" t="s">
        <v>3681</v>
      </c>
      <c r="Q220" s="3738">
        <v>1222.56</v>
      </c>
      <c r="R220" s="3738" t="s">
        <v>3440</v>
      </c>
    </row>
    <row r="221" spans="15:18">
      <c r="O221" s="3754"/>
      <c r="P221" s="3749" t="s">
        <v>3458</v>
      </c>
      <c r="Q221" s="3749">
        <f>SUM(Q219:Q220)</f>
        <v>2184.4699999999998</v>
      </c>
      <c r="R221" s="3749"/>
    </row>
    <row r="222" spans="15:18">
      <c r="O222" s="3742" t="s">
        <v>3507</v>
      </c>
      <c r="P222" s="3739" t="s">
        <v>3682</v>
      </c>
      <c r="Q222" s="3738">
        <v>961.91</v>
      </c>
      <c r="R222" s="3738" t="s">
        <v>3440</v>
      </c>
    </row>
    <row r="223" spans="15:18">
      <c r="O223" s="3744"/>
      <c r="P223" s="3739" t="s">
        <v>3683</v>
      </c>
      <c r="Q223" s="3738">
        <v>1222.56</v>
      </c>
      <c r="R223" s="3738" t="s">
        <v>3440</v>
      </c>
    </row>
    <row r="224" spans="15:18">
      <c r="O224" s="3754"/>
      <c r="P224" s="3749" t="s">
        <v>3458</v>
      </c>
      <c r="Q224" s="3749">
        <f>SUM(Q222:Q223)</f>
        <v>2184.4699999999998</v>
      </c>
      <c r="R224" s="3749"/>
    </row>
    <row r="225" spans="15:18">
      <c r="O225" s="3742" t="s">
        <v>3510</v>
      </c>
      <c r="P225" s="3739" t="s">
        <v>3684</v>
      </c>
      <c r="Q225" s="3738">
        <v>961.91</v>
      </c>
      <c r="R225" s="3738" t="s">
        <v>3440</v>
      </c>
    </row>
    <row r="226" spans="15:18">
      <c r="O226" s="3744"/>
      <c r="P226" s="3739" t="s">
        <v>3685</v>
      </c>
      <c r="Q226" s="3738">
        <v>1222.56</v>
      </c>
      <c r="R226" s="3738" t="s">
        <v>3440</v>
      </c>
    </row>
    <row r="227" spans="15:18">
      <c r="O227" s="3754"/>
      <c r="P227" s="3749" t="s">
        <v>3458</v>
      </c>
      <c r="Q227" s="3749">
        <f>SUM(Q225:Q226)</f>
        <v>2184.4699999999998</v>
      </c>
      <c r="R227" s="3749"/>
    </row>
    <row r="228" spans="15:18">
      <c r="O228" s="3742" t="s">
        <v>3512</v>
      </c>
      <c r="P228" s="3739" t="s">
        <v>3686</v>
      </c>
      <c r="Q228" s="3738">
        <v>961.91</v>
      </c>
      <c r="R228" s="3738" t="s">
        <v>3440</v>
      </c>
    </row>
    <row r="229" spans="15:18">
      <c r="O229" s="3744"/>
      <c r="P229" s="3739" t="s">
        <v>3687</v>
      </c>
      <c r="Q229" s="3738">
        <v>1222.56</v>
      </c>
      <c r="R229" s="3738" t="s">
        <v>3440</v>
      </c>
    </row>
    <row r="230" spans="15:18">
      <c r="O230" s="3754"/>
      <c r="P230" s="3749" t="s">
        <v>3458</v>
      </c>
      <c r="Q230" s="3749">
        <f>SUM(Q228:Q229)</f>
        <v>2184.4699999999998</v>
      </c>
      <c r="R230" s="3749"/>
    </row>
    <row r="231" spans="15:18">
      <c r="O231" s="3742" t="s">
        <v>3514</v>
      </c>
      <c r="P231" s="3739" t="s">
        <v>3688</v>
      </c>
      <c r="Q231" s="3738">
        <v>961.91</v>
      </c>
      <c r="R231" s="3738" t="s">
        <v>3440</v>
      </c>
    </row>
    <row r="232" spans="15:18">
      <c r="O232" s="3744"/>
      <c r="P232" s="3739" t="s">
        <v>3689</v>
      </c>
      <c r="Q232" s="3738">
        <v>1222.56</v>
      </c>
      <c r="R232" s="3738" t="s">
        <v>3440</v>
      </c>
    </row>
    <row r="233" spans="15:18">
      <c r="O233" s="3754"/>
      <c r="P233" s="3749" t="s">
        <v>3458</v>
      </c>
      <c r="Q233" s="3749">
        <f>SUM(Q231:Q232)</f>
        <v>2184.4699999999998</v>
      </c>
      <c r="R233" s="3749"/>
    </row>
    <row r="234" spans="15:18">
      <c r="O234" s="3742" t="s">
        <v>3405</v>
      </c>
      <c r="P234" s="3739" t="s">
        <v>3690</v>
      </c>
      <c r="Q234" s="3738">
        <v>391.97</v>
      </c>
      <c r="R234" s="3738" t="s">
        <v>3431</v>
      </c>
    </row>
    <row r="235" spans="15:18">
      <c r="O235" s="3754"/>
      <c r="P235" s="3749" t="s">
        <v>3458</v>
      </c>
      <c r="Q235" s="3749">
        <f>SUM(Q234)</f>
        <v>391.97</v>
      </c>
      <c r="R235" s="3749"/>
    </row>
    <row r="236" spans="15:18">
      <c r="O236" s="3742" t="s">
        <v>3517</v>
      </c>
      <c r="P236" s="3739" t="s">
        <v>3691</v>
      </c>
      <c r="Q236" s="3738">
        <v>3630.35</v>
      </c>
      <c r="R236" s="3738" t="s">
        <v>3431</v>
      </c>
    </row>
    <row r="237" spans="15:18">
      <c r="O237" s="3754"/>
      <c r="P237" s="3749" t="s">
        <v>3458</v>
      </c>
      <c r="Q237" s="3740">
        <f>Q236</f>
        <v>3630.35</v>
      </c>
      <c r="R237" s="3740"/>
    </row>
    <row r="238" spans="15:18">
      <c r="O238" s="3756" t="s">
        <v>3447</v>
      </c>
      <c r="P238" s="3757"/>
      <c r="Q238" s="3749">
        <f>Q16+Q27+Q36+Q39+Q50+Q61+Q72+Q83+Q94+Q105+Q116+Q127+Q138+Q149+Q153+Q158+Q163+Q168+Q173+Q178+Q183+Q188+Q193+Q198+Q203+Q206+Q209+Q212+Q215+Q218+Q221+Q224+Q227+Q230+Q233+Q235+Q237+Q29</f>
        <v>73062.25</v>
      </c>
      <c r="R238" s="3738"/>
    </row>
  </sheetData>
  <mergeCells count="49">
    <mergeCell ref="O236:O237"/>
    <mergeCell ref="O238:P238"/>
    <mergeCell ref="G33:H33"/>
    <mergeCell ref="J25:L25"/>
    <mergeCell ref="I25:I26"/>
    <mergeCell ref="H25:H26"/>
    <mergeCell ref="G25:G26"/>
    <mergeCell ref="O219:O221"/>
    <mergeCell ref="O222:O224"/>
    <mergeCell ref="O225:O227"/>
    <mergeCell ref="O228:O230"/>
    <mergeCell ref="O231:O233"/>
    <mergeCell ref="O234:O235"/>
    <mergeCell ref="O199:O203"/>
    <mergeCell ref="O204:O206"/>
    <mergeCell ref="O207:O209"/>
    <mergeCell ref="O210:O212"/>
    <mergeCell ref="O213:O215"/>
    <mergeCell ref="O216:O218"/>
    <mergeCell ref="O169:O173"/>
    <mergeCell ref="O174:O178"/>
    <mergeCell ref="O179:O183"/>
    <mergeCell ref="O184:O188"/>
    <mergeCell ref="O189:O193"/>
    <mergeCell ref="O194:O198"/>
    <mergeCell ref="O128:O138"/>
    <mergeCell ref="O139:O149"/>
    <mergeCell ref="O150:O153"/>
    <mergeCell ref="O154:O158"/>
    <mergeCell ref="O159:O163"/>
    <mergeCell ref="O164:O168"/>
    <mergeCell ref="O62:O72"/>
    <mergeCell ref="O73:O83"/>
    <mergeCell ref="O84:O94"/>
    <mergeCell ref="O95:O105"/>
    <mergeCell ref="O106:O116"/>
    <mergeCell ref="O117:O127"/>
    <mergeCell ref="O28:O29"/>
    <mergeCell ref="O30:O36"/>
    <mergeCell ref="O37:O39"/>
    <mergeCell ref="O40:O50"/>
    <mergeCell ref="A51:D51"/>
    <mergeCell ref="O51:O61"/>
    <mergeCell ref="A1:D1"/>
    <mergeCell ref="H1:L1"/>
    <mergeCell ref="O2:O16"/>
    <mergeCell ref="H7:J7"/>
    <mergeCell ref="H10:K10"/>
    <mergeCell ref="O17:O2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1641</v>
      </c>
      <c r="B2" s="2975" t="s">
        <v>1642</v>
      </c>
      <c r="C2" s="2975" t="s">
        <v>1643</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4" t="s">
        <v>1638</v>
      </c>
      <c r="E3" s="1044" t="s">
        <v>1644</v>
      </c>
      <c r="F3" s="1044" t="s">
        <v>1638</v>
      </c>
      <c r="G3" s="1044" t="s">
        <v>1639</v>
      </c>
      <c r="H3" s="1044" t="s">
        <v>1638</v>
      </c>
      <c r="I3" s="1044" t="s">
        <v>1639</v>
      </c>
    </row>
    <row r="4" spans="1:9" ht="30">
      <c r="A4" s="1973" t="str">
        <f>项目基本情况!S2</f>
        <v>北京市出让国有建设用地使用权及在建建筑物房地产</v>
      </c>
      <c r="B4" s="1044">
        <f>项目基本情况!C17</f>
        <v>79815.240000000005</v>
      </c>
      <c r="C4" s="1044">
        <f>项目基本情况!C18</f>
        <v>14769.13</v>
      </c>
      <c r="D4" s="1044" t="e">
        <f ca="1">结果表!D118</f>
        <v>#REF!</v>
      </c>
      <c r="E4" s="1044" t="e">
        <f ca="1">结果表!E118</f>
        <v>#REF!</v>
      </c>
      <c r="F4" s="1044" t="e">
        <f ca="1">结果表!F118</f>
        <v>#REF!</v>
      </c>
      <c r="G4" s="1044" t="e">
        <f ca="1">结果表!G118</f>
        <v>#REF!</v>
      </c>
      <c r="H4" s="1044">
        <f ca="1">结果表!H118</f>
        <v>218371</v>
      </c>
      <c r="I4" s="1044">
        <f ca="1">结果表!I118</f>
        <v>27360</v>
      </c>
    </row>
    <row r="5" spans="1:9" ht="30" customHeight="1">
      <c r="A5" s="2976" t="s">
        <v>1640</v>
      </c>
      <c r="B5" s="2976"/>
      <c r="C5" s="2976"/>
      <c r="D5" s="2977" t="e">
        <f ca="1">结果表!D119</f>
        <v>#REF!</v>
      </c>
      <c r="E5" s="2977"/>
      <c r="F5" s="2977" t="e">
        <f ca="1">结果表!F119</f>
        <v>#REF!</v>
      </c>
      <c r="G5" s="2977"/>
      <c r="H5" s="2977" t="str">
        <f ca="1">结果表!H119</f>
        <v>贰拾壹亿捌仟叁佰柒拾壹万元整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1640</v>
      </c>
      <c r="B7" s="2976"/>
      <c r="C7" s="2976"/>
      <c r="D7" s="2979" t="str">
        <f>结果表!D121</f>
        <v>零元整</v>
      </c>
      <c r="E7" s="2980"/>
      <c r="F7" s="2980"/>
      <c r="G7" s="2980"/>
      <c r="H7" s="2980"/>
      <c r="I7" s="2981"/>
    </row>
    <row r="8" spans="1:9" ht="15.75">
      <c r="A8" s="2978" t="str">
        <f>结果表!A122</f>
        <v>房地产抵押价值</v>
      </c>
      <c r="B8" s="2978"/>
      <c r="C8" s="2978"/>
      <c r="D8" s="2978">
        <f ca="1">结果表!D122</f>
        <v>218371</v>
      </c>
      <c r="E8" s="2978"/>
      <c r="F8" s="2978"/>
      <c r="G8" s="2978"/>
      <c r="H8" s="2978"/>
      <c r="I8" s="2978"/>
    </row>
    <row r="9" spans="1:9" ht="15">
      <c r="A9" s="2976" t="s">
        <v>1640</v>
      </c>
      <c r="B9" s="2976"/>
      <c r="C9" s="2976"/>
      <c r="D9" s="2977" t="str">
        <f ca="1">结果表!D123</f>
        <v>贰拾壹亿捌仟叁佰柒拾壹万元整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1640</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1640</v>
      </c>
      <c r="B13" s="2982"/>
      <c r="C13" s="2982"/>
      <c r="D13" s="2983" t="e">
        <f>结果表!D127</f>
        <v>#VALUE!</v>
      </c>
      <c r="E13" s="2983"/>
      <c r="F13" s="2983"/>
      <c r="G13" s="2983"/>
      <c r="H13" s="2983"/>
      <c r="I13" s="2983"/>
    </row>
    <row r="14" spans="1:9" ht="15" thickTop="1">
      <c r="A14" s="2984" t="s">
        <v>1645</v>
      </c>
      <c r="B14" s="2984"/>
      <c r="C14" s="2984"/>
      <c r="D14" s="2984"/>
      <c r="E14" s="2984"/>
      <c r="F14" s="2984"/>
      <c r="G14" s="2984"/>
      <c r="H14" s="2984"/>
      <c r="I14" s="298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85" t="s">
        <v>1662</v>
      </c>
      <c r="B1" s="2985"/>
      <c r="C1" s="2985"/>
      <c r="D1" s="2985"/>
    </row>
    <row r="2" spans="1:4" ht="18">
      <c r="A2" s="2986" t="s">
        <v>1646</v>
      </c>
      <c r="B2" s="2986"/>
      <c r="C2" s="2986"/>
      <c r="D2" s="2986"/>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2986" t="s">
        <v>1652</v>
      </c>
      <c r="B6" s="2986"/>
      <c r="C6" s="2986"/>
      <c r="D6" s="2986"/>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2987" t="s">
        <v>1655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1656</v>
      </c>
      <c r="B16" s="2991"/>
      <c r="C16" s="2991"/>
      <c r="D16" s="2991"/>
    </row>
    <row r="17" spans="1:4" ht="144" customHeight="1">
      <c r="A17" s="2991" t="s">
        <v>1657</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1658</v>
      </c>
      <c r="B22" s="2993"/>
      <c r="C22" s="2993"/>
      <c r="D22" s="2993"/>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2999" t="s">
        <v>1669</v>
      </c>
      <c r="B15" s="2994" t="s">
        <v>136</v>
      </c>
      <c r="C15" s="2995"/>
    </row>
    <row r="16" spans="1:7" ht="13.5">
      <c r="A16" s="3000"/>
      <c r="B16" s="2994" t="s">
        <v>69</v>
      </c>
      <c r="C16" s="2995"/>
    </row>
    <row r="17" spans="1:3" ht="13.5">
      <c r="A17" s="3000"/>
      <c r="B17" s="2997" t="s">
        <v>1670</v>
      </c>
      <c r="C17" s="2000" t="s">
        <v>1669</v>
      </c>
    </row>
    <row r="18" spans="1:3" ht="13.5">
      <c r="A18" s="3000"/>
      <c r="B18" s="2997"/>
      <c r="C18" s="2000" t="s">
        <v>1671</v>
      </c>
    </row>
    <row r="19" spans="1:3" ht="13.5">
      <c r="A19" s="3000"/>
      <c r="B19" s="2997"/>
      <c r="C19" s="2000" t="s">
        <v>1672</v>
      </c>
    </row>
    <row r="20" spans="1:3" ht="13.5">
      <c r="A20" s="3001"/>
      <c r="B20" s="2996" t="s">
        <v>1673</v>
      </c>
      <c r="C20" s="2995"/>
    </row>
    <row r="21" spans="1:3" ht="13.5">
      <c r="A21" s="2001" t="s">
        <v>1674</v>
      </c>
      <c r="B21" s="2002"/>
      <c r="C21" s="2003"/>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2000" t="s">
        <v>1680</v>
      </c>
    </row>
    <row r="26" spans="1:3" ht="13.5">
      <c r="A26" s="2998"/>
      <c r="B26" s="2997"/>
      <c r="C26" s="2000" t="s">
        <v>1681</v>
      </c>
    </row>
    <row r="27" spans="1:3" ht="13.5">
      <c r="A27" s="2998"/>
      <c r="B27" s="2997"/>
      <c r="C27" s="2000" t="s">
        <v>1682</v>
      </c>
    </row>
    <row r="28" spans="1:3" ht="13.5">
      <c r="A28" s="2998"/>
      <c r="B28" s="2997"/>
      <c r="C28" s="2000" t="s">
        <v>1683</v>
      </c>
    </row>
    <row r="29" spans="1:3" ht="13.5">
      <c r="A29" s="2998"/>
      <c r="B29" s="2997"/>
      <c r="C29" s="2000" t="s">
        <v>1684</v>
      </c>
    </row>
    <row r="30" spans="1:3" ht="13.5">
      <c r="A30" s="2998"/>
      <c r="B30" s="2997"/>
      <c r="C30" s="2000" t="s">
        <v>1685</v>
      </c>
    </row>
    <row r="31" spans="1:3" ht="13.5">
      <c r="A31" s="2998"/>
      <c r="B31" s="2997"/>
      <c r="C31" s="2000" t="s">
        <v>1686</v>
      </c>
    </row>
    <row r="32" spans="1:3" ht="13.5">
      <c r="A32" s="2998"/>
      <c r="B32" s="2997"/>
      <c r="C32" s="2000" t="s">
        <v>1687</v>
      </c>
    </row>
    <row r="33" spans="1:3" ht="13.5">
      <c r="A33" s="2998"/>
      <c r="B33" s="299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43273</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t="s">
        <v>3047</v>
      </c>
      <c r="B12" s="1022">
        <v>1120110054</v>
      </c>
      <c r="C12" s="2944">
        <v>43937</v>
      </c>
      <c r="D12" s="1702" t="s">
        <v>3047</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002" t="s">
        <v>846</v>
      </c>
      <c r="B25" s="3002"/>
      <c r="C25" s="3002"/>
      <c r="D25" s="3002"/>
      <c r="E25" s="3002"/>
      <c r="F25" s="3002"/>
      <c r="G25" s="3002"/>
    </row>
    <row r="26" spans="1:7" s="1025" customFormat="1" ht="24" customHeight="1">
      <c r="A26" s="3003" t="s">
        <v>847</v>
      </c>
      <c r="B26" s="3003"/>
      <c r="C26" s="3004"/>
      <c r="D26" s="3005" t="s">
        <v>848</v>
      </c>
      <c r="E26" s="3003"/>
      <c r="F26" s="300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8" priority="62">
      <formula>AND($C28-TODAY()&lt;30,TODAY()&lt;$C28)</formula>
    </cfRule>
  </conditionalFormatting>
  <conditionalFormatting sqref="C28 F4">
    <cfRule type="cellIs" dxfId="237" priority="64" stopIfTrue="1" operator="lessThan">
      <formula>$B$2</formula>
    </cfRule>
  </conditionalFormatting>
  <conditionalFormatting sqref="C5">
    <cfRule type="expression" dxfId="236" priority="59">
      <formula>AND($C5-TODAY()&lt;30,TODAY()&lt;$C5)</formula>
    </cfRule>
  </conditionalFormatting>
  <conditionalFormatting sqref="C5 F5">
    <cfRule type="cellIs" dxfId="235" priority="60" stopIfTrue="1" operator="lessThan">
      <formula>$B$2</formula>
    </cfRule>
  </conditionalFormatting>
  <conditionalFormatting sqref="F6 F8 F10">
    <cfRule type="cellIs" dxfId="234" priority="58" stopIfTrue="1" operator="lessThan">
      <formula>$B$2</formula>
    </cfRule>
  </conditionalFormatting>
  <conditionalFormatting sqref="C4:C11 C13:C23">
    <cfRule type="expression" dxfId="233" priority="56">
      <formula>AND($C4-TODAY()&lt;30,TODAY()&lt;$C4)</formula>
    </cfRule>
  </conditionalFormatting>
  <conditionalFormatting sqref="F7 F9 F11 C4:C11 C13:C23">
    <cfRule type="cellIs" dxfId="232" priority="57" stopIfTrue="1" operator="lessThan">
      <formula>$B$2</formula>
    </cfRule>
  </conditionalFormatting>
  <conditionalFormatting sqref="C14">
    <cfRule type="expression" dxfId="231" priority="50">
      <formula>AND($C14-TODAY()&lt;30,TODAY()&lt;$C14)</formula>
    </cfRule>
  </conditionalFormatting>
  <conditionalFormatting sqref="C14">
    <cfRule type="cellIs" dxfId="230" priority="51" stopIfTrue="1" operator="lessThan">
      <formula>$B$2</formula>
    </cfRule>
  </conditionalFormatting>
  <conditionalFormatting sqref="C16">
    <cfRule type="expression" dxfId="229" priority="48">
      <formula>AND($C16-TODAY()&lt;30,TODAY()&lt;$C16)</formula>
    </cfRule>
  </conditionalFormatting>
  <conditionalFormatting sqref="C16">
    <cfRule type="cellIs" dxfId="228" priority="49" stopIfTrue="1" operator="lessThan">
      <formula>$B$2</formula>
    </cfRule>
  </conditionalFormatting>
  <conditionalFormatting sqref="C18">
    <cfRule type="expression" dxfId="227" priority="46">
      <formula>AND($C18-TODAY()&lt;30,TODAY()&lt;$C18)</formula>
    </cfRule>
  </conditionalFormatting>
  <conditionalFormatting sqref="C18">
    <cfRule type="cellIs" dxfId="226" priority="47" stopIfTrue="1" operator="lessThan">
      <formula>$B$2</formula>
    </cfRule>
  </conditionalFormatting>
  <conditionalFormatting sqref="C20">
    <cfRule type="expression" dxfId="225" priority="44">
      <formula>AND($C20-TODAY()&lt;30,TODAY()&lt;$C20)</formula>
    </cfRule>
  </conditionalFormatting>
  <conditionalFormatting sqref="C20">
    <cfRule type="cellIs" dxfId="224" priority="45" stopIfTrue="1" operator="lessThan">
      <formula>$B$2</formula>
    </cfRule>
  </conditionalFormatting>
  <conditionalFormatting sqref="C22">
    <cfRule type="expression" dxfId="223" priority="42">
      <formula>AND($C22-TODAY()&lt;30,TODAY()&lt;$C22)</formula>
    </cfRule>
  </conditionalFormatting>
  <conditionalFormatting sqref="C22">
    <cfRule type="cellIs" dxfId="222" priority="43" stopIfTrue="1" operator="lessThan">
      <formula>$B$2</formula>
    </cfRule>
  </conditionalFormatting>
  <conditionalFormatting sqref="C15">
    <cfRule type="expression" dxfId="221" priority="40">
      <formula>AND($C15-TODAY()&lt;30,TODAY()&lt;$C15)</formula>
    </cfRule>
  </conditionalFormatting>
  <conditionalFormatting sqref="C15">
    <cfRule type="cellIs" dxfId="220" priority="41" stopIfTrue="1" operator="lessThan">
      <formula>$B$2</formula>
    </cfRule>
  </conditionalFormatting>
  <conditionalFormatting sqref="C17">
    <cfRule type="expression" dxfId="219" priority="38">
      <formula>AND($C17-TODAY()&lt;30,TODAY()&lt;$C17)</formula>
    </cfRule>
  </conditionalFormatting>
  <conditionalFormatting sqref="C17">
    <cfRule type="cellIs" dxfId="218" priority="39" stopIfTrue="1" operator="lessThan">
      <formula>$B$2</formula>
    </cfRule>
  </conditionalFormatting>
  <conditionalFormatting sqref="C19">
    <cfRule type="expression" dxfId="217" priority="36">
      <formula>AND($C19-TODAY()&lt;30,TODAY()&lt;$C19)</formula>
    </cfRule>
  </conditionalFormatting>
  <conditionalFormatting sqref="C19">
    <cfRule type="cellIs" dxfId="216" priority="37" stopIfTrue="1" operator="lessThan">
      <formula>$B$2</formula>
    </cfRule>
  </conditionalFormatting>
  <conditionalFormatting sqref="C21">
    <cfRule type="expression" dxfId="215" priority="34">
      <formula>AND($C21-TODAY()&lt;30,TODAY()&lt;$C21)</formula>
    </cfRule>
  </conditionalFormatting>
  <conditionalFormatting sqref="C21">
    <cfRule type="cellIs" dxfId="214" priority="35" stopIfTrue="1" operator="lessThan">
      <formula>$B$2</formula>
    </cfRule>
  </conditionalFormatting>
  <conditionalFormatting sqref="C23">
    <cfRule type="expression" dxfId="213" priority="32">
      <formula>AND($C23-TODAY()&lt;30,TODAY()&lt;$C23)</formula>
    </cfRule>
  </conditionalFormatting>
  <conditionalFormatting sqref="C23">
    <cfRule type="cellIs" dxfId="212" priority="33" stopIfTrue="1" operator="lessThan">
      <formula>$B$2</formula>
    </cfRule>
  </conditionalFormatting>
  <conditionalFormatting sqref="F16">
    <cfRule type="cellIs" dxfId="211" priority="30" stopIfTrue="1" operator="lessThan">
      <formula>$B$2</formula>
    </cfRule>
  </conditionalFormatting>
  <conditionalFormatting sqref="F18">
    <cfRule type="cellIs" dxfId="210" priority="29" stopIfTrue="1" operator="lessThan">
      <formula>$B$2</formula>
    </cfRule>
  </conditionalFormatting>
  <conditionalFormatting sqref="F22">
    <cfRule type="cellIs" dxfId="209" priority="28" stopIfTrue="1" operator="lessThan">
      <formula>$B$2</formula>
    </cfRule>
  </conditionalFormatting>
  <conditionalFormatting sqref="F21">
    <cfRule type="cellIs" dxfId="208" priority="27" stopIfTrue="1" operator="lessThan">
      <formula>$B$2</formula>
    </cfRule>
  </conditionalFormatting>
  <conditionalFormatting sqref="F17">
    <cfRule type="cellIs" dxfId="207" priority="26" stopIfTrue="1" operator="lessThan">
      <formula>$B$2</formula>
    </cfRule>
  </conditionalFormatting>
  <conditionalFormatting sqref="B4:B11 E4:E11 B16:B23 E16:E23 B13:B14 E13:E14">
    <cfRule type="cellIs" dxfId="206" priority="25" stopIfTrue="1" operator="equal">
      <formula>"已过期"</formula>
    </cfRule>
  </conditionalFormatting>
  <conditionalFormatting sqref="A24:F24">
    <cfRule type="cellIs" dxfId="205" priority="21" stopIfTrue="1" operator="equal">
      <formula>"已过期"</formula>
    </cfRule>
  </conditionalFormatting>
  <conditionalFormatting sqref="F28">
    <cfRule type="expression" dxfId="204" priority="19">
      <formula>AND($E28-TODAY()&lt;30,TODAY()&lt;$E28)</formula>
    </cfRule>
  </conditionalFormatting>
  <conditionalFormatting sqref="F28">
    <cfRule type="cellIs" dxfId="203" priority="20" stopIfTrue="1" operator="lessThan">
      <formula>$B$2</formula>
    </cfRule>
  </conditionalFormatting>
  <conditionalFormatting sqref="F29">
    <cfRule type="expression" dxfId="202" priority="15" stopIfTrue="1">
      <formula>AND($E29-TODAY()&lt;30,TODAY()&lt;$E29)</formula>
    </cfRule>
  </conditionalFormatting>
  <conditionalFormatting sqref="F29">
    <cfRule type="cellIs" dxfId="201" priority="16" stopIfTrue="1" operator="lessThan">
      <formula>$B$2</formula>
    </cfRule>
  </conditionalFormatting>
  <conditionalFormatting sqref="B15">
    <cfRule type="cellIs" dxfId="200" priority="13" stopIfTrue="1" operator="equal">
      <formula>"已过期"</formula>
    </cfRule>
  </conditionalFormatting>
  <conditionalFormatting sqref="A15">
    <cfRule type="cellIs" dxfId="199" priority="12" stopIfTrue="1" operator="equal">
      <formula>"已过期"</formula>
    </cfRule>
  </conditionalFormatting>
  <conditionalFormatting sqref="C15">
    <cfRule type="expression" dxfId="198" priority="11">
      <formula>AND($C15-TODAY()&lt;30,TODAY()&lt;$C15)</formula>
    </cfRule>
  </conditionalFormatting>
  <conditionalFormatting sqref="E15">
    <cfRule type="cellIs" dxfId="197" priority="10" stopIfTrue="1" operator="equal">
      <formula>"已过期"</formula>
    </cfRule>
  </conditionalFormatting>
  <conditionalFormatting sqref="D15">
    <cfRule type="cellIs" dxfId="196" priority="9" stopIfTrue="1" operator="equal">
      <formula>"已过期"</formula>
    </cfRule>
  </conditionalFormatting>
  <conditionalFormatting sqref="F13">
    <cfRule type="cellIs" dxfId="195" priority="8" stopIfTrue="1" operator="lessThan">
      <formula>$B$2</formula>
    </cfRule>
  </conditionalFormatting>
  <conditionalFormatting sqref="C12">
    <cfRule type="expression" dxfId="194" priority="6">
      <formula>AND($C12-TODAY()&lt;30,TODAY()&lt;$C12)</formula>
    </cfRule>
  </conditionalFormatting>
  <conditionalFormatting sqref="C12">
    <cfRule type="cellIs" dxfId="193" priority="7" stopIfTrue="1" operator="lessThan">
      <formula>$B$2</formula>
    </cfRule>
  </conditionalFormatting>
  <conditionalFormatting sqref="C12">
    <cfRule type="expression" dxfId="192" priority="4">
      <formula>AND($C12-TODAY()&lt;30,TODAY()&lt;$C12)</formula>
    </cfRule>
  </conditionalFormatting>
  <conditionalFormatting sqref="C12">
    <cfRule type="cellIs" dxfId="191" priority="5" stopIfTrue="1" operator="lessThan">
      <formula>$B$2</formula>
    </cfRule>
  </conditionalFormatting>
  <conditionalFormatting sqref="B12">
    <cfRule type="cellIs" dxfId="190" priority="3" stopIfTrue="1" operator="equal">
      <formula>"已过期"</formula>
    </cfRule>
  </conditionalFormatting>
  <conditionalFormatting sqref="E12">
    <cfRule type="cellIs" dxfId="189" priority="2" stopIfTrue="1" operator="equal">
      <formula>"已过期"</formula>
    </cfRule>
  </conditionalFormatting>
  <conditionalFormatting sqref="F12">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基准地价修正办公</vt:lpstr>
      <vt:lpstr>基准地价修正商业</vt:lpstr>
      <vt:lpstr>假设开发法</vt:lpstr>
      <vt:lpstr>比较法-办公 (2)</vt:lpstr>
      <vt:lpstr>比较法-商业 (2)</vt:lpstr>
      <vt:lpstr>收益法办公</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面积表及商业修正表</vt:lpstr>
      <vt:lpstr>估价师及机构信息!Print_Area</vt:lpstr>
      <vt:lpstr>'收益法 (元)'!Print_Area</vt:lpstr>
      <vt:lpstr>收益法办公!Print_Area</vt:lpstr>
      <vt:lpstr>收益法仓储!Print_Area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2018-06-22T06:30:30Z</dcterms:modified>
</cp:coreProperties>
</file>