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68" r:id="rId35"/>
    <sheet name="不动产收益法-商业" sheetId="1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9" i="70" l="1"/>
  <c r="Q7" i="1"/>
  <c r="G9" i="39"/>
  <c r="G40" i="39"/>
  <c r="G48" i="39"/>
  <c r="G7" i="39"/>
  <c r="Q14" i="69"/>
  <c r="Q15" i="69"/>
  <c r="Q16" i="69"/>
  <c r="Q17" i="69"/>
  <c r="Q18" i="69"/>
  <c r="Q4" i="69"/>
  <c r="Q5" i="69"/>
  <c r="Q6" i="69"/>
  <c r="Q7" i="69"/>
  <c r="Q8" i="69"/>
  <c r="Q9" i="69"/>
  <c r="Q10" i="69"/>
  <c r="Q11" i="69"/>
  <c r="Q12" i="69"/>
  <c r="Q13" i="69"/>
  <c r="Q3" i="69"/>
  <c r="N13" i="70"/>
  <c r="N14" i="70"/>
  <c r="G15" i="66"/>
  <c r="D15" i="66"/>
  <c r="C15" i="66"/>
  <c r="B15" i="66"/>
  <c r="G22" i="6"/>
  <c r="L48" i="15"/>
  <c r="J53" i="15"/>
  <c r="D30" i="9"/>
  <c r="B30" i="9"/>
  <c r="D27" i="9"/>
  <c r="B27" i="9"/>
  <c r="I48" i="39"/>
  <c r="E48" i="39"/>
  <c r="L14" i="1"/>
  <c r="F21" i="6"/>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I7" i="35"/>
  <c r="J7" i="35"/>
  <c r="AC7" i="35"/>
  <c r="J8" i="35"/>
  <c r="AC8" i="35"/>
  <c r="J9" i="35"/>
  <c r="AC9" i="35"/>
  <c r="J10" i="35"/>
  <c r="AC10" i="35"/>
  <c r="J11" i="35"/>
  <c r="AC11" i="35"/>
  <c r="J12" i="35"/>
  <c r="AC12" i="35"/>
  <c r="J13" i="35"/>
  <c r="AC13" i="35"/>
  <c r="I15" i="35"/>
  <c r="C18" i="21"/>
  <c r="C15" i="35"/>
  <c r="J14" i="35"/>
  <c r="AC14" i="35"/>
  <c r="I17" i="35"/>
  <c r="C17" i="35"/>
  <c r="J16" i="35"/>
  <c r="AC16" i="35"/>
  <c r="I19" i="35"/>
  <c r="C19" i="35"/>
  <c r="J18" i="35"/>
  <c r="AC18" i="35"/>
  <c r="I21" i="35"/>
  <c r="C24" i="21"/>
  <c r="C21"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I38" i="35"/>
  <c r="R37" i="35"/>
  <c r="E7" i="35"/>
  <c r="F7" i="35"/>
  <c r="AA7" i="35"/>
  <c r="F8" i="35"/>
  <c r="AA8" i="35"/>
  <c r="F9" i="35"/>
  <c r="AA9" i="35"/>
  <c r="F10" i="35"/>
  <c r="AA10" i="35"/>
  <c r="F11" i="35"/>
  <c r="AA11" i="35"/>
  <c r="F12" i="35"/>
  <c r="AA12" i="35"/>
  <c r="F13" i="35"/>
  <c r="AA13" i="35"/>
  <c r="F14" i="35"/>
  <c r="AA14" i="35"/>
  <c r="E17" i="35"/>
  <c r="F16" i="35"/>
  <c r="AA16" i="35"/>
  <c r="E19" i="35"/>
  <c r="F18" i="35"/>
  <c r="AA18" i="35"/>
  <c r="E21" i="35"/>
  <c r="F20" i="35"/>
  <c r="AA20" i="35"/>
  <c r="F22" i="35"/>
  <c r="AA22" i="35"/>
  <c r="F23" i="35"/>
  <c r="AA23" i="35"/>
  <c r="F24" i="35"/>
  <c r="AA24" i="35"/>
  <c r="F25" i="35"/>
  <c r="AA25" i="35"/>
  <c r="F26" i="35"/>
  <c r="AA26" i="35"/>
  <c r="F27" i="35"/>
  <c r="AA27" i="35"/>
  <c r="F28" i="35"/>
  <c r="AA28" i="35"/>
  <c r="F29" i="35"/>
  <c r="AA29" i="35"/>
  <c r="F30" i="35"/>
  <c r="AA30" i="35"/>
  <c r="F31" i="35"/>
  <c r="AA31" i="35"/>
  <c r="F32" i="35"/>
  <c r="AA32" i="35"/>
  <c r="F33" i="35"/>
  <c r="AA33" i="35"/>
  <c r="F34" i="35"/>
  <c r="AA34" i="35"/>
  <c r="F35" i="35"/>
  <c r="AA35" i="35"/>
  <c r="F36" i="35"/>
  <c r="AA36" i="35"/>
  <c r="R38" i="35"/>
  <c r="E38" i="35"/>
  <c r="I43" i="35"/>
  <c r="J43" i="35"/>
  <c r="T37" i="35"/>
  <c r="G7" i="35"/>
  <c r="H7" i="35"/>
  <c r="AB7" i="35"/>
  <c r="H8" i="35"/>
  <c r="AB8" i="35"/>
  <c r="H9" i="35"/>
  <c r="AB9" i="35"/>
  <c r="H10" i="35"/>
  <c r="AB10" i="35"/>
  <c r="H11" i="35"/>
  <c r="AB11" i="35"/>
  <c r="H12" i="35"/>
  <c r="AB12" i="35"/>
  <c r="H13" i="35"/>
  <c r="AB13" i="35"/>
  <c r="G15" i="35"/>
  <c r="H14" i="35"/>
  <c r="AB14" i="35"/>
  <c r="G17" i="35"/>
  <c r="H16" i="35"/>
  <c r="AB16" i="35"/>
  <c r="G19" i="35"/>
  <c r="H18" i="35"/>
  <c r="AB18" i="35"/>
  <c r="G21"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G38" i="35"/>
  <c r="G43" i="35"/>
  <c r="H43" i="35"/>
  <c r="E43" i="35"/>
  <c r="F43" i="35"/>
  <c r="I42" i="35"/>
  <c r="J42" i="35"/>
  <c r="G42" i="35"/>
  <c r="H42" i="35"/>
  <c r="E42" i="35"/>
  <c r="F42" i="35"/>
  <c r="R39" i="35"/>
  <c r="P39" i="35"/>
  <c r="C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A6" i="1"/>
  <c r="A7" i="1"/>
  <c r="A8" i="1"/>
  <c r="A9" i="1"/>
  <c r="A10" i="1"/>
  <c r="A11" i="1"/>
  <c r="A12" i="1"/>
  <c r="A13" i="1"/>
  <c r="F3" i="35"/>
  <c r="E21" i="6"/>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 i="15"/>
  <c r="F6" i="15"/>
  <c r="F8" i="15"/>
  <c r="H14" i="3"/>
  <c r="F20" i="6"/>
  <c r="E20" i="6"/>
  <c r="K7" i="1"/>
  <c r="F7" i="15"/>
  <c r="F9" i="15"/>
  <c r="C6" i="15"/>
  <c r="B39" i="1"/>
  <c r="F11" i="15"/>
  <c r="C10" i="15"/>
  <c r="C5" i="15"/>
  <c r="B43" i="1"/>
  <c r="B41" i="1"/>
  <c r="F32" i="15"/>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2" i="6"/>
  <c r="E23" i="6"/>
  <c r="E24" i="6"/>
  <c r="E25" i="6"/>
  <c r="E26" i="6"/>
  <c r="BA5" i="3"/>
  <c r="BC5" i="3"/>
  <c r="E8" i="6"/>
  <c r="F27" i="6"/>
  <c r="E27" i="6"/>
  <c r="K20" i="6"/>
  <c r="L20" i="6"/>
  <c r="M20" i="6"/>
  <c r="I20" i="6"/>
  <c r="H20" i="6"/>
  <c r="R20" i="6"/>
  <c r="R7" i="1"/>
  <c r="F35" i="15"/>
  <c r="B52" i="1"/>
  <c r="F34" i="15"/>
  <c r="C34" i="15"/>
  <c r="C31" i="15"/>
  <c r="M7" i="1"/>
  <c r="T4" i="1"/>
  <c r="K14" i="1"/>
  <c r="M14" i="1"/>
  <c r="S7" i="1"/>
  <c r="K19" i="6"/>
  <c r="S6" i="1"/>
  <c r="K21" i="6"/>
  <c r="S8" i="1"/>
  <c r="K22" i="6"/>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28" i="15"/>
  <c r="C29" i="15"/>
  <c r="F36" i="15"/>
  <c r="C36" i="15"/>
  <c r="Y7" i="1"/>
  <c r="F13" i="15"/>
  <c r="C13" i="15"/>
  <c r="F37" i="15"/>
  <c r="C37" i="15"/>
  <c r="F38" i="15"/>
  <c r="C38" i="15"/>
  <c r="C30" i="15"/>
  <c r="C39" i="15"/>
  <c r="F42" i="15"/>
  <c r="F40" i="15"/>
  <c r="E19" i="4"/>
  <c r="F7" i="1"/>
  <c r="M47" i="15"/>
  <c r="J50" i="15"/>
  <c r="J51"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G6" i="68"/>
  <c r="G7" i="68"/>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F17" i="11"/>
  <c r="C7" i="11"/>
  <c r="C11" i="11"/>
  <c r="C10" i="11"/>
  <c r="C17" i="11"/>
  <c r="K6" i="1"/>
  <c r="K8" i="1"/>
  <c r="K9" i="1"/>
  <c r="K10" i="1"/>
  <c r="K11" i="1"/>
  <c r="K12" i="1"/>
  <c r="K13" i="1"/>
  <c r="Q16" i="1"/>
  <c r="F18" i="11"/>
  <c r="C18" i="11"/>
  <c r="C19" i="11"/>
  <c r="C20" i="11"/>
  <c r="C21" i="11"/>
  <c r="G17" i="11"/>
  <c r="E13" i="1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AE9" i="1"/>
  <c r="AE10" i="1"/>
  <c r="F46" i="44"/>
  <c r="J31" i="44"/>
  <c r="Q67" i="44"/>
  <c r="F9" i="1"/>
  <c r="L49" i="44"/>
  <c r="F8" i="44"/>
  <c r="F10" i="44"/>
  <c r="F11" i="44"/>
  <c r="C8" i="44"/>
  <c r="F13" i="44"/>
  <c r="C12" i="44"/>
  <c r="C7" i="44"/>
  <c r="F40" i="44"/>
  <c r="C40" i="44"/>
  <c r="L52" i="44"/>
  <c r="J51" i="44"/>
  <c r="J52" i="44"/>
  <c r="L58" i="44"/>
  <c r="D9" i="1"/>
  <c r="L48" i="44"/>
  <c r="L59" i="44"/>
  <c r="L60" i="44"/>
  <c r="M48" i="44"/>
  <c r="L61" i="44"/>
  <c r="Q68" i="44"/>
  <c r="Q77" i="44"/>
  <c r="Q76" i="44"/>
  <c r="Q75" i="44"/>
  <c r="Q74" i="44"/>
  <c r="F43" i="44"/>
  <c r="Q73" i="44"/>
  <c r="M9" i="1"/>
  <c r="T9" i="1"/>
  <c r="M10" i="1"/>
  <c r="T10"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L22" i="6"/>
  <c r="M22" i="6"/>
  <c r="I22" i="6"/>
  <c r="H22" i="6"/>
  <c r="D22" i="6"/>
  <c r="R22" i="6"/>
  <c r="R9" i="1"/>
  <c r="R10" i="1"/>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9" i="1"/>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J20" i="46"/>
  <c r="I20" i="46"/>
  <c r="C20" i="46"/>
  <c r="G2" i="46"/>
  <c r="C6" i="46"/>
  <c r="H17" i="46"/>
  <c r="I17" i="46"/>
  <c r="J17" i="46"/>
  <c r="K17" i="46"/>
  <c r="L17" i="46"/>
  <c r="M17" i="46"/>
  <c r="N17" i="46"/>
  <c r="O17" i="46"/>
  <c r="G17" i="46"/>
  <c r="E41" i="46"/>
  <c r="C41" i="46"/>
  <c r="C10" i="46"/>
  <c r="C11" i="46"/>
  <c r="E8" i="46"/>
  <c r="E9" i="46"/>
  <c r="E10" i="46"/>
  <c r="E11" i="46"/>
  <c r="E15" i="46"/>
  <c r="G3"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11" i="1"/>
  <c r="M12" i="1"/>
  <c r="M13" i="1"/>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G23" i="43"/>
  <c r="G22" i="43"/>
  <c r="G21" i="43"/>
  <c r="K9" i="43"/>
  <c r="J9" i="43"/>
  <c r="I9" i="43"/>
  <c r="H9" i="43"/>
  <c r="G9" i="43"/>
  <c r="F9" i="43"/>
  <c r="E9" i="43"/>
  <c r="D9" i="43"/>
  <c r="C9" i="43"/>
  <c r="B2" i="43"/>
  <c r="B5" i="43"/>
  <c r="B4" i="43"/>
  <c r="B3" i="43"/>
  <c r="K1" i="43"/>
  <c r="D8" i="12"/>
  <c r="D9" i="12"/>
  <c r="D10" i="12"/>
  <c r="C8" i="12"/>
  <c r="C9" i="12"/>
  <c r="C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7" i="39"/>
  <c r="D19" i="9"/>
  <c r="C109" i="9"/>
  <c r="D107" i="9"/>
  <c r="C107" i="9"/>
  <c r="C105" i="9"/>
  <c r="C110" i="9"/>
  <c r="C112" i="9"/>
  <c r="D111"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6" i="1"/>
  <c r="T8" i="1"/>
  <c r="T11" i="1"/>
  <c r="T12" i="1"/>
  <c r="T13" i="1"/>
  <c r="T16" i="1"/>
  <c r="D19" i="6"/>
  <c r="F29" i="6"/>
  <c r="G29" i="6"/>
  <c r="E29" i="6"/>
  <c r="E32" i="6"/>
  <c r="L19" i="6"/>
  <c r="M19" i="6"/>
  <c r="I19" i="6"/>
  <c r="H19" i="6"/>
  <c r="R19" i="6"/>
  <c r="R6" i="1"/>
  <c r="D21" i="6"/>
  <c r="L21" i="6"/>
  <c r="M21" i="6"/>
  <c r="I21" i="6"/>
  <c r="H21" i="6"/>
  <c r="R21" i="6"/>
  <c r="R8"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D10" i="1"/>
  <c r="G10" i="1"/>
  <c r="B10" i="1"/>
  <c r="E10" i="1"/>
  <c r="AP9" i="1"/>
  <c r="G9" i="1"/>
  <c r="B9" i="1"/>
  <c r="E9" i="1"/>
  <c r="G19" i="4"/>
  <c r="F8" i="1"/>
  <c r="AP8" i="1"/>
  <c r="AG8" i="1"/>
  <c r="AE8" i="1"/>
  <c r="D8" i="1"/>
  <c r="G8" i="1"/>
  <c r="B8" i="1"/>
  <c r="E8" i="1"/>
  <c r="AP7" i="1"/>
  <c r="G7" i="1"/>
  <c r="B7" i="1"/>
  <c r="E7" i="1"/>
  <c r="F6" i="1"/>
  <c r="AP6" i="1"/>
  <c r="AG6" i="1"/>
  <c r="AE6" i="1"/>
  <c r="D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G14"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4" i="46"/>
  <c r="G34" i="46"/>
  <c r="I34" i="46"/>
  <c r="C35" i="46"/>
  <c r="G35" i="46"/>
  <c r="I35" i="46"/>
  <c r="C36" i="46"/>
  <c r="G36" i="46"/>
  <c r="I36" i="46"/>
  <c r="C37" i="46"/>
  <c r="G37" i="46"/>
  <c r="I37" i="46"/>
  <c r="C38" i="46"/>
  <c r="G38" i="46"/>
  <c r="I38" i="46"/>
  <c r="C39" i="46"/>
  <c r="G39" i="46"/>
  <c r="I39" i="46"/>
  <c r="B7" i="67"/>
  <c r="B2" i="67"/>
  <c r="C30" i="46"/>
  <c r="E30" i="46"/>
  <c r="G33" i="46"/>
  <c r="I33" i="46"/>
  <c r="C27" i="46"/>
  <c r="E7" i="67"/>
  <c r="E3" i="67"/>
  <c r="B3" i="67"/>
  <c r="E34" i="46"/>
  <c r="E35" i="46"/>
  <c r="E36" i="46"/>
  <c r="E37" i="46"/>
  <c r="E38" i="46"/>
  <c r="E39" i="46"/>
  <c r="F7" i="67"/>
  <c r="E4" i="67"/>
  <c r="B4" i="67"/>
  <c r="AP16" i="1"/>
  <c r="F22" i="11"/>
  <c r="C22" i="11"/>
  <c r="C23" i="11"/>
  <c r="B2" i="11"/>
  <c r="B3" i="11"/>
  <c r="B4" i="11"/>
  <c r="B5" i="11"/>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<sst xmlns="http://schemas.openxmlformats.org/spreadsheetml/2006/main" count="7302" uniqueCount="2511">
  <si>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</si>
  <si>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</si>
  <si>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</si>
  <si>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</si>
  <si>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</si>
  <si>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</si>
  <si>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</si>
  <si>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</si>
  <si>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</si>
  <si>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</si>
  <si>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</si>
  <si>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</si>
  <si>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</si>
  <si>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</si>
  <si>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</si>
  <si>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</si>
  <si>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</si>
  <si>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</si>
  <si>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</si>
  <si>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</si>
  <si>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</si>
  <si>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</si>
  <si>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</si>
  <si>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</si>
  <si>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</si>
  <si>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</si>
  <si>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</si>
  <si>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</si>
  <si>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</si>
  <si>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</si>
  <si>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</si>
  <si>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</si>
  <si>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</si>
  <si>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</si>
  <si>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</si>
  <si>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</si>
  <si>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</si>
  <si>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</si>
  <si>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</si>
  <si>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</si>
  <si>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</si>
  <si>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</si>
  <si>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</si>
  <si>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</si>
  <si>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</si>
  <si>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</si>
  <si>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</si>
  <si>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</si>
  <si>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</si>
  <si>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</si>
  <si>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</si>
  <si>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</si>
  <si>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</si>
  <si>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</si>
  <si>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</si>
  <si>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</si>
  <si>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</si>
  <si>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</si>
  <si>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</si>
  <si>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</si>
  <si>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</si>
  <si>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</si>
  <si>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</si>
  <si>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</si>
  <si>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</si>
  <si>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</si>
  <si>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</si>
  <si>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</si>
  <si>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</si>
  <si>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</si>
  <si>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</si>
  <si>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</si>
  <si>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</si>
  <si>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</si>
  <si>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</si>
  <si>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</si>
  <si>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</si>
  <si>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</si>
  <si>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</si>
  <si>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</si>
  <si>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</si>
  <si>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</si>
  <si>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</si>
  <si>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</si>
  <si>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</si>
  <si>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</si>
  <si>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</si>
  <si>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</si>
  <si>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</si>
  <si>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</si>
  <si>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</si>
  <si>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</si>
  <si>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</si>
  <si>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</si>
  <si>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</si>
  <si>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</si>
  <si>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</si>
  <si>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</si>
  <si>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</si>
  <si>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</si>
  <si>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</si>
  <si>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</si>
  <si>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</si>
  <si>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</si>
  <si>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</si>
  <si>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</si>
  <si>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</si>
  <si>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</si>
  <si>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</si>
  <si>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</si>
  <si>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</si>
  <si>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</si>
  <si>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</si>
  <si>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</si>
  <si>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</si>
  <si>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</si>
  <si>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</si>
  <si>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</si>
  <si>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</si>
  <si>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</si>
  <si>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</si>
  <si>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</si>
  <si>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</si>
  <si>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</si>
  <si>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</si>
  <si>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</si>
  <si>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</si>
  <si>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</si>
  <si>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</si>
  <si>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</si>
  <si>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</si>
  <si>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</si>
  <si>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</si>
  <si>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</si>
  <si>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</si>
  <si>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</si>
  <si>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</si>
  <si>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</si>
  <si>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</si>
  <si>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</si>
  <si>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</si>
  <si>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</si>
  <si>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</si>
  <si>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</si>
  <si>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</si>
  <si>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</si>
  <si>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</si>
  <si>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</si>
  <si>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</si>
  <si>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</si>
  <si>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</si>
  <si>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</si>
  <si>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</si>
  <si>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</si>
  <si>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</si>
  <si>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</si>
  <si>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</si>
  <si>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</si>
  <si>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</si>
  <si>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</si>
  <si>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</si>
  <si>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</si>
  <si>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</si>
  <si>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</si>
  <si>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</si>
  <si>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</si>
  <si>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</si>
  <si>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</si>
  <si>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</si>
  <si>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</si>
  <si>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</si>
  <si>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</si>
  <si>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</si>
  <si>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</si>
  <si>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</si>
  <si>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</si>
  <si>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</si>
  <si>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</si>
  <si>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</si>
  <si>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</si>
  <si>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</si>
  <si>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</si>
  <si>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</si>
  <si>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</si>
  <si>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</si>
  <si>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</si>
  <si>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</si>
  <si>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</si>
  <si>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</si>
  <si>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</si>
  <si>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</si>
  <si>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</si>
  <si>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</si>
  <si>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</si>
  <si>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</si>
  <si>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</si>
  <si>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</si>
  <si>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</si>
  <si>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</si>
  <si>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</si>
  <si>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</si>
  <si>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</si>
  <si>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</si>
  <si>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</si>
  <si>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</si>
  <si>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</si>
  <si>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</si>
  <si>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</si>
  <si>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</si>
  <si>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</si>
  <si>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</si>
  <si>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</si>
  <si>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</si>
  <si>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</si>
  <si>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</si>
  <si>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</si>
  <si>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</si>
  <si>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</si>
  <si>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</si>
  <si>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</si>
  <si>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</si>
  <si>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</si>
  <si>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</si>
  <si>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</si>
  <si>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</si>
  <si>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</si>
  <si>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</si>
  <si>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</si>
  <si>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</si>
  <si>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</si>
  <si>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</si>
  <si>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</si>
  <si>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</si>
  <si>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</si>
  <si>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</si>
  <si>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</si>
  <si>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</si>
  <si>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</si>
  <si>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</si>
  <si>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</si>
  <si>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</si>
  <si>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</si>
  <si>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</si>
  <si>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</si>
  <si>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</si>
  <si>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</si>
  <si>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</si>
  <si>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</si>
  <si>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</si>
  <si>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</si>
  <si>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</si>
  <si>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</si>
  <si>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</si>
  <si>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</si>
  <si>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</si>
  <si>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</si>
  <si>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</si>
  <si>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</si>
  <si>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</si>
  <si>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</si>
  <si>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</si>
  <si>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</si>
  <si>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</si>
  <si>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</si>
  <si>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</si>
  <si>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</si>
  <si>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</si>
  <si>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</si>
  <si>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</si>
  <si>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</si>
  <si>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</si>
  <si>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</si>
  <si>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</si>
  <si>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</si>
  <si>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</si>
  <si>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</si>
  <si>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</si>
  <si>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</si>
  <si>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</si>
  <si>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</si>
  <si>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</si>
  <si>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</si>
  <si>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</si>
  <si>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</si>
  <si>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</si>
  <si>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</si>
  <si>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</si>
  <si>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</si>
  <si>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</si>
  <si>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</si>
  <si>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</si>
  <si>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</si>
  <si>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</si>
  <si>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</si>
  <si>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</si>
  <si>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</si>
  <si>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</si>
  <si>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</si>
  <si>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</si>
  <si>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</si>
  <si>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</si>
  <si>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</si>
  <si>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</si>
  <si>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</si>
  <si>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</si>
  <si>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</si>
  <si>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</si>
  <si>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</si>
  <si>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</si>
  <si>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</si>
  <si>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</si>
  <si>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</si>
  <si>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</si>
  <si>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</si>
  <si>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</si>
  <si>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</si>
  <si>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</si>
  <si>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</si>
  <si>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</si>
  <si>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</si>
  <si>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</si>
  <si>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</si>
  <si>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</si>
  <si>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</si>
  <si>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</si>
  <si>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</si>
  <si>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</si>
  <si>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</si>
  <si>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</si>
  <si>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</si>
  <si>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</si>
  <si>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</si>
  <si>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</si>
  <si>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</si>
  <si>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</si>
  <si>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</si>
  <si>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</si>
  <si>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</si>
  <si>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</si>
  <si>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</si>
  <si>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</si>
  <si>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</si>
  <si>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</si>
  <si>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</si>
  <si>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</si>
  <si>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</si>
  <si>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</si>
  <si>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</si>
  <si>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</si>
  <si>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</si>
  <si>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</si>
  <si>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</si>
  <si>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</si>
  <si>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</si>
  <si>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</si>
  <si>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</si>
  <si>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</si>
  <si>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</si>
  <si>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</si>
  <si>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</si>
  <si>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</si>
  <si>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</si>
  <si>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</si>
  <si>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</si>
  <si>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</si>
  <si>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</si>
  <si>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</si>
  <si>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</si>
  <si>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</si>
  <si>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</si>
  <si>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</si>
  <si>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</si>
  <si>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</si>
  <si>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</si>
  <si>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</si>
  <si>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</si>
  <si>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</si>
  <si>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</si>
  <si>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</si>
  <si>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</si>
  <si>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</si>
  <si>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</si>
  <si>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</si>
  <si>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</si>
  <si>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</si>
  <si>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</si>
  <si>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</si>
  <si>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</si>
  <si>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</si>
  <si>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</si>
  <si>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</si>
  <si>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</si>
  <si>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</si>
  <si>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</si>
  <si>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</si>
  <si>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</si>
  <si>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</si>
  <si>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</si>
  <si>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</si>
  <si>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</si>
  <si>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</si>
  <si>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</si>
  <si>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</si>
  <si>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</si>
  <si>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</si>
  <si>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</si>
  <si>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</si>
  <si>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</si>
  <si>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</si>
  <si>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</si>
  <si>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</si>
  <si>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</si>
  <si>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</si>
  <si>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</si>
  <si>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</si>
  <si>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</si>
  <si>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</si>
  <si>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</si>
  <si>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</si>
  <si>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</si>
  <si>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</si>
  <si>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</si>
  <si>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</si>
  <si>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</si>
  <si>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</si>
  <si>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</si>
  <si>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</si>
  <si>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</si>
  <si>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</si>
  <si>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</si>
  <si>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</si>
  <si>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</si>
  <si>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</si>
  <si>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</si>
  <si>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</si>
  <si>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</si>
  <si>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</si>
  <si>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</si>
  <si>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</si>
  <si>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</si>
  <si>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</si>
  <si>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</si>
  <si>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</si>
  <si>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</si>
  <si>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</si>
  <si>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</si>
  <si>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</si>
  <si>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</si>
  <si>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</si>
  <si>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</si>
  <si>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</si>
  <si>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</si>
  <si>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</si>
  <si>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</si>
  <si>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</si>
  <si>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</si>
  <si>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</si>
  <si>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</si>
  <si>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</si>
  <si>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</si>
  <si>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</si>
  <si>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</si>
  <si>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</si>
  <si>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</si>
  <si>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</si>
  <si>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</si>
  <si>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</si>
  <si>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</si>
  <si>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</si>
  <si>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</si>
  <si>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</si>
  <si>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</si>
  <si>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</si>
  <si>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</si>
  <si>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</si>
  <si>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</si>
  <si>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</si>
  <si>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</si>
  <si>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</si>
  <si>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</si>
  <si>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</si>
  <si>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</si>
  <si>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</si>
  <si>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</si>
  <si>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</si>
  <si>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</si>
  <si>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</si>
  <si>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</si>
  <si>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</si>
  <si>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</si>
  <si>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</si>
  <si>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</si>
  <si>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</si>
  <si>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</si>
  <si>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</si>
  <si>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</si>
  <si>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</si>
  <si>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</si>
  <si>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</si>
  <si>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</si>
  <si>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</si>
  <si>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</si>
  <si>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</si>
  <si>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</si>
  <si>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</si>
  <si>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</si>
  <si>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</si>
  <si>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</si>
  <si>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</si>
  <si>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</si>
  <si>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</si>
  <si>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</si>
  <si>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</si>
  <si>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</si>
  <si>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</si>
  <si>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</si>
  <si>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</si>
  <si>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</si>
  <si>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</si>
  <si>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</si>
  <si>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</si>
  <si>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</si>
  <si>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</si>
  <si>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</si>
  <si>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</si>
  <si>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</si>
  <si>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</si>
  <si>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</si>
  <si>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</si>
  <si>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</si>
  <si>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</si>
  <si>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</si>
  <si>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</si>
  <si>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</si>
  <si>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</si>
  <si>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</si>
  <si>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</si>
  <si>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</si>
  <si>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</si>
  <si>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</si>
  <si>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</si>
  <si>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</si>
  <si>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</si>
  <si>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</si>
  <si>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</si>
  <si>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</si>
  <si>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</si>
  <si>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</si>
  <si>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</si>
  <si>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</si>
  <si>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</si>
  <si>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</si>
  <si>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</si>
  <si>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</si>
  <si>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</si>
  <si>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</si>
  <si>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</si>
  <si>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</si>
  <si>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</si>
  <si>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</si>
  <si>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</si>
  <si>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</si>
  <si>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</si>
  <si>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</si>
  <si>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</si>
  <si>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</si>
  <si>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</si>
  <si>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</si>
  <si>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</si>
  <si>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</si>
  <si>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</si>
  <si>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</si>
  <si>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</si>
  <si>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</si>
  <si>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</si>
  <si>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</si>
  <si>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</si>
  <si>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</si>
  <si>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</si>
  <si>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</si>
  <si>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</si>
  <si>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</si>
  <si>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</si>
  <si>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</si>
  <si>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</si>
  <si>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</si>
  <si>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</si>
  <si>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</si>
  <si>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</si>
  <si>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</si>
  <si>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</si>
  <si>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</si>
  <si>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</si>
  <si>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</si>
  <si>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</si>
  <si>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</si>
  <si>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</si>
  <si>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</si>
  <si>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</si>
  <si>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</si>
  <si>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</si>
  <si>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</si>
  <si>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</si>
  <si>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</si>
  <si>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</si>
  <si>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</si>
  <si>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</si>
  <si>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</si>
  <si>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</si>
  <si>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</si>
  <si>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</si>
  <si>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</si>
  <si>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</si>
  <si>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</si>
  <si>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</si>
  <si>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</si>
  <si>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</si>
  <si>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</si>
  <si>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</si>
  <si>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</si>
  <si>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</si>
  <si>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</si>
  <si>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</si>
  <si>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</si>
  <si>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</si>
  <si>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</si>
  <si>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</si>
  <si>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</si>
  <si>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</si>
  <si>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</si>
  <si>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</si>
  <si>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</si>
  <si>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</si>
  <si>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</si>
  <si>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</si>
  <si>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</si>
  <si>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</si>
  <si>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</si>
  <si>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</si>
  <si>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</si>
  <si>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</si>
  <si>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</si>
  <si>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</si>
  <si>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</si>
  <si>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</si>
  <si>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</si>
  <si>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</si>
  <si>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</si>
  <si>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</si>
  <si>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</si>
  <si>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</si>
  <si>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</si>
  <si>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</si>
  <si>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</si>
  <si>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</si>
  <si>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</si>
  <si>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</si>
  <si>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</si>
  <si>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</si>
  <si>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</si>
  <si>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</si>
  <si>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</si>
  <si>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</si>
  <si>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</si>
  <si>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</si>
  <si>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</si>
  <si>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</si>
  <si>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</si>
  <si>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</si>
  <si>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</si>
  <si>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</si>
  <si>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</si>
  <si>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</si>
  <si>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</si>
  <si>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</si>
  <si>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</si>
  <si>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</si>
  <si>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</si>
  <si>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</si>
  <si>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</si>
  <si>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</si>
  <si>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</si>
  <si>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</si>
  <si>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</si>
  <si>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</si>
  <si>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</si>
  <si>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</si>
  <si>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</si>
  <si>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</si>
  <si>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</si>
  <si>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</si>
  <si>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</si>
  <si>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</si>
  <si>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</si>
  <si>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</si>
  <si>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</si>
  <si>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</si>
  <si>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</si>
  <si>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</si>
  <si>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</si>
  <si>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</si>
  <si>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</si>
  <si>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</si>
  <si>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</si>
  <si>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</si>
  <si>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</si>
  <si>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</si>
  <si>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</si>
  <si>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</si>
  <si>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</si>
  <si>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</si>
  <si>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</si>
  <si>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</si>
  <si>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</si>
  <si>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</si>
  <si>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</si>
  <si>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</si>
  <si>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</si>
  <si>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</si>
  <si>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</si>
  <si>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</si>
  <si>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</si>
  <si>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</si>
  <si>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</si>
  <si>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</si>
  <si>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</si>
  <si>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</si>
  <si>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</si>
  <si>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</si>
  <si>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</si>
  <si>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</si>
  <si>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</si>
  <si>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</si>
  <si>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</si>
  <si>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</si>
  <si>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</si>
  <si>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</si>
  <si>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</si>
  <si>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</si>
  <si>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</si>
  <si>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</si>
  <si>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</si>
  <si>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</si>
  <si>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</si>
  <si>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</si>
  <si>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</si>
  <si>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</si>
  <si>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</si>
  <si>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</si>
  <si>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</si>
  <si>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</si>
  <si>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</si>
  <si>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</si>
  <si>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</si>
  <si>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</si>
  <si>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</si>
  <si>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</si>
  <si>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</si>
  <si>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</si>
  <si>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</si>
  <si>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</si>
  <si>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</si>
  <si>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</si>
  <si>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</si>
  <si>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</si>
  <si>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</si>
  <si>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</si>
  <si>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</si>
  <si>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</si>
  <si>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</si>
  <si>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</si>
  <si>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</si>
  <si>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</si>
  <si>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</si>
  <si>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</si>
  <si>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</si>
  <si>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</si>
  <si>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</si>
  <si>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</si>
  <si>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</si>
  <si>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</si>
  <si>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</si>
  <si>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</si>
  <si>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</si>
  <si>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</si>
  <si>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</si>
  <si>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</si>
  <si>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</si>
  <si>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</si>
  <si>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</si>
  <si>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</si>
  <si>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</si>
  <si>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</si>
  <si>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</si>
  <si>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</si>
  <si>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</si>
  <si>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</si>
  <si>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</si>
  <si>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</si>
  <si>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</si>
  <si>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</si>
  <si>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</si>
  <si>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</si>
  <si>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</si>
  <si>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</si>
  <si>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</si>
  <si>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</si>
  <si>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</si>
  <si>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</si>
  <si>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</si>
  <si>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</si>
  <si>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</si>
  <si>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</si>
  <si>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</si>
  <si>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</si>
  <si>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</si>
  <si>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</si>
  <si>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</si>
  <si>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</si>
  <si>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</si>
  <si>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</si>
  <si>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</si>
  <si>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</si>
  <si>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</si>
  <si>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</si>
  <si>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</si>
  <si>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</si>
  <si>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</si>
  <si>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</si>
  <si>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</si>
  <si>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</si>
  <si>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</si>
  <si>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</si>
  <si>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</si>
  <si>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</si>
  <si>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</si>
  <si>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</si>
  <si>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</si>
  <si>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</si>
  <si>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</si>
  <si>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</si>
  <si>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</si>
  <si>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</si>
  <si>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</si>
  <si>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</si>
  <si>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</si>
  <si>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</si>
  <si>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</si>
  <si>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</si>
  <si>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</si>
  <si>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</si>
  <si>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</si>
  <si>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</si>
  <si>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</si>
  <si>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</si>
  <si>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</si>
  <si>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</si>
  <si>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</si>
  <si>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</si>
  <si>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</si>
  <si>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</si>
  <si>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</si>
  <si>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</si>
  <si>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</si>
  <si>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</si>
  <si>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</si>
  <si>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</si>
  <si>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</si>
  <si>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</si>
  <si>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</si>
  <si>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</si>
  <si>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</si>
  <si>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</si>
  <si>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</si>
  <si>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</si>
  <si>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</si>
  <si>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</si>
  <si>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</si>
  <si>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</si>
  <si>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</si>
  <si>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</si>
  <si>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</si>
  <si>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</si>
  <si>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</si>
  <si>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</si>
  <si>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</si>
  <si>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</si>
  <si>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</si>
  <si>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</si>
  <si>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</si>
  <si>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</si>
  <si>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</si>
  <si>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</si>
  <si>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</si>
  <si>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</si>
  <si>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</si>
  <si>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</si>
  <si>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</si>
  <si>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</si>
  <si>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</si>
  <si>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</si>
  <si>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</si>
  <si>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</si>
  <si>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</si>
  <si>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</si>
  <si>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</si>
  <si>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</si>
  <si>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</si>
  <si>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</si>
  <si>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</si>
  <si>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</si>
  <si>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</si>
  <si>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</si>
  <si>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</si>
  <si>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</si>
  <si>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</si>
  <si>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</si>
  <si>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</si>
  <si>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</si>
  <si>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</si>
  <si>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</si>
  <si>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</si>
  <si>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</si>
  <si>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</si>
  <si>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</si>
  <si>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</si>
  <si>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</si>
  <si>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</si>
  <si>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</si>
  <si>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</si>
  <si>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</si>
  <si>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</si>
  <si>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</si>
  <si>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</si>
  <si>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</si>
  <si>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</si>
  <si>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</si>
  <si>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</si>
  <si>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</si>
  <si>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</si>
  <si>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</si>
  <si>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</si>
  <si>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</si>
  <si>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</si>
  <si>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</si>
  <si>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</si>
  <si>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</si>
  <si>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</si>
  <si>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</si>
  <si>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</si>
  <si>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</si>
  <si>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</si>
  <si>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</si>
  <si>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</si>
  <si>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</si>
  <si>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</si>
  <si>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</si>
  <si>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</si>
  <si>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</si>
  <si>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</si>
  <si>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</si>
  <si>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</si>
  <si>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</si>
  <si>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</si>
  <si>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</si>
  <si>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</si>
  <si>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</si>
  <si>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</si>
  <si>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</si>
  <si>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</si>
  <si>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</si>
  <si>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</si>
  <si>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</si>
  <si>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</si>
  <si>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</si>
  <si>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</si>
  <si>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</si>
  <si>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</si>
  <si>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</si>
  <si>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</si>
  <si>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</si>
  <si>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</si>
  <si>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</si>
  <si>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</si>
  <si>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</si>
  <si>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</si>
  <si>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</si>
  <si>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</si>
  <si>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</si>
  <si>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</si>
  <si>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</si>
  <si>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</si>
  <si>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</si>
  <si>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</si>
  <si>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</si>
  <si>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</si>
  <si>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</si>
  <si>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</si>
  <si>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</si>
  <si>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</si>
  <si>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</si>
  <si>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</si>
  <si>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</si>
  <si>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</si>
  <si>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</si>
  <si>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</si>
  <si>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</si>
  <si>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</si>
  <si>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</si>
  <si>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</si>
  <si>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</si>
  <si>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</si>
  <si>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</si>
  <si>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</si>
  <si>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</si>
  <si>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</si>
  <si>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</si>
  <si>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</si>
  <si>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</si>
  <si>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</si>
  <si>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</si>
  <si>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</si>
  <si>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</si>
  <si>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</si>
  <si>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</si>
  <si>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</si>
  <si>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</si>
  <si>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</si>
  <si>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</si>
  <si>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</si>
  <si>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</si>
  <si>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</si>
  <si>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</si>
  <si>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</si>
  <si>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</si>
  <si>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</si>
  <si>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</si>
  <si>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</si>
  <si>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</si>
  <si>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</si>
  <si>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</si>
  <si>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大于1并且小于或等于3</t>
  </si>
  <si>
    <t>2019-07-30</t>
  </si>
  <si>
    <t>谢再添</t>
  </si>
  <si>
    <t>大于1并且小于或等于2.5</t>
  </si>
  <si>
    <t>2019-01-29</t>
  </si>
  <si>
    <t>江嵘</t>
  </si>
  <si>
    <t>2星</t>
  </si>
  <si>
    <t>2019-01-25</t>
  </si>
  <si>
    <t>福建一泰房地产开发有限公司</t>
  </si>
  <si>
    <t>大于1并且小于或等于3.094</t>
  </si>
  <si>
    <t>2018-08-22</t>
  </si>
  <si>
    <t>福建盛桥投资有限公司</t>
  </si>
  <si>
    <t>大于1并且小于或等于6</t>
  </si>
  <si>
    <t>2018-08-15</t>
  </si>
  <si>
    <t>安溪新瑞房地产开发有限公司</t>
  </si>
  <si>
    <t>大于1并且小于或等于4.46</t>
  </si>
  <si>
    <t>2018-04-20</t>
  </si>
  <si>
    <t>大于1并且小于或等于2.1</t>
  </si>
  <si>
    <t>2018-04-18</t>
  </si>
  <si>
    <t>安溪县小城镇建设投资有限公司</t>
  </si>
  <si>
    <t>古山片区E-2地块</t>
  </si>
  <si>
    <t>大于1并且小于或等于2.6</t>
  </si>
  <si>
    <t>大于1并且小于或等于7.65</t>
  </si>
  <si>
    <t>2017-12-13</t>
  </si>
  <si>
    <t>福建银领置业有限公司</t>
  </si>
  <si>
    <t>大于1并且小于1.2</t>
  </si>
  <si>
    <t>2017-11-17</t>
  </si>
  <si>
    <t>陈伟艺</t>
  </si>
  <si>
    <t>1星</t>
  </si>
  <si>
    <t>2017-11-15</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</si>
  <si>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</si>
  <si>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</si>
  <si>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</si>
  <si>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</si>
  <si>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</si>
  <si>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</si>
  <si>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</si>
  <si>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</si>
  <si>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</si>
  <si>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</si>
  <si>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</si>
  <si>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</si>
  <si>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t>2017-07-18</t>
  </si>
  <si>
    <t>福建安溪联创房地产开发有限公司</t>
  </si>
  <si>
    <t>厦门特房滨海房地产有限公司</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</si>
  <si>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</si>
  <si>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</si>
  <si>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</si>
  <si>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</si>
  <si>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</si>
  <si>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</si>
  <si>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</si>
  <si>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</si>
  <si>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</si>
  <si>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</si>
  <si>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</si>
  <si>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</si>
  <si>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</si>
  <si>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</si>
  <si>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</si>
  <si>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</si>
  <si>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</si>
  <si>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</si>
  <si>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</si>
  <si>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</si>
  <si>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</si>
  <si>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</si>
  <si>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</si>
  <si>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</si>
  <si>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</si>
  <si>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</si>
  <si>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</si>
  <si>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</si>
  <si>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</si>
  <si>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</si>
  <si>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</si>
  <si>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</si>
  <si>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</si>
  <si>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</si>
  <si>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</si>
  <si>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</si>
  <si>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</si>
  <si>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</si>
  <si>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</si>
  <si>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</si>
  <si>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</si>
  <si>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</si>
  <si>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</si>
  <si>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</si>
  <si>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</si>
  <si>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</si>
  <si>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</si>
  <si>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</si>
  <si>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</si>
  <si>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</si>
  <si>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</si>
  <si>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</si>
  <si>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</si>
  <si>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</si>
  <si>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</si>
  <si>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</si>
  <si>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</si>
  <si>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</si>
  <si>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</si>
  <si>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</si>
  <si>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</si>
  <si>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</si>
  <si>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</si>
  <si>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</si>
  <si>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</si>
  <si>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</si>
  <si>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</si>
  <si>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</si>
  <si>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</si>
  <si>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</si>
  <si>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</si>
  <si>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</si>
  <si>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</si>
  <si>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</si>
  <si>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</si>
  <si>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</si>
  <si>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</si>
  <si>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</si>
  <si>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</si>
  <si>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</si>
  <si>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</si>
  <si>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</si>
  <si>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</si>
  <si>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</si>
  <si>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</si>
  <si>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</si>
  <si>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</si>
  <si>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</si>
  <si>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</si>
  <si>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</si>
  <si>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</si>
  <si>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</si>
  <si>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</si>
  <si>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</si>
  <si>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</si>
  <si>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</si>
  <si>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</si>
  <si>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</si>
  <si>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</si>
  <si>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</si>
  <si>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</si>
  <si>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</si>
  <si>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</si>
  <si>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</si>
  <si>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</si>
  <si>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</si>
  <si>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</si>
  <si>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</si>
  <si>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</si>
  <si>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</si>
  <si>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</si>
  <si>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</si>
  <si>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</si>
  <si>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</si>
  <si>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</si>
  <si>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</si>
  <si>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</si>
  <si>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</si>
  <si>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</si>
  <si>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</si>
  <si>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</si>
  <si>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</si>
  <si>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</si>
  <si>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</si>
  <si>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</si>
  <si>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</si>
  <si>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</si>
  <si>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</si>
  <si>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</si>
  <si>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</si>
  <si>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</si>
  <si>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</si>
  <si>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</si>
  <si>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</si>
  <si>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</si>
  <si>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</si>
  <si>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</si>
  <si>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</si>
  <si>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</si>
  <si>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</si>
  <si>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</si>
  <si>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</si>
  <si>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</si>
  <si>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</si>
  <si>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</si>
  <si>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</si>
  <si>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</si>
  <si>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</si>
  <si>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</si>
  <si>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</si>
  <si>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</si>
  <si>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</si>
  <si>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</si>
  <si>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</si>
  <si>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</si>
  <si>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</si>
  <si>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</si>
  <si>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</si>
  <si>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</si>
  <si>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</si>
  <si>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</si>
  <si>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</si>
  <si>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</si>
  <si>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</si>
  <si>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</si>
  <si>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</si>
  <si>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</si>
  <si>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</si>
  <si>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</si>
  <si>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</si>
  <si>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</si>
  <si>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</si>
  <si>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</si>
  <si>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</si>
  <si>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</si>
  <si>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</si>
  <si>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</si>
  <si>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</si>
  <si>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</si>
  <si>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</si>
  <si>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</si>
  <si>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</si>
  <si>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</si>
  <si>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</si>
  <si>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</si>
  <si>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</si>
  <si>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</si>
  <si>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</si>
  <si>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</si>
  <si>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</si>
  <si>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</si>
  <si>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</si>
  <si>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</si>
  <si>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</si>
  <si>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</si>
  <si>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</si>
  <si>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</si>
  <si>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</si>
  <si>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</si>
  <si>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</si>
  <si>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</si>
  <si>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</si>
  <si>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</si>
  <si>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</si>
  <si>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</si>
  <si>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</si>
  <si>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</si>
  <si>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</si>
  <si>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</si>
  <si>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</si>
  <si>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</si>
  <si>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</si>
  <si>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</si>
  <si>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</si>
  <si>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</si>
  <si>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</si>
  <si>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</si>
  <si>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</si>
  <si>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</si>
  <si>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</si>
  <si>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</si>
  <si>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</si>
  <si>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</si>
  <si>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</si>
  <si>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</si>
  <si>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</si>
  <si>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</si>
  <si>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</si>
  <si>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</si>
  <si>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</si>
  <si>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</si>
  <si>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</si>
  <si>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</si>
  <si>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</si>
  <si>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</si>
  <si>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</si>
  <si>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</si>
  <si>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</si>
  <si>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</si>
  <si>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</si>
  <si>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</si>
  <si>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</si>
  <si>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</si>
  <si>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</si>
  <si>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</si>
  <si>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</si>
  <si>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</si>
  <si>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</si>
  <si>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</si>
  <si>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</si>
  <si>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</si>
  <si>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</si>
  <si>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</si>
  <si>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</si>
  <si>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</si>
  <si>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</si>
  <si>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</si>
  <si>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</si>
  <si>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</si>
  <si>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</si>
  <si>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</si>
  <si>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</si>
  <si>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</si>
  <si>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</si>
  <si>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</si>
  <si>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</si>
  <si>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</si>
  <si>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</si>
  <si>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</si>
  <si>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</si>
  <si>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</si>
  <si>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</si>
  <si>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</si>
  <si>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</si>
  <si>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</si>
  <si>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</si>
  <si>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</si>
  <si>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</si>
  <si>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</si>
  <si>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</si>
  <si>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</si>
  <si>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</si>
  <si>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</si>
  <si>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</si>
  <si>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</si>
  <si>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</si>
  <si>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</si>
  <si>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</si>
  <si>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</si>
  <si>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</si>
  <si>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</si>
  <si>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</si>
  <si>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</si>
  <si>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</si>
  <si>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</si>
  <si>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</si>
  <si>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</si>
  <si>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</si>
  <si>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</si>
  <si>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</si>
  <si>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</si>
  <si>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</si>
  <si>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</si>
  <si>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</si>
  <si>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</si>
  <si>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</si>
  <si>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</si>
  <si>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</si>
  <si>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</si>
  <si>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</si>
  <si>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</si>
  <si>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</si>
  <si>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</si>
  <si>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</si>
  <si>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</si>
  <si>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</si>
  <si>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</si>
  <si>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</si>
  <si>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</si>
  <si>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</si>
  <si>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</si>
  <si>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</si>
  <si>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</si>
  <si>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</si>
  <si>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</si>
  <si>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</si>
  <si>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</si>
  <si>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</si>
  <si>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</si>
  <si>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</si>
  <si>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</si>
  <si>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</si>
  <si>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</si>
  <si>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</si>
  <si>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</si>
  <si>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</si>
  <si>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</si>
  <si>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</si>
  <si>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</si>
  <si>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</si>
  <si>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</si>
  <si>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</si>
  <si>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</si>
  <si>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</si>
  <si>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</si>
  <si>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</si>
  <si>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</si>
  <si>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</si>
  <si>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</si>
  <si>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</si>
  <si>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</si>
  <si>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</si>
  <si>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</si>
  <si>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</si>
  <si>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</si>
  <si>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</si>
  <si>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</si>
  <si>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</si>
  <si>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</si>
  <si>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</si>
  <si>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</si>
  <si>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</si>
  <si>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</si>
  <si>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</si>
  <si>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</si>
  <si>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</si>
  <si>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</si>
  <si>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</si>
  <si>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</si>
  <si>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</si>
  <si>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</si>
  <si>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</si>
  <si>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</si>
  <si>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</si>
  <si>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</si>
  <si>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</si>
  <si>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</si>
  <si>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</si>
  <si>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</si>
  <si>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</si>
  <si>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</si>
  <si>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</si>
  <si>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</si>
  <si>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</si>
  <si>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</si>
  <si>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</si>
  <si>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</si>
  <si>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</si>
  <si>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</si>
  <si>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</si>
  <si>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</si>
  <si>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</si>
  <si>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</si>
  <si>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</si>
  <si>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</si>
  <si>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</si>
  <si>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</si>
  <si>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</si>
  <si>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</si>
  <si>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</si>
  <si>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</si>
  <si>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</si>
  <si>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</si>
  <si>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</si>
  <si>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</si>
  <si>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</si>
  <si>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</si>
  <si>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</si>
  <si>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</si>
  <si>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</si>
  <si>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</si>
  <si>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</si>
  <si>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</si>
  <si>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</si>
  <si>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</si>
  <si>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</si>
  <si>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</si>
  <si>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</si>
  <si>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</si>
  <si>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</si>
  <si>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</si>
  <si>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</si>
  <si>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</si>
  <si>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</si>
  <si>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</si>
  <si>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</si>
  <si>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</si>
  <si>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</si>
  <si>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</si>
  <si>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</si>
  <si>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</si>
  <si>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</si>
  <si>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</si>
  <si>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</si>
  <si>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</si>
  <si>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</si>
  <si>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</si>
  <si>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</si>
  <si>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</si>
  <si>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</si>
  <si>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</si>
  <si>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</si>
  <si>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</si>
  <si>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</si>
  <si>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</si>
  <si>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</si>
  <si>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</si>
  <si>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</si>
  <si>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</si>
  <si>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</si>
  <si>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</si>
  <si>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</si>
  <si>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</si>
  <si>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</si>
  <si>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</si>
  <si>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</si>
  <si>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</si>
  <si>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</si>
  <si>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</si>
  <si>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</si>
  <si>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</si>
  <si>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</si>
  <si>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</si>
  <si>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</si>
  <si>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</si>
  <si>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</si>
  <si>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</si>
  <si>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</si>
  <si>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</si>
  <si>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</si>
  <si>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</si>
  <si>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</si>
  <si>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</si>
  <si>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</si>
  <si>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</si>
  <si>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</si>
  <si>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</si>
  <si>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</si>
  <si>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</si>
  <si>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</si>
  <si>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</si>
  <si>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</si>
  <si>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</si>
  <si>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</si>
  <si>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</si>
  <si>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</si>
  <si>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</si>
  <si>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</si>
  <si>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</si>
  <si>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</si>
  <si>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</si>
  <si>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</si>
  <si>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</si>
  <si>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</si>
  <si>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</si>
  <si>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</si>
  <si>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</si>
  <si>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</si>
  <si>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</si>
  <si>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</si>
  <si>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</si>
  <si>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</si>
  <si>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</si>
  <si>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</si>
  <si>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</si>
  <si>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</si>
  <si>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</si>
  <si>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</si>
  <si>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</si>
  <si>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</si>
  <si>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</si>
  <si>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</si>
  <si>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</si>
  <si>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</si>
  <si>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</si>
  <si>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</si>
  <si>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</si>
  <si>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</si>
  <si>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</si>
  <si>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</si>
  <si>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</si>
  <si>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</si>
  <si>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</si>
  <si>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</si>
  <si>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</si>
  <si>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</si>
  <si>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</si>
  <si>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</si>
  <si>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</si>
  <si>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</si>
  <si>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</si>
  <si>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</si>
  <si>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</si>
  <si>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</si>
  <si>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</si>
  <si>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</si>
  <si>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</si>
  <si>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</si>
  <si>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</si>
  <si>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</si>
  <si>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</si>
  <si>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</si>
  <si>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</si>
  <si>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</si>
  <si>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</si>
  <si>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</si>
  <si>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</si>
  <si>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</si>
  <si>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</si>
  <si>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</si>
  <si>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</si>
  <si>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</si>
  <si>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</si>
  <si>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</si>
  <si>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</si>
  <si>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</si>
  <si>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</si>
  <si>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</si>
  <si>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</si>
  <si>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</si>
  <si>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</si>
  <si>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</si>
  <si>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</si>
  <si>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</si>
  <si>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</si>
  <si>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</si>
  <si>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</si>
  <si>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</si>
  <si>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</si>
  <si>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</si>
  <si>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</si>
  <si>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</si>
  <si>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</si>
  <si>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</si>
  <si>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</si>
  <si>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</si>
  <si>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</si>
  <si>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</si>
  <si>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</si>
  <si>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</si>
  <si>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</si>
  <si>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</si>
  <si>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</si>
  <si>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</si>
  <si>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</si>
  <si>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</si>
  <si>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</si>
  <si>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</si>
  <si>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</si>
  <si>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</si>
  <si>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</si>
  <si>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</si>
  <si>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</si>
  <si>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</si>
  <si>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</si>
  <si>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</si>
  <si>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</si>
  <si>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</si>
  <si>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</si>
  <si>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</si>
  <si>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</si>
  <si>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</si>
  <si>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</si>
  <si>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</si>
  <si>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</si>
  <si>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</si>
  <si>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</si>
  <si>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</si>
  <si>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</si>
  <si>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</si>
  <si>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</si>
  <si>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</si>
  <si>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</si>
  <si>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</si>
  <si>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</si>
  <si>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</si>
  <si>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</si>
  <si>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</si>
  <si>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</si>
  <si>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</si>
  <si>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</si>
  <si>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</si>
  <si>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</si>
  <si>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</si>
  <si>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</si>
  <si>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</si>
  <si>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</si>
  <si>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</si>
  <si>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</si>
  <si>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</si>
  <si>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</si>
  <si>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</si>
  <si>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</si>
  <si>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</si>
  <si>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</si>
  <si>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</si>
  <si>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</si>
  <si>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</si>
  <si>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</si>
  <si>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</si>
  <si>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</si>
  <si>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</si>
  <si>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</si>
  <si>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</si>
  <si>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</si>
  <si>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</si>
  <si>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</si>
  <si>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</si>
  <si>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</si>
  <si>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</si>
  <si>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</si>
  <si>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</si>
  <si>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</si>
  <si>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</si>
  <si>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</si>
  <si>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</si>
  <si>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</si>
  <si>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</si>
  <si>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</si>
  <si>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</si>
  <si>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</si>
  <si>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</si>
  <si>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</si>
  <si>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</si>
  <si>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</si>
  <si>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</si>
  <si>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</si>
  <si>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</si>
  <si>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</si>
  <si>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</si>
  <si>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</si>
  <si>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</si>
  <si>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</si>
  <si>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</si>
  <si>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</si>
  <si>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</si>
  <si>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</si>
  <si>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</si>
  <si>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</si>
  <si>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</si>
  <si>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</si>
  <si>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</si>
  <si>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</si>
  <si>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</si>
  <si>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</si>
  <si>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</si>
  <si>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</si>
  <si>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</si>
  <si>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</si>
  <si>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</si>
  <si>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</si>
  <si>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</si>
  <si>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</si>
  <si>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</si>
  <si>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</si>
  <si>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</si>
  <si>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</si>
  <si>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</si>
  <si>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</si>
  <si>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</si>
  <si>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</si>
  <si>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</si>
  <si>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</si>
  <si>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</si>
  <si>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</si>
  <si>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</si>
  <si>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</si>
  <si>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</si>
  <si>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</si>
  <si>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</si>
  <si>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</si>
  <si>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</si>
  <si>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</si>
  <si>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</si>
  <si>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</si>
  <si>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</si>
  <si>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</si>
  <si>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</si>
  <si>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</si>
  <si>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</si>
  <si>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</si>
  <si>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</si>
  <si>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</si>
  <si>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</si>
  <si>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</si>
  <si>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</si>
  <si>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</si>
  <si>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</si>
  <si>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</si>
  <si>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</si>
  <si>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</si>
  <si>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</si>
  <si>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</si>
  <si>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</si>
  <si>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</si>
  <si>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</si>
  <si>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</si>
  <si>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</si>
  <si>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</si>
  <si>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</si>
  <si>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</si>
  <si>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</si>
  <si>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</si>
  <si>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</si>
  <si>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</si>
  <si>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</si>
  <si>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</si>
  <si>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</si>
  <si>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</si>
  <si>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</si>
  <si>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</si>
  <si>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</si>
  <si>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</si>
  <si>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</si>
  <si>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</si>
  <si>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</si>
  <si>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</si>
  <si>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</si>
  <si>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</si>
  <si>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</si>
  <si>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</si>
  <si>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</si>
  <si>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</si>
  <si>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</si>
  <si>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</si>
  <si>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</si>
  <si>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</si>
  <si>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</si>
  <si>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</si>
  <si>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</si>
  <si>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</si>
  <si>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</si>
  <si>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</si>
  <si>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</si>
  <si>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</si>
  <si>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</si>
  <si>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</si>
  <si>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</si>
  <si>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</si>
  <si>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</si>
  <si>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</si>
  <si>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</si>
  <si>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</si>
  <si>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</si>
  <si>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</si>
  <si>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</si>
  <si>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</si>
  <si>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</si>
  <si>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</si>
  <si>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</si>
  <si>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</si>
  <si>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</si>
  <si>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</si>
  <si>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</si>
  <si>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</si>
  <si>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</si>
  <si>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</si>
  <si>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</si>
  <si>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</si>
  <si>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</si>
  <si>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</si>
  <si>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</si>
  <si>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</si>
  <si>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</si>
  <si>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</si>
  <si>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</si>
  <si>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</si>
  <si>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</si>
  <si>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</si>
  <si>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</si>
  <si>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</si>
  <si>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</si>
  <si>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</si>
  <si>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</si>
  <si>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</si>
  <si>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</si>
  <si>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</si>
  <si>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</si>
  <si>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</si>
  <si>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</si>
  <si>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</si>
  <si>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</si>
  <si>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</si>
  <si>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</si>
  <si>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</si>
  <si>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</si>
  <si>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</si>
  <si>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</si>
  <si>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</si>
  <si>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</si>
  <si>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</si>
  <si>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</si>
  <si>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</si>
  <si>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</si>
  <si>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</si>
  <si>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</si>
  <si>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</si>
  <si>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</si>
  <si>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</si>
  <si>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</si>
  <si>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</si>
  <si>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</si>
  <si>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</si>
  <si>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</si>
  <si>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</si>
  <si>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</si>
  <si>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</si>
  <si>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</si>
  <si>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</si>
  <si>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</si>
  <si>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</si>
  <si>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</si>
  <si>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</si>
  <si>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</si>
  <si>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</si>
  <si>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</si>
  <si>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</si>
  <si>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</si>
  <si>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</si>
  <si>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</si>
  <si>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</si>
  <si>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</si>
  <si>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</si>
  <si>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</si>
  <si>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</si>
  <si>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</si>
  <si>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</si>
  <si>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</si>
  <si>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</si>
  <si>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</si>
  <si>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</si>
  <si>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</si>
  <si>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</si>
  <si>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</si>
  <si>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</si>
  <si>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</si>
  <si>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</si>
  <si>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</si>
  <si>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</si>
  <si>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</si>
  <si>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</si>
  <si>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</si>
  <si>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</si>
  <si>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</si>
  <si>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</si>
  <si>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</si>
  <si>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</si>
  <si>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</si>
  <si>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</si>
  <si>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</si>
  <si>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</si>
  <si>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</si>
  <si>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</si>
  <si>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</si>
  <si>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</si>
  <si>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</si>
  <si>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</si>
  <si>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</si>
  <si>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</si>
  <si>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</si>
  <si>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</si>
  <si>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</si>
  <si>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</si>
  <si>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</si>
  <si>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</si>
  <si>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</si>
  <si>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</si>
  <si>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</si>
  <si>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</si>
  <si>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</si>
  <si>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</si>
  <si>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</si>
  <si>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</si>
  <si>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</si>
  <si>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</si>
  <si>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</si>
  <si>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</si>
  <si>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</si>
  <si>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</si>
  <si>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</si>
  <si>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</si>
  <si>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</si>
  <si>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</si>
  <si>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</si>
  <si>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</si>
  <si>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</si>
  <si>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</si>
  <si>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</si>
  <si>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</si>
  <si>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</si>
  <si>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</si>
  <si>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</si>
  <si>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</si>
  <si>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</si>
  <si>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</si>
  <si>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</si>
  <si>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</si>
  <si>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</si>
  <si>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</si>
  <si>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</si>
  <si>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</si>
  <si>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</si>
  <si>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</si>
  <si>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</si>
  <si>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</si>
  <si>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</si>
  <si>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</si>
  <si>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</si>
  <si>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</si>
  <si>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</si>
  <si>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</si>
  <si>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</si>
  <si>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</si>
  <si>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</si>
  <si>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</si>
  <si>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</si>
  <si>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</si>
  <si>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</si>
  <si>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</si>
  <si>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</si>
  <si>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</si>
  <si>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</si>
  <si>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</si>
  <si>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</si>
  <si>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</si>
  <si>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</si>
  <si>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</si>
  <si>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</si>
  <si>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</si>
  <si>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</si>
  <si>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</si>
  <si>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</si>
  <si>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</si>
  <si>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</si>
  <si>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</si>
  <si>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</si>
  <si>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</si>
  <si>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</si>
  <si>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</si>
  <si>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</si>
  <si>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</si>
  <si>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</si>
  <si>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</si>
  <si>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</si>
  <si>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</si>
  <si>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</si>
  <si>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</si>
  <si>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</si>
  <si>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</si>
  <si>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</si>
  <si>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</si>
  <si>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</si>
  <si>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</si>
  <si>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</si>
  <si>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</si>
  <si>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</si>
  <si>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</si>
  <si>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</si>
  <si>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</si>
  <si>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</si>
  <si>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</si>
  <si>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</si>
  <si>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</si>
  <si>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</si>
  <si>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</si>
  <si>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</si>
  <si>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</si>
  <si>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</si>
  <si>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</si>
  <si>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</si>
  <si>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</si>
  <si>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</si>
  <si>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</si>
  <si>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</si>
  <si>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</si>
  <si>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</si>
  <si>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</si>
  <si>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</si>
  <si>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</si>
  <si>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</si>
  <si>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</si>
  <si>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</si>
  <si>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</si>
  <si>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</si>
  <si>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</si>
  <si>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</si>
  <si>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</si>
  <si>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</si>
  <si>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</si>
  <si>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</si>
  <si>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</si>
  <si>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</si>
  <si>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</si>
  <si>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</si>
  <si>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</si>
  <si>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</si>
  <si>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</si>
  <si>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</si>
  <si>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</si>
  <si>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</si>
  <si>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</si>
  <si>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</si>
  <si>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</si>
  <si>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</si>
  <si>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</si>
  <si>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</si>
  <si>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</si>
  <si>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</si>
  <si>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</si>
  <si>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</si>
  <si>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</si>
  <si>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</si>
  <si>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</si>
  <si>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</si>
  <si>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</si>
  <si>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</si>
  <si>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</si>
  <si>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</si>
  <si>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</si>
  <si>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</si>
  <si>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</si>
  <si>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</si>
  <si>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</si>
  <si>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</si>
  <si>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</si>
  <si>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</si>
  <si>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</si>
  <si>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</si>
  <si>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</si>
  <si>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</si>
  <si>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</si>
  <si>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</si>
  <si>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</si>
  <si>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</si>
  <si>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</si>
  <si>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</si>
  <si>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</si>
  <si>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</si>
  <si>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</si>
  <si>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</si>
  <si>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</si>
  <si>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</si>
  <si>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</si>
  <si>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</si>
  <si>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</si>
  <si>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</si>
  <si>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</si>
  <si>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</si>
  <si>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</si>
  <si>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</si>
  <si>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</si>
  <si>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</si>
  <si>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</si>
  <si>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</si>
  <si>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</si>
  <si>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</si>
  <si>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</si>
  <si>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</si>
  <si>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</si>
  <si>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</si>
  <si>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</si>
  <si>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</si>
  <si>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</si>
  <si>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</si>
  <si>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</si>
  <si>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</si>
  <si>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</si>
  <si>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</si>
  <si>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</si>
  <si>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</si>
  <si>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</si>
  <si>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</si>
  <si>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</si>
  <si>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</si>
  <si>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</si>
  <si>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</si>
  <si>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</si>
  <si>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</si>
  <si>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</si>
  <si>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</si>
  <si>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</si>
  <si>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</si>
  <si>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</si>
  <si>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</si>
  <si>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</si>
  <si>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</si>
  <si>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</si>
  <si>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</si>
  <si>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</si>
  <si>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</si>
  <si>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</si>
  <si>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</si>
  <si>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</si>
  <si>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</si>
  <si>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</si>
  <si>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</si>
  <si>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</si>
  <si>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</si>
  <si>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</si>
  <si>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</si>
  <si>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</si>
  <si>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</si>
  <si>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</si>
  <si>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</si>
  <si>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</si>
  <si>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</si>
  <si>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</si>
  <si>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</si>
  <si>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</si>
  <si>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</si>
  <si>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</si>
  <si>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</si>
  <si>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</si>
  <si>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</si>
  <si>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</si>
  <si>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</si>
  <si>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</si>
  <si>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</si>
  <si>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</si>
  <si>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</si>
  <si>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</si>
  <si>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</si>
  <si>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</si>
  <si>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</si>
  <si>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</si>
  <si>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</si>
  <si>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</si>
  <si>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</si>
  <si>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</si>
  <si>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</si>
  <si>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</si>
  <si>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</si>
  <si>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</si>
  <si>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</si>
  <si>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</si>
  <si>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</si>
  <si>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</si>
  <si>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</si>
  <si>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</si>
  <si>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</si>
  <si>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</si>
  <si>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</si>
  <si>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</si>
  <si>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</si>
  <si>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</si>
  <si>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</si>
  <si>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</si>
  <si>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</si>
  <si>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</si>
  <si>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</si>
  <si>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</si>
  <si>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</si>
  <si>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</si>
  <si>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</si>
  <si>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</si>
  <si>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</si>
  <si>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</si>
  <si>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</si>
  <si>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</si>
  <si>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</si>
  <si>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</si>
  <si>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</si>
  <si>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</si>
  <si>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</si>
  <si>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</si>
  <si>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</si>
  <si>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</si>
  <si>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</si>
  <si>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</si>
  <si>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</si>
  <si>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</si>
  <si>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</si>
  <si>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</si>
  <si>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</si>
  <si>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</si>
  <si>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</si>
  <si>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</si>
  <si>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</si>
  <si>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</si>
  <si>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</si>
  <si>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</si>
  <si>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</si>
  <si>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</si>
  <si>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</si>
  <si>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</si>
  <si>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</si>
  <si>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</si>
  <si>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</si>
  <si>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</si>
  <si>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</si>
  <si>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</si>
  <si>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</si>
  <si>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</si>
  <si>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</si>
  <si>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</si>
  <si>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</si>
  <si>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</si>
  <si>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</si>
  <si>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</si>
  <si>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</si>
  <si>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</si>
  <si>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</si>
  <si>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</si>
  <si>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</si>
  <si>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</si>
  <si>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</si>
  <si>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</si>
  <si>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</si>
  <si>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</si>
  <si>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</si>
  <si>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</si>
  <si>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</si>
  <si>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</si>
  <si>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</si>
  <si>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</si>
  <si>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</si>
  <si>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</si>
  <si>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</si>
  <si>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</si>
  <si>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</si>
  <si>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</si>
  <si>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</si>
  <si>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</si>
  <si>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</si>
  <si>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</si>
  <si>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</si>
  <si>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</si>
  <si>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</si>
  <si>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</si>
  <si>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</si>
  <si>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</si>
  <si>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</si>
  <si>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</si>
  <si>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</si>
  <si>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</si>
  <si>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</si>
  <si>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</si>
  <si>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</si>
  <si>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</si>
  <si>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</si>
  <si>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</si>
  <si>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</si>
  <si>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</si>
  <si>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</si>
  <si>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</si>
  <si>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</si>
  <si>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</si>
  <si>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</si>
  <si>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</si>
  <si>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</si>
  <si>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</si>
  <si>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</si>
  <si>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</si>
  <si>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</si>
  <si>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</si>
  <si>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</si>
  <si>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</si>
  <si>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</si>
  <si>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</si>
  <si>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</si>
  <si>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</si>
  <si>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</si>
  <si>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</si>
  <si>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</si>
  <si>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</si>
  <si>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</si>
  <si>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</si>
  <si>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</si>
  <si>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</si>
  <si>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</si>
  <si>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</si>
  <si>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</si>
  <si>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</si>
  <si>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</si>
  <si>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</si>
  <si>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</si>
  <si>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</si>
  <si>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</si>
  <si>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</si>
  <si>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</si>
  <si>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</si>
  <si>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</si>
  <si>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</si>
  <si>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</si>
  <si>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</si>
  <si>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</si>
  <si>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</si>
  <si>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</si>
  <si>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</si>
  <si>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</si>
  <si>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</si>
  <si>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</si>
  <si>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</si>
  <si>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</si>
  <si>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</si>
  <si>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</si>
  <si>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</si>
  <si>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</si>
  <si>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</si>
  <si>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</si>
  <si>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</si>
  <si>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</si>
  <si>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</si>
  <si>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</si>
  <si>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</si>
  <si>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</si>
  <si>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</si>
  <si>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</si>
  <si>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</si>
  <si>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</si>
  <si>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</si>
  <si>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</si>
  <si>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</si>
  <si>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</si>
  <si>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</si>
  <si>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</si>
  <si>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</si>
  <si>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</si>
  <si>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</si>
  <si>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</si>
  <si>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</si>
  <si>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</si>
  <si>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</si>
  <si>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</si>
  <si>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</si>
  <si>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</si>
  <si>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</si>
  <si>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</si>
  <si>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</si>
  <si>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</si>
  <si>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</si>
  <si>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</si>
  <si>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</si>
  <si>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</si>
  <si>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</si>
  <si>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</si>
  <si>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</si>
  <si>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</si>
  <si>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</si>
  <si>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</si>
  <si>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</si>
  <si>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</si>
  <si>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</si>
  <si>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</si>
  <si>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</si>
  <si>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</si>
  <si>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</si>
  <si>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农贸市场</t>
    <phoneticPr fontId="226" type="noConversion"/>
  </si>
  <si>
    <t>地下车位</t>
    <phoneticPr fontId="226" type="noConversion"/>
  </si>
  <si>
    <t>普通装修</t>
    <phoneticPr fontId="226" type="noConversion"/>
  </si>
  <si>
    <t>专业</t>
  </si>
  <si>
    <t>专业</t>
    <phoneticPr fontId="226" type="noConversion"/>
  </si>
  <si>
    <t>地下车位</t>
    <phoneticPr fontId="226" type="noConversion"/>
  </si>
  <si>
    <t>平整费</t>
    <phoneticPr fontId="226" type="noConversion"/>
  </si>
  <si>
    <t>规划用途</t>
    <phoneticPr fontId="226" type="noConversion"/>
  </si>
  <si>
    <t>规划建筑面积面积</t>
    <phoneticPr fontId="226" type="noConversion"/>
  </si>
  <si>
    <t>土地面积</t>
    <phoneticPr fontId="226" type="noConversion"/>
  </si>
  <si>
    <t>证号</t>
    <phoneticPr fontId="226" type="noConversion"/>
  </si>
  <si>
    <t>计容面积</t>
    <phoneticPr fontId="226" type="noConversion"/>
  </si>
  <si>
    <t>小计</t>
    <phoneticPr fontId="226" type="noConversion"/>
  </si>
  <si>
    <t>不计容面积</t>
    <phoneticPr fontId="226" type="noConversion"/>
  </si>
  <si>
    <t>合计</t>
    <phoneticPr fontId="226" type="noConversion"/>
  </si>
  <si>
    <t>闽（2019）安溪县不动产权第0009172号</t>
    <phoneticPr fontId="226" type="noConversion"/>
  </si>
  <si>
    <t>权利人</t>
    <phoneticPr fontId="226" type="noConversion"/>
  </si>
  <si>
    <t>安溪弘裕置业有限公司</t>
  </si>
  <si>
    <t>序号</t>
    <phoneticPr fontId="226" type="noConversion"/>
  </si>
  <si>
    <r>
      <rPr>
        <sz val="10"/>
        <rFont val="宋体"/>
        <family val="3"/>
        <charset val="134"/>
      </rPr>
      <t>德苑片区</t>
    </r>
    <r>
      <rPr>
        <sz val="10"/>
        <rFont val="Arial"/>
        <family val="2"/>
      </rPr>
      <t>02-F-09-01</t>
    </r>
    <r>
      <rPr>
        <sz val="10"/>
        <rFont val="宋体"/>
        <family val="3"/>
        <charset val="134"/>
      </rPr>
      <t>地块</t>
    </r>
    <phoneticPr fontId="226" type="noConversion"/>
  </si>
  <si>
    <r>
      <rPr>
        <sz val="10"/>
        <rFont val="宋体"/>
        <family val="3"/>
        <charset val="134"/>
      </rPr>
      <t>南翼新城官桥片区</t>
    </r>
    <r>
      <rPr>
        <sz val="10"/>
        <rFont val="Arial"/>
        <family val="2"/>
      </rPr>
      <t>C-7-1</t>
    </r>
    <r>
      <rPr>
        <sz val="10"/>
        <rFont val="宋体"/>
        <family val="3"/>
        <charset val="134"/>
      </rPr>
      <t>地块</t>
    </r>
    <phoneticPr fontId="226" type="noConversion"/>
  </si>
  <si>
    <r>
      <rPr>
        <sz val="10"/>
        <rFont val="宋体"/>
        <family val="3"/>
        <charset val="134"/>
      </rPr>
      <t>古山片区</t>
    </r>
    <r>
      <rPr>
        <sz val="10"/>
        <rFont val="Arial"/>
        <family val="2"/>
      </rPr>
      <t>E-1</t>
    </r>
    <r>
      <rPr>
        <sz val="10"/>
        <rFont val="宋体"/>
        <family val="3"/>
        <charset val="134"/>
      </rPr>
      <t>地块</t>
    </r>
    <phoneticPr fontId="226" type="noConversion"/>
  </si>
  <si>
    <r>
      <rPr>
        <sz val="10"/>
        <rFont val="宋体"/>
        <family val="3"/>
        <charset val="134"/>
      </rPr>
      <t>建安片区</t>
    </r>
    <r>
      <rPr>
        <sz val="10"/>
        <rFont val="Arial"/>
        <family val="2"/>
      </rPr>
      <t>7-1B</t>
    </r>
    <r>
      <rPr>
        <sz val="10"/>
        <rFont val="宋体"/>
        <family val="3"/>
        <charset val="134"/>
      </rPr>
      <t>地块</t>
    </r>
    <phoneticPr fontId="226" type="noConversion"/>
  </si>
  <si>
    <t>毛坯均价</t>
    <phoneticPr fontId="226" type="noConversion"/>
  </si>
  <si>
    <t>精装均价</t>
    <phoneticPr fontId="226" type="noConversion"/>
  </si>
  <si>
    <r>
      <rPr>
        <sz val="10"/>
        <rFont val="宋体"/>
        <family val="3"/>
        <charset val="134"/>
      </rPr>
      <t>参洋片区</t>
    </r>
    <r>
      <rPr>
        <sz val="10"/>
        <rFont val="Arial"/>
        <family val="2"/>
      </rPr>
      <t>D(E-02-20)</t>
    </r>
    <r>
      <rPr>
        <sz val="10"/>
        <rFont val="宋体"/>
        <family val="3"/>
        <charset val="134"/>
      </rPr>
      <t>地块</t>
    </r>
    <r>
      <rPr>
        <sz val="10"/>
        <rFont val="Arial"/>
        <family val="2"/>
      </rPr>
      <t>-2</t>
    </r>
    <phoneticPr fontId="226" type="noConversion"/>
  </si>
  <si>
    <r>
      <rPr>
        <sz val="10"/>
        <rFont val="宋体"/>
        <family val="3"/>
        <charset val="134"/>
      </rPr>
      <t>中寮片区</t>
    </r>
    <r>
      <rPr>
        <sz val="10"/>
        <rFont val="Arial"/>
        <family val="2"/>
      </rPr>
      <t>G-2</t>
    </r>
    <r>
      <rPr>
        <sz val="10"/>
        <rFont val="宋体"/>
        <family val="3"/>
        <charset val="134"/>
      </rPr>
      <t>地块</t>
    </r>
    <phoneticPr fontId="226" type="noConversion"/>
  </si>
  <si>
    <r>
      <rPr>
        <sz val="10"/>
        <rFont val="宋体"/>
        <family val="3"/>
        <charset val="134"/>
      </rPr>
      <t>安溪县</t>
    </r>
    <r>
      <rPr>
        <sz val="10"/>
        <rFont val="Arial"/>
        <family val="2"/>
      </rPr>
      <t>350524-02-A-04</t>
    </r>
    <r>
      <rPr>
        <sz val="10"/>
        <rFont val="宋体"/>
        <family val="3"/>
        <charset val="134"/>
      </rPr>
      <t>地块</t>
    </r>
    <phoneticPr fontId="226" type="noConversion"/>
  </si>
  <si>
    <r>
      <rPr>
        <sz val="10"/>
        <rFont val="宋体"/>
        <family val="3"/>
        <charset val="134"/>
      </rPr>
      <t>厦门市立夯投资有限公司</t>
    </r>
    <r>
      <rPr>
        <sz val="10"/>
        <rFont val="Arial"/>
        <family val="2"/>
      </rPr>
      <t>--</t>
    </r>
    <r>
      <rPr>
        <sz val="10"/>
        <rFont val="宋体"/>
        <family val="3"/>
        <charset val="134"/>
      </rPr>
      <t>碧桂园</t>
    </r>
    <phoneticPr fontId="226" type="noConversion"/>
  </si>
  <si>
    <r>
      <rPr>
        <sz val="10"/>
        <rFont val="宋体"/>
        <family val="3"/>
        <charset val="134"/>
      </rPr>
      <t>蓬莱镇彭格村下寨山</t>
    </r>
    <r>
      <rPr>
        <sz val="10"/>
        <rFont val="Arial"/>
        <family val="2"/>
      </rPr>
      <t>A1-1</t>
    </r>
    <r>
      <rPr>
        <sz val="10"/>
        <rFont val="宋体"/>
        <family val="3"/>
        <charset val="134"/>
      </rPr>
      <t>地块</t>
    </r>
    <phoneticPr fontId="226" type="noConversion"/>
  </si>
  <si>
    <r>
      <rPr>
        <sz val="10"/>
        <rFont val="宋体"/>
        <family val="3"/>
        <charset val="134"/>
      </rPr>
      <t>砖文片区</t>
    </r>
    <r>
      <rPr>
        <sz val="10"/>
        <rFont val="Arial"/>
        <family val="2"/>
      </rPr>
      <t>E-1</t>
    </r>
    <r>
      <rPr>
        <sz val="10"/>
        <rFont val="宋体"/>
        <family val="3"/>
        <charset val="134"/>
      </rPr>
      <t>地块</t>
    </r>
    <phoneticPr fontId="226" type="noConversion"/>
  </si>
  <si>
    <r>
      <rPr>
        <sz val="10"/>
        <rFont val="宋体"/>
        <family val="3"/>
        <charset val="134"/>
      </rPr>
      <t>古山片区</t>
    </r>
    <r>
      <rPr>
        <sz val="10"/>
        <rFont val="Arial"/>
        <family val="2"/>
      </rPr>
      <t>B2</t>
    </r>
    <r>
      <rPr>
        <sz val="10"/>
        <rFont val="宋体"/>
        <family val="3"/>
        <charset val="134"/>
      </rPr>
      <t>地块</t>
    </r>
    <phoneticPr fontId="226" type="noConversion"/>
  </si>
  <si>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phoneticPr fontId="226" type="noConversion"/>
  </si>
  <si>
    <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phoneticPr fontId="226" type="noConversion"/>
  </si>
  <si>
    <r>
      <rPr>
        <sz val="10"/>
        <rFont val="宋体"/>
        <family val="3"/>
        <charset val="134"/>
      </rPr>
      <t>安溪县员宅片区</t>
    </r>
    <r>
      <rPr>
        <sz val="10"/>
        <rFont val="Arial"/>
        <family val="2"/>
      </rPr>
      <t>YJG-20-2-1</t>
    </r>
    <r>
      <rPr>
        <sz val="10"/>
        <rFont val="宋体"/>
        <family val="3"/>
        <charset val="134"/>
      </rPr>
      <t>地块</t>
    </r>
    <phoneticPr fontId="226" type="noConversion"/>
  </si>
  <si>
    <t>物业管理用房</t>
    <phoneticPr fontId="226" type="noConversion"/>
  </si>
  <si>
    <t>设备用房</t>
    <phoneticPr fontId="226" type="noConversion"/>
  </si>
  <si>
    <t>公共配套设施用房</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</si>
</sst>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Red]\(0.0\)"/>
    <numFmt numFmtId="177" formatCode="0_ "/>
    <numFmt numFmtId="178" formatCode="0_ ;[Red]\-0\ "/>
    <numFmt numFmtId="179" formatCode="0.0%"/>
    <numFmt numFmtId="180" formatCode="yyyy/m/d;@"/>
    <numFmt numFmtId="181" formatCode="0.000%"/>
    <numFmt numFmtId="182" formatCode="0.00_ "/>
    <numFmt numFmtId="183" formatCode="0.000_ "/>
    <numFmt numFmtId="184" formatCode="0.000_);[Red]\(0.000\)"/>
    <numFmt numFmtId="185" formatCode="0_);[Red]\(0\)"/>
    <numFmt numFmtId="186" formatCode="0.00_);[Red]\(0.00\)"/>
    <numFmt numFmtId="187" formatCode="yyyy&quot;年&quot;m&quot;月&quot;d&quot;日&quot;;@"/>
    <numFmt numFmtId="188" formatCode="yyyy&quot;年&quot;m&quot;月&quot;;@"/>
    <numFmt numFmtId="189" formatCode="[DBNum1][$-804]General"/>
    <numFmt numFmtId="190" formatCode="0.0000_ "/>
    <numFmt numFmtId="191" formatCode="[$-F800]dddd\,\ mmmm\ dd\,\ yyyy"/>
    <numFmt numFmtId="192" formatCode="0;_쐀"/>
    <numFmt numFmtId="193" formatCode="0.0_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9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7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17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7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7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79"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7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7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7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2"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79"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9"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7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77" fontId="89" fillId="2" borderId="1" xfId="12" applyNumberFormat="1" applyFont="1" applyFill="1" applyBorder="1" applyAlignment="1" applyProtection="1">
      <alignment horizontal="center" vertical="center"/>
    </xf>
    <xf numFmtId="177"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5" fontId="69" fillId="13" borderId="115" xfId="8" applyNumberFormat="1" applyFont="1" applyFill="1" applyBorder="1" applyAlignment="1" applyProtection="1">
      <alignment horizontal="center" vertical="center" wrapText="1"/>
    </xf>
    <xf numFmtId="185"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5" fontId="69" fillId="13" borderId="115" xfId="8" applyNumberFormat="1" applyFont="1" applyFill="1" applyBorder="1" applyAlignment="1">
      <alignment horizontal="center" vertical="center" wrapText="1"/>
    </xf>
    <xf numFmtId="185" fontId="69" fillId="13" borderId="116" xfId="8" applyNumberFormat="1" applyFont="1" applyFill="1" applyBorder="1" applyAlignment="1">
      <alignment horizontal="center" vertical="center" wrapText="1"/>
    </xf>
    <xf numFmtId="185" fontId="69" fillId="13" borderId="115" xfId="4" applyNumberFormat="1" applyFont="1" applyFill="1" applyBorder="1" applyAlignment="1">
      <alignment horizontal="center" vertical="center" wrapText="1"/>
    </xf>
    <xf numFmtId="185"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5" fontId="69" fillId="13" borderId="114" xfId="4" applyNumberFormat="1" applyFont="1" applyFill="1" applyBorder="1" applyAlignment="1">
      <alignment horizontal="center" vertical="center" wrapText="1"/>
    </xf>
    <xf numFmtId="185"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5" fontId="69" fillId="13" borderId="122" xfId="4" applyNumberFormat="1" applyFont="1" applyFill="1" applyBorder="1" applyAlignment="1">
      <alignment horizontal="center" vertical="center" wrapText="1"/>
    </xf>
    <xf numFmtId="185" fontId="69" fillId="13" borderId="124" xfId="4" applyNumberFormat="1" applyFont="1" applyFill="1" applyBorder="1" applyAlignment="1">
      <alignment horizontal="center" vertical="center" wrapText="1"/>
    </xf>
    <xf numFmtId="185" fontId="60" fillId="11" borderId="0" xfId="4" applyNumberFormat="1" applyFont="1" applyFill="1" applyAlignment="1">
      <alignment horizontal="center" vertical="center"/>
    </xf>
    <xf numFmtId="185"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77" fontId="60" fillId="0" borderId="0" xfId="4" applyNumberFormat="1" applyFont="1">
      <alignment vertical="center"/>
    </xf>
    <xf numFmtId="179" fontId="60" fillId="0" borderId="112" xfId="4" applyNumberFormat="1" applyFont="1" applyBorder="1">
      <alignment vertical="center"/>
    </xf>
    <xf numFmtId="179" fontId="60" fillId="0" borderId="0" xfId="4" applyNumberFormat="1" applyFont="1">
      <alignment vertical="center"/>
    </xf>
    <xf numFmtId="177"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77" fontId="60" fillId="0" borderId="17" xfId="4" applyNumberFormat="1" applyFont="1" applyBorder="1">
      <alignment vertical="center"/>
    </xf>
    <xf numFmtId="10" fontId="60" fillId="0" borderId="17" xfId="4" applyNumberFormat="1" applyFont="1" applyBorder="1" applyAlignment="1">
      <alignment horizontal="center" vertical="center"/>
    </xf>
    <xf numFmtId="193"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77"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77"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3" fontId="60" fillId="0" borderId="0" xfId="4" applyNumberFormat="1" applyFont="1" applyAlignment="1">
      <alignment horizontal="center" vertical="center"/>
    </xf>
    <xf numFmtId="183" fontId="60" fillId="0" borderId="112" xfId="4" applyNumberFormat="1" applyFont="1" applyBorder="1" applyAlignment="1">
      <alignment horizontal="center" vertical="center"/>
    </xf>
    <xf numFmtId="183" fontId="60" fillId="3" borderId="0" xfId="4" applyNumberFormat="1" applyFont="1" applyFill="1" applyAlignment="1">
      <alignment horizontal="center" vertical="center"/>
    </xf>
    <xf numFmtId="0" fontId="60" fillId="3" borderId="112" xfId="4" applyFont="1" applyFill="1" applyBorder="1">
      <alignment vertical="center"/>
    </xf>
    <xf numFmtId="183" fontId="76" fillId="0" borderId="0" xfId="4" applyNumberFormat="1" applyFont="1" applyAlignment="1">
      <alignment horizontal="center" vertical="center"/>
    </xf>
    <xf numFmtId="183" fontId="76" fillId="0" borderId="112" xfId="4" applyNumberFormat="1" applyFont="1" applyBorder="1" applyAlignment="1">
      <alignment horizontal="center" vertical="center"/>
    </xf>
    <xf numFmtId="193" fontId="60" fillId="0" borderId="17" xfId="4" applyNumberFormat="1" applyFont="1" applyBorder="1" applyAlignment="1">
      <alignment horizontal="center" vertical="center"/>
    </xf>
    <xf numFmtId="193"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2" fontId="98" fillId="0" borderId="0" xfId="9" applyNumberFormat="1" applyProtection="1">
      <alignment vertical="center"/>
    </xf>
    <xf numFmtId="0" fontId="98"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3" fontId="98" fillId="2" borderId="5" xfId="10" applyNumberFormat="1" applyFill="1" applyBorder="1" applyAlignment="1" applyProtection="1">
      <alignment horizontal="center" vertical="center"/>
    </xf>
    <xf numFmtId="193"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3" fontId="98" fillId="2" borderId="1" xfId="10" applyNumberFormat="1" applyFill="1" applyBorder="1" applyAlignment="1" applyProtection="1">
      <alignment horizontal="center" vertical="center"/>
    </xf>
    <xf numFmtId="193"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3" fontId="98" fillId="2" borderId="42" xfId="10" applyNumberFormat="1" applyFill="1" applyBorder="1" applyAlignment="1" applyProtection="1">
      <alignment horizontal="center" vertical="center"/>
    </xf>
    <xf numFmtId="193"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3" fontId="98" fillId="2" borderId="13" xfId="10" applyNumberFormat="1" applyFill="1" applyBorder="1" applyAlignment="1" applyProtection="1">
      <alignment horizontal="center" vertical="center"/>
    </xf>
    <xf numFmtId="193" fontId="98" fillId="2" borderId="14" xfId="10" applyNumberFormat="1" applyFill="1" applyBorder="1" applyAlignment="1" applyProtection="1">
      <alignment horizontal="center" vertical="center"/>
    </xf>
    <xf numFmtId="193"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0"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6" fillId="0" borderId="1" xfId="10" applyNumberFormat="1" applyFont="1" applyFill="1" applyBorder="1" applyAlignment="1" applyProtection="1">
      <alignment horizontal="center" vertical="center"/>
      <protection locked="0"/>
    </xf>
    <xf numFmtId="177"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0"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0"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79"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7"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0"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3" borderId="0" xfId="11" applyFill="1"/>
    <xf numFmtId="0" fontId="17" fillId="0" borderId="0" xfId="1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2"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7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7" fontId="50"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79" fontId="60" fillId="0" borderId="1" xfId="0" applyNumberFormat="1" applyFont="1" applyFill="1" applyBorder="1" applyAlignment="1" applyProtection="1">
      <alignment horizontal="center" vertical="center"/>
      <protection locked="0"/>
    </xf>
    <xf numFmtId="179"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77"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7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9" fontId="27" fillId="0" borderId="1" xfId="0" applyNumberFormat="1" applyFont="1" applyBorder="1" applyAlignment="1" applyProtection="1">
      <alignment vertical="center"/>
      <protection locked="0"/>
    </xf>
    <xf numFmtId="17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7" fontId="166" fillId="0" borderId="1" xfId="0" applyNumberFormat="1" applyFont="1" applyFill="1" applyBorder="1" applyAlignment="1" applyProtection="1">
      <alignment horizontal="center" vertical="center" shrinkToFit="1"/>
      <protection locked="0"/>
    </xf>
    <xf numFmtId="177"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7"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7"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1" fontId="170" fillId="0" borderId="1" xfId="15" applyNumberFormat="1" applyFont="1" applyFill="1" applyBorder="1" applyAlignment="1">
      <alignment horizontal="left" vertical="center"/>
    </xf>
    <xf numFmtId="187" fontId="170" fillId="0" borderId="1" xfId="15" applyNumberFormat="1" applyFont="1" applyFill="1" applyBorder="1" applyAlignment="1">
      <alignment horizontal="left" vertical="center"/>
    </xf>
    <xf numFmtId="191"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7" fontId="170" fillId="0" borderId="9" xfId="15" applyNumberFormat="1" applyFont="1" applyFill="1" applyBorder="1" applyAlignment="1">
      <alignment horizontal="left" vertical="center"/>
    </xf>
    <xf numFmtId="191"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7"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1"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7"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7"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186" fontId="60" fillId="18" borderId="1" xfId="0" applyNumberFormat="1" applyFont="1" applyFill="1" applyBorder="1" applyAlignment="1" applyProtection="1">
      <alignment horizontal="center" vertical="center"/>
    </xf>
    <xf numFmtId="0" fontId="27" fillId="18" borderId="10" xfId="0" applyFont="1" applyFill="1" applyBorder="1" applyAlignment="1" applyProtection="1">
      <alignment horizontal="center" vertical="center" wrapText="1"/>
    </xf>
    <xf numFmtId="182" fontId="21" fillId="18" borderId="14" xfId="0" applyNumberFormat="1" applyFont="1" applyFill="1" applyBorder="1" applyAlignment="1" applyProtection="1">
      <alignment horizontal="center" vertical="center"/>
    </xf>
    <xf numFmtId="186" fontId="24" fillId="0" borderId="1" xfId="0" applyNumberFormat="1" applyFont="1" applyFill="1" applyBorder="1" applyAlignment="1" applyProtection="1">
      <alignment horizontal="center" vertical="center" wrapText="1"/>
      <protection locked="0"/>
    </xf>
    <xf numFmtId="0" fontId="163" fillId="0" borderId="1" xfId="0" applyFont="1" applyFill="1" applyBorder="1" applyAlignment="1" applyProtection="1">
      <alignment horizontal="center" vertical="center"/>
      <protection locked="0"/>
    </xf>
    <xf numFmtId="0" fontId="16" fillId="0" borderId="14" xfId="0" applyFont="1" applyFill="1" applyBorder="1" applyProtection="1">
      <alignment vertical="center"/>
      <protection locked="0"/>
    </xf>
    <xf numFmtId="0" fontId="43" fillId="0" borderId="78" xfId="0" applyFont="1" applyFill="1" applyBorder="1" applyAlignment="1" applyProtection="1">
      <alignment vertical="center" wrapText="1"/>
      <protection locked="0"/>
    </xf>
    <xf numFmtId="0" fontId="130" fillId="0" borderId="6" xfId="0" applyFont="1" applyBorder="1" applyAlignment="1" applyProtection="1">
      <alignment horizontal="center" vertical="center"/>
      <protection locked="0"/>
    </xf>
    <xf numFmtId="186" fontId="27" fillId="0" borderId="1" xfId="0" applyNumberFormat="1" applyFont="1" applyFill="1" applyBorder="1" applyAlignment="1" applyProtection="1">
      <alignment vertical="center" wrapText="1"/>
      <protection locked="0"/>
    </xf>
    <xf numFmtId="0" fontId="27" fillId="0" borderId="57" xfId="0" applyFont="1" applyFill="1" applyBorder="1" applyProtection="1">
      <alignment vertical="center"/>
      <protection locked="0"/>
    </xf>
    <xf numFmtId="9" fontId="27" fillId="3" borderId="64" xfId="0" applyNumberFormat="1" applyFont="1" applyFill="1" applyBorder="1" applyAlignment="1" applyProtection="1">
      <alignment horizontal="center" vertical="center" wrapText="1"/>
      <protection locked="0"/>
    </xf>
    <xf numFmtId="0" fontId="98" fillId="0" borderId="1" xfId="0" applyFont="1" applyBorder="1" applyAlignment="1">
      <alignment vertical="center" wrapText="1"/>
    </xf>
    <xf numFmtId="0" fontId="98" fillId="0" borderId="1" xfId="0" applyFont="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1" fillId="0" borderId="0" xfId="11" applyFont="1"/>
    <xf numFmtId="179" fontId="17" fillId="0" borderId="0" xfId="11" applyNumberFormat="1"/>
    <xf numFmtId="179" fontId="17" fillId="0" borderId="0" xfId="11" applyNumberFormat="1" applyFill="1"/>
    <xf numFmtId="179" fontId="17" fillId="3" borderId="0" xfId="11" applyNumberFormat="1" applyFill="1"/>
    <xf numFmtId="0" fontId="1" fillId="3" borderId="0" xfId="11" applyFont="1" applyFill="1"/>
    <xf numFmtId="0" fontId="187" fillId="0" borderId="0" xfId="15" applyFont="1" applyAlignment="1" applyProtection="1">
      <alignment horizontal="left" vertical="top"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3" fillId="0" borderId="0" xfId="0" applyFont="1" applyAlignment="1">
      <alignment vertical="center" wrapText="1"/>
    </xf>
    <xf numFmtId="0" fontId="173"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3"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10" fontId="5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105"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2" fillId="13" borderId="121" xfId="4" applyFont="1" applyFill="1" applyBorder="1" applyAlignment="1" applyProtection="1">
      <alignment horizontal="center" vertical="center" wrapText="1"/>
    </xf>
    <xf numFmtId="0" fontId="102" fillId="13" borderId="117"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11" fillId="0" borderId="0" xfId="4" applyFont="1" applyAlignment="1">
      <alignment horizontal="center" vertical="center"/>
    </xf>
    <xf numFmtId="0" fontId="69" fillId="0" borderId="0" xfId="4" applyFont="1" applyAlignment="1">
      <alignment horizontal="center" vertical="center"/>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0" fillId="0" borderId="0" xfId="4" applyFont="1" applyAlignment="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98" fillId="0" borderId="0" xfId="0" applyFont="1" applyBorder="1" applyAlignment="1">
      <alignment horizontal="left" vertical="center" wrapText="1"/>
    </xf>
    <xf numFmtId="0" fontId="0" fillId="0" borderId="0" xfId="0" applyBorder="1">
      <alignment vertical="center"/>
    </xf>
    <xf numFmtId="0" fontId="98" fillId="0" borderId="0" xfId="0" applyFont="1" applyBorder="1">
      <alignment vertical="center"/>
    </xf>
    <xf numFmtId="0" fontId="59" fillId="0" borderId="0" xfId="0" applyFont="1" applyFill="1" applyBorder="1" applyAlignment="1" applyProtection="1">
      <alignment horizontal="left" vertical="center"/>
    </xf>
    <xf numFmtId="0" fontId="98"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left"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1638300</xdr:colOff>
      <xdr:row>38</xdr:row>
      <xdr:rowOff>0</xdr:rowOff>
    </xdr:from>
    <xdr:to>
      <xdr:col>24</xdr:col>
      <xdr:colOff>303786</xdr:colOff>
      <xdr:row>74</xdr:row>
      <xdr:rowOff>75462</xdr:rowOff>
    </xdr:to>
    <xdr:pic>
      <xdr:nvPicPr>
        <xdr:cNvPr id="2" name="图片 1"/>
        <xdr:cNvPicPr>
          <a:picLocks noChangeAspect="1"/>
        </xdr:cNvPicPr>
      </xdr:nvPicPr>
      <xdr:blipFill>
        <a:blip xmlns:r="http://schemas.openxmlformats.org/officeDocument/2006/relationships" r:embed="rId4"/>
        <a:stretch>
          <a:fillRect/>
        </a:stretch>
      </xdr:blipFill>
      <xdr:spPr>
        <a:xfrm>
          <a:off x="12020550" y="6172200"/>
          <a:ext cx="8114286" cy="5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29579;&#36229;&#23731;20191105-140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263504</v>
          </cell>
          <cell r="C14">
            <v>94549.65</v>
          </cell>
          <cell r="D14">
            <v>17201</v>
          </cell>
          <cell r="G14">
            <v>17201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受贵公司委托，我公司对出让国有建设用地使用权抵押价格进行了预评估。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40000.22平方米。根据《建设工程规划许可证》[]、《出让合同》[]，估价对象规划建筑面积为109558.57平方米。</v>
      </c>
    </row>
    <row r="8" spans="1:55" s="3138" customFormat="1">
      <c r="A8" s="3146" t="s">
        <v>8</v>
      </c>
      <c r="B8" s="3148" t="str">
        <f>'预评函-1'!A7</f>
        <v xml:space="preserve">简述项目推广名，项目类型（用途），估价对象分布，各用途面积明细情况：XX用途建筑面积XX平方米，XX用途建筑面积XX平方米，……。复杂面积清单需设‘附表’列示：抵押物清单详见附表。        </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2019年10月30日（评估专业人员勘察现场之日）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根据《国有土地使用证》[]，估价对象（分摊）出让国有建设用地使用权面积为40000.22平方米。根据《建设工程规划许可证》[]、《出让合同》[]，估价对象规划建筑面积为109558.57平方米。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估价期日：2019年10月30日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40000.22</v>
      </c>
    </row>
    <row r="44" spans="1:2">
      <c r="A44" s="3146" t="s">
        <v>44</v>
      </c>
      <c r="B44" s="3148" t="str">
        <f>'预评函-2'!O3</f>
        <v>规划建筑面积/㎡</v>
      </c>
    </row>
    <row r="45" spans="1:2">
      <c r="A45" s="3146" t="s">
        <v>45</v>
      </c>
      <c r="B45" s="3148">
        <f>'预评函-2'!O5</f>
        <v>109558.57000000002</v>
      </c>
    </row>
    <row r="46" spans="1:2">
      <c r="A46" s="3146" t="s">
        <v>46</v>
      </c>
      <c r="B46" s="3148">
        <f ca="1">'预评函-2'!P5</f>
        <v>3858</v>
      </c>
    </row>
    <row r="47" spans="1:2">
      <c r="A47" s="3146" t="s">
        <v>47</v>
      </c>
      <c r="B47" s="3148">
        <f ca="1">'预评函-2'!Q5</f>
        <v>1408</v>
      </c>
    </row>
    <row r="48" spans="1:2">
      <c r="A48" s="3146" t="s">
        <v>48</v>
      </c>
      <c r="B48" s="3148">
        <f ca="1">'预评函-2'!R5</f>
        <v>15431</v>
      </c>
    </row>
    <row r="49" spans="1:2">
      <c r="A49" s="3146" t="s">
        <v>49</v>
      </c>
      <c r="B49" s="3148" t="str">
        <f>'预评函-2'!A6</f>
        <v>抵押价格</v>
      </c>
    </row>
    <row r="50" spans="1:2">
      <c r="A50" s="3146" t="s">
        <v>50</v>
      </c>
      <c r="B50" s="3148">
        <f ca="1">'预评函-2'!R6</f>
        <v>15431</v>
      </c>
    </row>
    <row r="51" spans="1:2">
      <c r="A51" s="3146" t="s">
        <v>51</v>
      </c>
      <c r="B51" s="3148" t="str">
        <f>'预评函-2'!A7</f>
        <v>——</v>
      </c>
    </row>
    <row r="52" spans="1:2">
      <c r="A52" s="3146" t="s">
        <v>52</v>
      </c>
      <c r="B52" s="3148" t="str">
        <f>'预评函-2'!R7</f>
        <v>——</v>
      </c>
    </row>
    <row r="53" spans="1:2">
      <c r="A53" s="3146" t="s">
        <v>53</v>
      </c>
      <c r="B53" s="3148" t="str">
        <f>'预评函-2'!A8</f>
        <v>——</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Normal="100" zoomScaleSheetLayoutView="100" workbookViewId="0">
      <selection activeCell="B11" sqref="B11"/>
    </sheetView>
  </sheetViews>
  <sheetFormatPr defaultColWidth="10" defaultRowHeight="14.25"/>
  <cols>
    <col min="1" max="1" width="15.375" style="2877" customWidth="1"/>
    <col min="2" max="2" width="11.375" style="2877" customWidth="1"/>
    <col min="3" max="3" width="12.625" style="2877" customWidth="1"/>
    <col min="4" max="4" width="11.5" style="2877" customWidth="1"/>
    <col min="5" max="5" width="12.5" style="2877" customWidth="1"/>
    <col min="6" max="6" width="11.375" style="2877" customWidth="1"/>
    <col min="7" max="7" width="12.375" style="2877" customWidth="1"/>
    <col min="8" max="8" width="10" style="2877" customWidth="1"/>
    <col min="9" max="9" width="1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351</v>
      </c>
      <c r="B1" s="3242" t="str">
        <f>IF(B10="北京市","北京市",C10)&amp;F10&amp;B16&amp;"国有建设用地使用权"&amp;B9&amp;"预评估"</f>
        <v>出让国有建设用地使用权抵押价格预评估</v>
      </c>
      <c r="C1" s="3243"/>
      <c r="D1" s="3243"/>
      <c r="E1" s="3243"/>
      <c r="F1" s="3243"/>
      <c r="G1" s="3243"/>
      <c r="H1" s="3243"/>
      <c r="I1" s="3244"/>
      <c r="J1" s="2884"/>
      <c r="K1" s="3002" t="str">
        <f>IF(B10="北京市","北京市",C10)&amp;F10&amp;B16&amp;"国有建设用地使用权"&amp;B9</f>
        <v>出让国有建设用地使用权抵押价格</v>
      </c>
      <c r="L1" s="3003"/>
      <c r="M1" s="3003"/>
      <c r="N1" s="2884"/>
      <c r="O1" s="3004"/>
      <c r="P1" s="2884"/>
      <c r="Q1" s="2884"/>
      <c r="R1" s="2884"/>
      <c r="S1" s="2884"/>
      <c r="T1" s="2884"/>
      <c r="U1" s="2884"/>
    </row>
    <row r="2" spans="1:21">
      <c r="A2" s="2882" t="s">
        <v>352</v>
      </c>
      <c r="B2" s="2883"/>
      <c r="D2" s="2884"/>
      <c r="E2" s="2884"/>
      <c r="F2" s="2884"/>
      <c r="G2" s="2884"/>
      <c r="H2" s="2882"/>
      <c r="I2" s="3004"/>
      <c r="J2" s="2884"/>
      <c r="K2" s="3002" t="str">
        <f>IF(B10="北京市","北京市",C10)&amp;F10&amp;B16&amp;"国有建设用地使用权"</f>
        <v>出让国有建设用地使用权</v>
      </c>
      <c r="L2" s="3003"/>
      <c r="M2" s="3003"/>
      <c r="N2" s="2884"/>
      <c r="O2" s="3004"/>
      <c r="P2" s="2884"/>
      <c r="Q2" s="2884"/>
      <c r="R2" s="2884"/>
      <c r="S2" s="2884"/>
      <c r="T2" s="2884"/>
      <c r="U2" s="2884"/>
    </row>
    <row r="3" spans="1:21">
      <c r="A3" s="2885" t="s">
        <v>353</v>
      </c>
      <c r="B3" s="2886">
        <v>43768</v>
      </c>
      <c r="C3" s="2887" t="s">
        <v>354</v>
      </c>
      <c r="D3" s="2886">
        <f>B3</f>
        <v>43768</v>
      </c>
      <c r="E3" s="2884"/>
      <c r="F3" s="2884"/>
      <c r="G3" s="2884"/>
      <c r="H3" s="2882"/>
      <c r="I3" s="3004"/>
      <c r="J3" s="2884"/>
      <c r="K3" s="3005"/>
      <c r="L3" s="3003"/>
      <c r="M3" s="3003"/>
      <c r="N3" s="2884"/>
      <c r="O3" s="3004"/>
      <c r="P3" s="2884"/>
      <c r="Q3" s="2884"/>
      <c r="R3" s="2884"/>
      <c r="S3" s="2884"/>
      <c r="T3" s="2884"/>
      <c r="U3" s="2884"/>
    </row>
    <row r="4" spans="1:21">
      <c r="A4" s="2888" t="s">
        <v>355</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356</v>
      </c>
      <c r="B5" s="2892"/>
      <c r="C5" s="2893"/>
      <c r="D5" s="2894"/>
      <c r="E5" s="2884"/>
      <c r="F5" s="2884"/>
      <c r="G5" s="2884"/>
      <c r="H5" s="2882"/>
      <c r="I5" s="3004"/>
      <c r="J5" s="2884"/>
      <c r="K5" s="3005"/>
      <c r="L5" s="3003"/>
      <c r="M5" s="3003"/>
      <c r="N5" s="2884"/>
      <c r="O5" s="3004"/>
      <c r="P5" s="2884"/>
      <c r="Q5" s="2884"/>
      <c r="R5" s="2884"/>
      <c r="S5" s="2884"/>
      <c r="T5" s="2884"/>
      <c r="U5" s="2884"/>
    </row>
    <row r="6" spans="1:21" ht="26.25">
      <c r="A6" s="2887" t="s">
        <v>357</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358</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336</v>
      </c>
      <c r="B8" s="2898" t="s">
        <v>338</v>
      </c>
      <c r="C8" s="2899"/>
      <c r="D8" s="3251" t="s">
        <v>359</v>
      </c>
      <c r="E8" s="2900" t="s">
        <v>343</v>
      </c>
      <c r="F8" s="2901"/>
      <c r="G8" s="2882"/>
      <c r="H8" s="2882"/>
      <c r="I8" s="3007"/>
      <c r="J8" s="2884"/>
      <c r="K8" s="3005"/>
      <c r="L8" s="3003"/>
      <c r="M8" s="3003"/>
      <c r="N8" s="2884"/>
      <c r="O8" s="3004"/>
      <c r="P8" s="2884"/>
      <c r="Q8" s="2884"/>
      <c r="R8" s="2884"/>
      <c r="S8" s="2884"/>
      <c r="T8" s="2884"/>
      <c r="U8" s="2884"/>
    </row>
    <row r="9" spans="1:21">
      <c r="A9" s="2902" t="s">
        <v>360</v>
      </c>
      <c r="B9" s="2903" t="s">
        <v>343</v>
      </c>
      <c r="C9" s="2904"/>
      <c r="D9" s="3252"/>
      <c r="E9" s="2903" t="s">
        <v>138</v>
      </c>
      <c r="F9" s="2905"/>
      <c r="G9" s="2906"/>
      <c r="H9" s="2906"/>
      <c r="I9" s="3008"/>
      <c r="J9" s="2884"/>
      <c r="K9" s="3005"/>
      <c r="L9" s="3003"/>
      <c r="M9" s="3003"/>
      <c r="N9" s="2884"/>
      <c r="O9" s="3004"/>
      <c r="P9" s="2884"/>
      <c r="Q9" s="2884"/>
      <c r="R9" s="2884"/>
      <c r="S9" s="2884"/>
      <c r="T9" s="2884"/>
      <c r="U9" s="2884"/>
    </row>
    <row r="10" spans="1:21">
      <c r="A10" s="2907" t="s">
        <v>361</v>
      </c>
      <c r="B10" s="2908" t="s">
        <v>362</v>
      </c>
      <c r="C10" s="2909"/>
      <c r="D10" s="2894"/>
      <c r="E10" s="2910" t="s">
        <v>363</v>
      </c>
      <c r="F10" s="2911"/>
      <c r="G10" s="2912"/>
      <c r="H10" s="2913"/>
      <c r="I10" s="2894"/>
      <c r="J10" s="2884"/>
      <c r="K10" s="3005"/>
      <c r="L10" s="3003"/>
      <c r="M10" s="3003"/>
      <c r="N10" s="2884"/>
      <c r="O10" s="3004"/>
      <c r="P10" s="2884"/>
      <c r="Q10" s="2884"/>
      <c r="R10" s="2884"/>
      <c r="S10" s="2884"/>
      <c r="T10" s="2884"/>
      <c r="U10" s="2884"/>
    </row>
    <row r="11" spans="1:21">
      <c r="A11" s="2914" t="s">
        <v>364</v>
      </c>
      <c r="B11" s="2915" t="s">
        <v>365</v>
      </c>
      <c r="C11" s="2916"/>
      <c r="D11" s="2917"/>
      <c r="E11" s="2882"/>
      <c r="F11" s="2882"/>
      <c r="G11" s="2882"/>
      <c r="H11" s="2882"/>
      <c r="I11" s="2882"/>
      <c r="J11" s="2884"/>
      <c r="K11" s="3005"/>
      <c r="L11" s="3003"/>
      <c r="M11" s="3003"/>
      <c r="N11" s="2884"/>
      <c r="O11" s="3004"/>
      <c r="P11" s="2884"/>
      <c r="Q11" s="2884"/>
      <c r="R11" s="2884"/>
      <c r="S11" s="2884"/>
      <c r="T11" s="2884"/>
      <c r="U11" s="2884"/>
    </row>
    <row r="12" spans="1:21">
      <c r="A12" s="2918" t="s">
        <v>366</v>
      </c>
      <c r="B12" s="3245"/>
      <c r="C12" s="3246"/>
      <c r="D12" s="3247"/>
      <c r="E12" s="2919" t="s">
        <v>367</v>
      </c>
      <c r="F12" s="3248" t="s">
        <v>368</v>
      </c>
      <c r="G12" s="3249"/>
      <c r="H12" s="3249"/>
      <c r="I12" s="3250"/>
      <c r="J12" s="2884"/>
      <c r="K12" s="3005"/>
      <c r="L12" s="3003"/>
      <c r="M12" s="3003"/>
      <c r="N12" s="2884"/>
      <c r="O12" s="3004"/>
      <c r="P12" s="2884"/>
      <c r="Q12" s="2884"/>
      <c r="R12" s="2884"/>
      <c r="S12" s="2884"/>
      <c r="T12" s="2884"/>
      <c r="U12" s="2884"/>
    </row>
    <row r="13" spans="1:21">
      <c r="A13" s="2920" t="s">
        <v>369</v>
      </c>
      <c r="B13" s="3245"/>
      <c r="C13" s="3246"/>
      <c r="D13" s="3247"/>
      <c r="E13" s="2919" t="s">
        <v>367</v>
      </c>
      <c r="F13" s="3248" t="s">
        <v>370</v>
      </c>
      <c r="G13" s="3249"/>
      <c r="H13" s="3249"/>
      <c r="I13" s="3250"/>
      <c r="J13" s="2884"/>
      <c r="K13" s="3005"/>
      <c r="L13" s="3003"/>
      <c r="M13" s="3003"/>
      <c r="N13" s="2884"/>
      <c r="O13" s="3004"/>
      <c r="P13" s="2884"/>
      <c r="Q13" s="2884"/>
      <c r="R13" s="2884"/>
      <c r="S13" s="2884"/>
      <c r="T13" s="2884"/>
      <c r="U13" s="2884"/>
    </row>
    <row r="14" spans="1:21">
      <c r="A14" s="2885" t="s">
        <v>371</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372</v>
      </c>
      <c r="E15" s="2926" t="s">
        <v>373</v>
      </c>
      <c r="F15" s="2926" t="s">
        <v>374</v>
      </c>
      <c r="G15" s="2927" t="s">
        <v>375</v>
      </c>
      <c r="H15" s="2927" t="s">
        <v>376</v>
      </c>
      <c r="I15" s="2927" t="s">
        <v>164</v>
      </c>
      <c r="J15" s="2884"/>
      <c r="K15" s="3005"/>
      <c r="L15" s="3003"/>
      <c r="M15" s="3003"/>
      <c r="N15" s="2884"/>
      <c r="O15" s="3004"/>
      <c r="P15" s="2884"/>
      <c r="Q15" s="2884"/>
      <c r="R15" s="2884"/>
      <c r="S15" s="2884"/>
      <c r="T15" s="2884"/>
      <c r="U15" s="2884"/>
    </row>
    <row r="16" spans="1:21" ht="42.75">
      <c r="A16" s="2928" t="s">
        <v>377</v>
      </c>
      <c r="B16" s="2929" t="s">
        <v>378</v>
      </c>
      <c r="C16" s="2919" t="s">
        <v>348</v>
      </c>
      <c r="D16" s="2926" t="s">
        <v>372</v>
      </c>
      <c r="E16" s="2930" t="s">
        <v>373</v>
      </c>
      <c r="F16" s="2930"/>
      <c r="G16" s="2930" t="s">
        <v>379</v>
      </c>
      <c r="H16" s="2930"/>
      <c r="I16" s="2927" t="s">
        <v>164</v>
      </c>
      <c r="J16" s="2884"/>
      <c r="K16" s="3010" t="str">
        <f>IF(D17="","",D16&amp;TEXT(D17,"yyyy年m月d日;;"))</f>
        <v>住宅2089年8月2日</v>
      </c>
      <c r="L16" s="2919" t="str">
        <f>IF(OR(K16="",M16=""),"","、")</f>
        <v>、</v>
      </c>
      <c r="M16" s="3010" t="str">
        <f>IF(E17="","",E16&amp;TEXT(E17,"yyyy年m月d日;;"))</f>
        <v>商业2059年8月2日</v>
      </c>
      <c r="N16" s="2919" t="str">
        <f>IF(OR(M16="",O16=""),"","、")</f>
        <v/>
      </c>
      <c r="O16" s="3010" t="str">
        <f>IF(F17="","",F16&amp;TEXT(F17,"yyyy年m月d日;;"))</f>
        <v/>
      </c>
      <c r="P16" s="2919" t="str">
        <f>IF(OR(O16="",Q16=""),"","、")</f>
        <v/>
      </c>
      <c r="Q16" s="3010" t="str">
        <f>IF(G17="","",G16&amp;TEXT(G17,"yyyy年m月d日;;"))</f>
        <v>地下车库2059年8月2日</v>
      </c>
      <c r="R16" s="2919" t="str">
        <f>IF(OR(Q16="",S16=""),"","、")</f>
        <v/>
      </c>
      <c r="S16" s="3010" t="str">
        <f>IF(H17="","",H16&amp;TEXT(H17,"yyyy年m月d日;;"))</f>
        <v/>
      </c>
      <c r="T16" s="2919" t="str">
        <f>IF(OR(S16="",U16=""),"","、")</f>
        <v/>
      </c>
      <c r="U16" s="3010" t="str">
        <f>IF(I17="","",I16&amp;TEXT(I17,"yyyy年m月d日;;"))</f>
        <v/>
      </c>
    </row>
    <row r="17" spans="1:21">
      <c r="A17" s="2931"/>
      <c r="B17" s="2932"/>
      <c r="C17" s="2933" t="s">
        <v>380</v>
      </c>
      <c r="D17" s="2934">
        <v>69247</v>
      </c>
      <c r="E17" s="2934">
        <v>58289</v>
      </c>
      <c r="F17" s="2934"/>
      <c r="G17" s="2934">
        <v>58289</v>
      </c>
      <c r="H17" s="2934"/>
      <c r="I17" s="2934"/>
      <c r="J17" s="2884"/>
      <c r="K17" s="3002" t="str">
        <f>CONCATENATE(K16,L16,M16,N16,O16,P16,Q16,R16,S16,T16,,U16)</f>
        <v>住宅2089年8月2日、商业2059年8月2日地下车库2059年8月2日</v>
      </c>
      <c r="L17" s="3003"/>
      <c r="M17" s="3003"/>
      <c r="N17" s="2884"/>
      <c r="O17" s="3004"/>
      <c r="P17" s="2884"/>
      <c r="Q17" s="2884"/>
      <c r="R17" s="2884"/>
      <c r="S17" s="2884"/>
      <c r="T17" s="2884"/>
      <c r="U17" s="2884"/>
    </row>
    <row r="18" spans="1:21">
      <c r="A18" s="2931"/>
      <c r="B18" s="2932"/>
      <c r="C18" s="2933" t="s">
        <v>381</v>
      </c>
      <c r="D18" s="2935">
        <v>70</v>
      </c>
      <c r="E18" s="2935">
        <v>40</v>
      </c>
      <c r="F18" s="2935"/>
      <c r="G18" s="2935">
        <v>40</v>
      </c>
      <c r="H18" s="2935"/>
      <c r="I18" s="2935"/>
      <c r="J18" s="2884"/>
      <c r="K18" s="3005"/>
      <c r="L18" s="3003"/>
      <c r="M18" s="3003"/>
      <c r="N18" s="2884"/>
      <c r="O18" s="3004"/>
      <c r="P18" s="2884"/>
      <c r="Q18" s="2884"/>
      <c r="R18" s="2884"/>
      <c r="S18" s="2884"/>
      <c r="T18" s="2884"/>
      <c r="U18" s="2884"/>
    </row>
    <row r="19" spans="1:21">
      <c r="A19" s="2931"/>
      <c r="B19" s="2932"/>
      <c r="C19" s="2882" t="s">
        <v>382</v>
      </c>
      <c r="D19" s="2936">
        <f>IF(B16="出让",IF(D17="","",ROUNDDOWN(MIN((D17-$D$3)/365,D18),2)),D18)</f>
        <v>69.8</v>
      </c>
      <c r="E19" s="2937">
        <f>IF(B16="出让",IF(E17="","",ROUNDDOWN(MIN((E17-$D$3)/365,E18),2)),E18)</f>
        <v>39.78</v>
      </c>
      <c r="F19" s="2937" t="str">
        <f>IF(B16="出让",IF(F17="","",ROUNDDOWN(MIN((F17-$D$3)/365,F18),2)),F18)</f>
        <v/>
      </c>
      <c r="G19" s="2937">
        <f>IF(B16="出让",IF(G17="","",ROUNDDOWN(MIN((G17-$D$3)/365,G18),2)),G18)</f>
        <v>39.78</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383</v>
      </c>
      <c r="D20" s="3232"/>
      <c r="E20" s="3233"/>
      <c r="F20" s="3233"/>
      <c r="G20" s="3233"/>
      <c r="H20" s="3233"/>
      <c r="I20" s="3234"/>
      <c r="J20" s="2884"/>
      <c r="K20" s="3005"/>
      <c r="L20" s="3003"/>
      <c r="M20" s="3003"/>
      <c r="N20" s="2884"/>
      <c r="O20" s="3004"/>
      <c r="P20" s="2884"/>
      <c r="Q20" s="2884"/>
      <c r="R20" s="2884"/>
      <c r="S20" s="2884"/>
      <c r="T20" s="2884"/>
      <c r="U20" s="2884"/>
    </row>
    <row r="21" spans="1:21">
      <c r="A21" s="2931" t="s">
        <v>384</v>
      </c>
      <c r="B21" s="2941" t="s">
        <v>385</v>
      </c>
      <c r="C21" s="2942">
        <f>'数据-汇总表'!E3</f>
        <v>109558.57000000002</v>
      </c>
      <c r="D21" s="2943" t="s">
        <v>386</v>
      </c>
      <c r="E21" s="3235" t="s">
        <v>387</v>
      </c>
      <c r="F21" s="3236"/>
      <c r="G21" s="3236"/>
      <c r="H21" s="3236"/>
      <c r="I21" s="3237"/>
      <c r="J21" s="2884"/>
      <c r="K21" s="3005"/>
      <c r="L21" s="3003"/>
      <c r="M21" s="3003"/>
      <c r="N21" s="2884"/>
      <c r="O21" s="3004"/>
      <c r="P21" s="2884"/>
      <c r="Q21" s="2884"/>
      <c r="R21" s="2884"/>
      <c r="S21" s="2884"/>
      <c r="T21" s="2884"/>
      <c r="U21" s="2884"/>
    </row>
    <row r="22" spans="1:21">
      <c r="A22" s="2944" t="s">
        <v>138</v>
      </c>
      <c r="B22" s="2885" t="s">
        <v>388</v>
      </c>
      <c r="C22" s="2927">
        <f>'数据-汇总表'!D3</f>
        <v>40000.22</v>
      </c>
      <c r="D22" s="2920" t="s">
        <v>386</v>
      </c>
      <c r="E22" s="3235" t="s">
        <v>368</v>
      </c>
      <c r="F22" s="3236"/>
      <c r="G22" s="3236"/>
      <c r="H22" s="3236"/>
      <c r="I22" s="3237"/>
      <c r="J22" s="2884"/>
      <c r="K22" s="3005"/>
      <c r="L22" s="3003"/>
      <c r="M22" s="3003"/>
      <c r="N22" s="2884"/>
      <c r="O22" s="3004"/>
      <c r="P22" s="2884"/>
      <c r="Q22" s="2884"/>
      <c r="R22" s="2884"/>
      <c r="S22" s="2884"/>
      <c r="T22" s="2884"/>
      <c r="U22" s="2884"/>
    </row>
    <row r="23" spans="1:21" ht="42.75">
      <c r="A23" s="2945" t="s">
        <v>389</v>
      </c>
      <c r="B23" s="2946" t="s">
        <v>390</v>
      </c>
      <c r="C23" s="2947"/>
      <c r="D23" s="2948" t="s">
        <v>391</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367</v>
      </c>
      <c r="B24" s="3238" t="s">
        <v>392</v>
      </c>
      <c r="C24" s="3239"/>
      <c r="D24" s="3240" t="s">
        <v>393</v>
      </c>
      <c r="E24" s="3241"/>
      <c r="F24" s="2953" t="s">
        <v>394</v>
      </c>
      <c r="G24" s="2884"/>
      <c r="H24" s="2884"/>
      <c r="I24" s="3007"/>
      <c r="J24" s="2884"/>
      <c r="K24" s="3212" t="s">
        <v>395</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28.5">
      <c r="A25" s="2954"/>
      <c r="B25" s="2955" t="s">
        <v>396</v>
      </c>
      <c r="C25" s="2956" t="s">
        <v>397</v>
      </c>
      <c r="D25" s="2957"/>
      <c r="E25" s="2958" t="s">
        <v>138</v>
      </c>
      <c r="F25" s="2959"/>
      <c r="G25" s="2884"/>
      <c r="H25" s="2884"/>
      <c r="I25" s="3007"/>
      <c r="J25" s="2884"/>
      <c r="K25" s="3212"/>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28.5">
      <c r="A26" s="2960"/>
      <c r="B26" s="2961" t="s">
        <v>398</v>
      </c>
      <c r="C26" s="2956" t="s">
        <v>399</v>
      </c>
      <c r="D26" s="2882"/>
      <c r="E26" s="2882"/>
      <c r="F26" s="2962"/>
      <c r="G26" s="2884"/>
      <c r="H26" s="2884"/>
      <c r="I26" s="3007"/>
      <c r="J26" s="2884"/>
      <c r="K26" s="3212"/>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400</v>
      </c>
      <c r="B27" s="2964" t="s">
        <v>401</v>
      </c>
      <c r="C27" s="2965"/>
      <c r="D27" s="2966" t="s">
        <v>401</v>
      </c>
      <c r="E27" s="2967"/>
      <c r="F27" s="2962"/>
      <c r="G27" s="2884"/>
      <c r="H27" s="2884"/>
      <c r="I27" s="3007"/>
      <c r="J27" s="2884"/>
      <c r="K27" s="3005"/>
      <c r="L27" s="3003"/>
      <c r="M27" s="3003"/>
      <c r="N27" s="2884"/>
      <c r="O27" s="3004"/>
      <c r="P27" s="2884"/>
      <c r="Q27" s="2884"/>
      <c r="R27" s="2884"/>
      <c r="S27" s="2884"/>
      <c r="T27" s="2884"/>
      <c r="U27" s="2884"/>
    </row>
    <row r="28" spans="1:21">
      <c r="A28" s="2968"/>
      <c r="B28" s="2964" t="s">
        <v>402</v>
      </c>
      <c r="C28" s="2969"/>
      <c r="D28" s="2970" t="s">
        <v>402</v>
      </c>
      <c r="E28" s="2971"/>
      <c r="F28" s="2962"/>
      <c r="G28" s="2884"/>
      <c r="H28" s="2884"/>
      <c r="I28" s="3007"/>
      <c r="J28" s="2884"/>
      <c r="K28" s="3005"/>
      <c r="L28" s="3003"/>
      <c r="M28" s="3003"/>
      <c r="N28" s="2884"/>
      <c r="O28" s="3004"/>
      <c r="P28" s="2884"/>
      <c r="Q28" s="2884"/>
      <c r="R28" s="2884"/>
      <c r="S28" s="2884"/>
      <c r="T28" s="2884"/>
      <c r="U28" s="2884"/>
    </row>
    <row r="29" spans="1:21">
      <c r="A29" s="2968"/>
      <c r="B29" s="2964" t="s">
        <v>403</v>
      </c>
      <c r="C29" s="2969"/>
      <c r="D29" s="2970" t="s">
        <v>403</v>
      </c>
      <c r="E29" s="2971"/>
      <c r="F29" s="2962"/>
      <c r="G29" s="2884"/>
      <c r="H29" s="2884"/>
      <c r="I29" s="3007"/>
      <c r="J29" s="2884"/>
      <c r="K29" s="3005"/>
      <c r="L29" s="3003"/>
      <c r="M29" s="3003"/>
      <c r="N29" s="2884"/>
      <c r="O29" s="3004"/>
      <c r="P29" s="2884"/>
      <c r="Q29" s="2884"/>
      <c r="R29" s="2884"/>
      <c r="S29" s="2884"/>
      <c r="T29" s="2884"/>
      <c r="U29" s="2884"/>
    </row>
    <row r="30" spans="1:21">
      <c r="A30" s="2972"/>
      <c r="B30" s="2973" t="s">
        <v>404</v>
      </c>
      <c r="C30" s="2974"/>
      <c r="D30" s="2975" t="s">
        <v>404</v>
      </c>
      <c r="E30" s="2976"/>
      <c r="F30" s="2977"/>
      <c r="G30" s="2906"/>
      <c r="H30" s="2906"/>
      <c r="I30" s="3008"/>
      <c r="J30" s="2884"/>
      <c r="K30" s="3005"/>
      <c r="L30" s="3003"/>
      <c r="M30" s="3003"/>
      <c r="N30" s="2884"/>
      <c r="O30" s="3004"/>
      <c r="P30" s="2884"/>
      <c r="Q30" s="2884"/>
      <c r="R30" s="2884"/>
      <c r="S30" s="2884"/>
      <c r="T30" s="2884"/>
      <c r="U30" s="2884"/>
    </row>
    <row r="31" spans="1:21">
      <c r="A31" s="3215" t="s">
        <v>405</v>
      </c>
      <c r="B31" s="2941" t="s">
        <v>406</v>
      </c>
      <c r="C31" s="3221"/>
      <c r="D31" s="3222"/>
      <c r="E31" s="2884"/>
      <c r="F31" s="2884"/>
      <c r="G31" s="2884"/>
      <c r="H31" s="2884"/>
      <c r="I31" s="3007"/>
      <c r="J31" s="2884"/>
      <c r="K31" s="3012"/>
      <c r="L31" s="2884"/>
      <c r="M31" s="2884"/>
      <c r="N31" s="2884"/>
      <c r="O31" s="2884"/>
      <c r="P31" s="2884"/>
      <c r="Q31" s="2884"/>
      <c r="R31" s="2884"/>
      <c r="S31" s="2884"/>
      <c r="T31" s="2884"/>
      <c r="U31" s="2884"/>
    </row>
    <row r="32" spans="1:21">
      <c r="A32" s="3215"/>
      <c r="B32" s="2885" t="s">
        <v>407</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15"/>
      <c r="B33" s="2885" t="s">
        <v>408</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16"/>
      <c r="B34" s="2885" t="s">
        <v>409</v>
      </c>
      <c r="C34" s="3223"/>
      <c r="D34" s="3224"/>
      <c r="E34" s="2884"/>
      <c r="F34" s="2884"/>
      <c r="G34" s="2884"/>
      <c r="H34" s="2884"/>
      <c r="I34" s="3007"/>
      <c r="J34" s="2884"/>
      <c r="K34" s="3012"/>
      <c r="L34" s="2884"/>
      <c r="M34" s="2884"/>
      <c r="N34" s="2884"/>
      <c r="O34" s="2884"/>
      <c r="P34" s="2884"/>
      <c r="Q34" s="2884"/>
      <c r="R34" s="2884"/>
      <c r="S34" s="2884"/>
      <c r="T34" s="2884"/>
      <c r="U34" s="2884"/>
    </row>
    <row r="35" spans="1:21">
      <c r="A35" s="3217" t="s">
        <v>410</v>
      </c>
      <c r="B35" s="2930"/>
      <c r="C35" s="2981" t="str">
        <f>IF(B35="场地平整","——","具体情况：")</f>
        <v>具体情况：</v>
      </c>
      <c r="D35" s="3225"/>
      <c r="E35" s="3226"/>
      <c r="F35" s="3226"/>
      <c r="G35" s="3226"/>
      <c r="H35" s="3226"/>
      <c r="I35" s="3227"/>
      <c r="J35" s="2884"/>
      <c r="K35" s="3013"/>
      <c r="L35" s="3003"/>
      <c r="M35" s="3003"/>
      <c r="N35" s="2884"/>
      <c r="O35" s="3004"/>
      <c r="P35" s="2884"/>
      <c r="Q35" s="2884"/>
      <c r="R35" s="2884"/>
      <c r="S35" s="2884"/>
      <c r="T35" s="2884"/>
      <c r="U35" s="2884"/>
    </row>
    <row r="36" spans="1:21">
      <c r="A36" s="3215"/>
      <c r="B36" s="3228" t="s">
        <v>411</v>
      </c>
      <c r="C36" s="3229"/>
      <c r="D36" s="2982"/>
      <c r="E36" s="3230"/>
      <c r="F36" s="3230"/>
      <c r="G36" s="2920" t="str">
        <f>IF(B35="场地未平整","估价结果处理","")</f>
        <v/>
      </c>
      <c r="H36" s="3231"/>
      <c r="I36" s="3231"/>
      <c r="J36" s="2884"/>
      <c r="K36" s="3013"/>
      <c r="L36" s="3003"/>
      <c r="M36" s="3003"/>
      <c r="N36" s="2884"/>
      <c r="O36" s="3004"/>
      <c r="P36" s="2884"/>
      <c r="Q36" s="2884"/>
      <c r="R36" s="2884"/>
      <c r="S36" s="2884"/>
      <c r="T36" s="2884"/>
      <c r="U36" s="2884"/>
    </row>
    <row r="37" spans="1:21" ht="28.5">
      <c r="A37" s="3215"/>
      <c r="B37" s="3218" t="s">
        <v>412</v>
      </c>
      <c r="C37" s="2983" t="s">
        <v>413</v>
      </c>
      <c r="D37" s="2984"/>
      <c r="E37" s="2985"/>
      <c r="F37" s="2884"/>
      <c r="G37" s="2884"/>
      <c r="H37" s="2884"/>
      <c r="I37" s="3007"/>
      <c r="J37" s="2884"/>
      <c r="K37" s="3013"/>
      <c r="L37" s="2884"/>
      <c r="M37" s="2884"/>
      <c r="N37" s="2884"/>
      <c r="O37" s="2884"/>
      <c r="P37" s="2884"/>
      <c r="Q37" s="2884"/>
      <c r="R37" s="2884"/>
      <c r="S37" s="2884"/>
      <c r="T37" s="2884"/>
      <c r="U37" s="2884"/>
    </row>
    <row r="38" spans="1:21">
      <c r="A38" s="3215"/>
      <c r="B38" s="3219"/>
      <c r="C38" s="2897" t="s">
        <v>414</v>
      </c>
      <c r="D38" s="2986">
        <f>ROUNDDOWN(MIN(('数据-取费表'!$B$2-D37)/365,D34),1)</f>
        <v>119.9</v>
      </c>
      <c r="E38" s="2987" t="s">
        <v>415</v>
      </c>
      <c r="F38" s="2884"/>
      <c r="G38" s="2884"/>
      <c r="H38" s="2884"/>
      <c r="I38" s="3007"/>
      <c r="J38" s="2884"/>
      <c r="K38" s="3013"/>
      <c r="L38" s="2884"/>
      <c r="M38" s="2884"/>
      <c r="N38" s="2884"/>
      <c r="O38" s="2884"/>
      <c r="P38" s="2884"/>
      <c r="Q38" s="2884"/>
      <c r="R38" s="2884"/>
      <c r="S38" s="2884"/>
      <c r="T38" s="2884"/>
      <c r="U38" s="2884"/>
    </row>
    <row r="39" spans="1:21">
      <c r="A39" s="3216"/>
      <c r="B39" s="3220"/>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416</v>
      </c>
      <c r="B40" s="2989"/>
      <c r="C40" s="2989"/>
      <c r="D40" s="2989"/>
      <c r="E40" s="2989"/>
      <c r="F40" s="2989"/>
      <c r="G40" s="2989"/>
      <c r="H40" s="2989"/>
      <c r="I40" s="3007"/>
      <c r="J40" s="2884"/>
      <c r="K40" s="3001">
        <f>COUNTIF(B40:H40,"——")</f>
        <v>0</v>
      </c>
      <c r="L40" s="2919" t="s">
        <v>417</v>
      </c>
      <c r="M40" s="3000" t="s">
        <v>418</v>
      </c>
      <c r="N40" s="3000" t="s">
        <v>290</v>
      </c>
      <c r="O40" s="3000" t="s">
        <v>282</v>
      </c>
      <c r="P40" s="3000" t="s">
        <v>272</v>
      </c>
      <c r="Q40" s="3000" t="s">
        <v>261</v>
      </c>
      <c r="R40" s="3000" t="s">
        <v>249</v>
      </c>
      <c r="S40" s="3213" t="s">
        <v>419</v>
      </c>
      <c r="T40" s="3022" t="str">
        <f>NUMBERSTRING(7-K40,1)&amp;"通"</f>
        <v>七通</v>
      </c>
      <c r="U40" s="2884"/>
    </row>
    <row r="41" spans="1:21">
      <c r="A41" s="2887"/>
      <c r="B41" s="3214" t="s">
        <v>420</v>
      </c>
      <c r="C41" s="3214"/>
      <c r="D41" s="3214"/>
      <c r="E41" s="3214"/>
      <c r="F41" s="2990">
        <f>C10</f>
        <v>0</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13"/>
      <c r="T41" s="2922" t="str">
        <f>IF(T40="一通",L41,IF(T40="二通",M41,IF(T40="三通",N41,IF(T40="四通",O41,IF(T40="五通",P41,IF(T40="六通",Q41,R41))))))</f>
        <v>、、、、、、</v>
      </c>
      <c r="U41" s="2884"/>
    </row>
    <row r="42" spans="1:21">
      <c r="A42" s="2991"/>
      <c r="B42" s="2926" t="s">
        <v>373</v>
      </c>
      <c r="C42" s="2926" t="s">
        <v>374</v>
      </c>
      <c r="D42" s="2926" t="s">
        <v>372</v>
      </c>
      <c r="E42" s="2919" t="s">
        <v>164</v>
      </c>
      <c r="F42" s="2992"/>
      <c r="G42" s="2884"/>
      <c r="H42" s="2884"/>
      <c r="I42" s="3007"/>
      <c r="J42" s="2884"/>
      <c r="K42" s="3005"/>
      <c r="L42" s="3003"/>
      <c r="M42" s="3003"/>
      <c r="N42" s="2884"/>
      <c r="O42" s="3004"/>
      <c r="P42" s="2884"/>
      <c r="Q42" s="2884"/>
      <c r="R42" s="2884"/>
      <c r="S42" s="2884"/>
      <c r="T42" s="2884"/>
      <c r="U42" s="2884"/>
    </row>
    <row r="43" spans="1:21">
      <c r="A43" s="2993" t="s">
        <v>219</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421</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25">
      <c r="A45" s="2996" t="s">
        <v>422</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423</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28.5">
      <c r="A48" s="2919" t="s">
        <v>424</v>
      </c>
      <c r="B48" s="2927" t="s">
        <v>425</v>
      </c>
      <c r="C48" s="2927" t="s">
        <v>426</v>
      </c>
      <c r="D48" s="2927" t="s">
        <v>427</v>
      </c>
      <c r="E48" s="2927" t="s">
        <v>428</v>
      </c>
      <c r="F48" s="2927" t="s">
        <v>429</v>
      </c>
      <c r="G48" s="2927" t="s">
        <v>430</v>
      </c>
      <c r="H48" s="2927" t="s">
        <v>431</v>
      </c>
      <c r="I48" s="2927" t="s">
        <v>432</v>
      </c>
      <c r="J48" s="3018" t="s">
        <v>433</v>
      </c>
      <c r="K48" s="2926" t="s">
        <v>434</v>
      </c>
      <c r="L48" s="2926" t="s">
        <v>435</v>
      </c>
      <c r="M48" s="2926" t="s">
        <v>436</v>
      </c>
      <c r="N48" s="2927" t="s">
        <v>437</v>
      </c>
      <c r="O48" s="2927" t="s">
        <v>438</v>
      </c>
      <c r="P48" s="2927" t="s">
        <v>439</v>
      </c>
      <c r="Q48" s="2919" t="s">
        <v>440</v>
      </c>
      <c r="R48" s="2919" t="s">
        <v>441</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6"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E25" activePane="bottomRight" state="frozen"/>
      <selection pane="topRight"/>
      <selection pane="bottomLeft"/>
      <selection pane="bottomRight" activeCell="AN5" sqref="AN5"/>
    </sheetView>
  </sheetViews>
  <sheetFormatPr defaultColWidth="8.875" defaultRowHeight="14.25"/>
  <cols>
    <col min="1" max="1" width="10.625" style="2763" customWidth="1"/>
    <col min="2" max="2" width="11" style="2763" customWidth="1"/>
    <col min="3" max="3" width="10.375" style="2763" customWidth="1"/>
    <col min="4" max="4" width="9.125" style="2763" customWidth="1"/>
    <col min="5" max="6" width="10" style="2761" customWidth="1"/>
    <col min="7" max="8" width="10" style="2763" customWidth="1"/>
    <col min="9" max="9" width="10.625" style="2763" customWidth="1"/>
    <col min="10" max="10" width="9.5" style="2763" hidden="1" customWidth="1"/>
    <col min="11" max="11" width="11" style="2763" customWidth="1"/>
    <col min="12" max="12" width="9.5" style="2763" hidden="1" customWidth="1"/>
    <col min="13" max="13" width="9.5" style="2763" customWidth="1"/>
    <col min="14" max="14" width="9.5" style="2763" hidden="1" customWidth="1"/>
    <col min="15" max="15" width="9.875" style="2763" hidden="1" customWidth="1"/>
    <col min="16" max="16" width="9.75" style="2763" hidden="1" customWidth="1"/>
    <col min="17" max="17" width="9.375" style="2763" hidden="1" customWidth="1"/>
    <col min="18" max="18" width="9.25" style="2763" hidden="1" customWidth="1"/>
    <col min="19" max="19" width="10.875" style="2763" hidden="1" customWidth="1"/>
    <col min="20" max="21" width="10.75" style="2763" hidden="1" customWidth="1"/>
    <col min="22" max="22" width="10.875" style="2763" hidden="1" customWidth="1"/>
    <col min="23" max="27" width="10.75" style="2763" hidden="1" customWidth="1"/>
    <col min="28" max="28" width="10.875" style="2763" hidden="1" customWidth="1"/>
    <col min="29" max="29" width="11" style="2763" customWidth="1"/>
    <col min="30" max="30" width="10" style="2763" customWidth="1"/>
    <col min="31" max="31" width="9.75" style="2763" customWidth="1"/>
    <col min="32" max="46" width="9.5" style="2763" customWidth="1"/>
    <col min="47" max="47" width="18.125" style="2763" customWidth="1"/>
    <col min="48" max="50" width="9.75" style="2763" customWidth="1"/>
    <col min="51" max="55" width="10.5" style="2763" customWidth="1"/>
    <col min="56" max="56" width="9.5" style="2763" customWidth="1"/>
    <col min="57" max="63" width="9.125" style="2763" customWidth="1"/>
    <col min="64" max="64" width="9.5" style="2763" customWidth="1"/>
    <col min="65" max="65" width="9.125" style="2763" customWidth="1"/>
    <col min="66" max="66" width="9.5" style="2763" customWidth="1"/>
    <col min="67" max="69" width="9.125" style="2763" customWidth="1"/>
    <col min="70" max="70" width="9.5" style="2763" customWidth="1"/>
    <col min="71" max="71" width="9" style="2763" customWidth="1"/>
    <col min="72" max="72" width="9.125" style="2763" customWidth="1"/>
    <col min="73" max="16384" width="8.875" style="2763"/>
  </cols>
  <sheetData>
    <row r="1" spans="1:72" ht="20.25">
      <c r="A1" s="2764" t="s">
        <v>442</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443</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444</v>
      </c>
      <c r="B2" s="124" t="s">
        <v>445</v>
      </c>
      <c r="C2" s="124" t="s">
        <v>446</v>
      </c>
      <c r="D2" s="2766"/>
      <c r="E2" s="2271"/>
      <c r="F2" s="2265"/>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447</v>
      </c>
      <c r="AZ2" s="2850" t="s">
        <v>448</v>
      </c>
      <c r="BA2" s="2851" t="s">
        <v>449</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2.75">
      <c r="A3" s="2767">
        <f>住宅案例!F6</f>
        <v>40000.22</v>
      </c>
      <c r="B3" s="2768">
        <f>IF(C3="否",G5-AT5,G5)</f>
        <v>109558.57000000002</v>
      </c>
      <c r="C3" s="2769"/>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2.75">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2.75">
      <c r="A5" s="762" t="s">
        <v>450</v>
      </c>
      <c r="B5" s="869"/>
      <c r="C5" s="869"/>
      <c r="D5" s="2186"/>
      <c r="E5" s="2773" t="s">
        <v>138</v>
      </c>
      <c r="F5" s="2773">
        <f>SUM(F13:F572)</f>
        <v>0</v>
      </c>
      <c r="G5" s="2773">
        <f>SUM(G13:G572)</f>
        <v>109558.57000000002</v>
      </c>
      <c r="H5" s="2773">
        <f t="shared" ref="H5:AT5" si="0">SUM(H13:H641)</f>
        <v>102167.19000000002</v>
      </c>
      <c r="I5" s="2773">
        <f t="shared" si="0"/>
        <v>85247.46</v>
      </c>
      <c r="J5" s="2773">
        <f t="shared" si="0"/>
        <v>0</v>
      </c>
      <c r="K5" s="2773">
        <f t="shared" si="0"/>
        <v>10008.67</v>
      </c>
      <c r="L5" s="2773">
        <f t="shared" si="0"/>
        <v>0</v>
      </c>
      <c r="M5" s="2773">
        <f t="shared" si="0"/>
        <v>6911.06</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7391.38</v>
      </c>
      <c r="AD5" s="2773">
        <f t="shared" si="0"/>
        <v>3763.58</v>
      </c>
      <c r="AE5" s="2773">
        <f t="shared" si="0"/>
        <v>0</v>
      </c>
      <c r="AF5" s="2773">
        <f t="shared" si="0"/>
        <v>0</v>
      </c>
      <c r="AG5" s="2773">
        <f t="shared" si="0"/>
        <v>0</v>
      </c>
      <c r="AH5" s="2773">
        <f t="shared" si="0"/>
        <v>0</v>
      </c>
      <c r="AI5" s="2773">
        <f t="shared" si="0"/>
        <v>0</v>
      </c>
      <c r="AJ5" s="2773">
        <f t="shared" si="0"/>
        <v>421.14</v>
      </c>
      <c r="AK5" s="2773">
        <f t="shared" si="0"/>
        <v>0</v>
      </c>
      <c r="AL5" s="2773">
        <f t="shared" si="0"/>
        <v>971.2299999999999</v>
      </c>
      <c r="AM5" s="2773">
        <f t="shared" si="0"/>
        <v>0</v>
      </c>
      <c r="AN5" s="2773">
        <f t="shared" si="0"/>
        <v>2235.4299999999998</v>
      </c>
      <c r="AO5" s="2773">
        <f t="shared" si="0"/>
        <v>0</v>
      </c>
      <c r="AP5" s="2773">
        <f t="shared" si="0"/>
        <v>0</v>
      </c>
      <c r="AQ5" s="2773">
        <f t="shared" si="0"/>
        <v>0</v>
      </c>
      <c r="AR5" s="2773">
        <f t="shared" si="0"/>
        <v>0</v>
      </c>
      <c r="AS5" s="2773">
        <f t="shared" si="0"/>
        <v>0</v>
      </c>
      <c r="AT5" s="2773">
        <f t="shared" si="0"/>
        <v>0</v>
      </c>
      <c r="AU5" s="2075"/>
      <c r="AV5" s="762" t="s">
        <v>450</v>
      </c>
      <c r="AW5" s="869"/>
      <c r="AX5" s="869"/>
      <c r="AY5" s="2856" t="s">
        <v>138</v>
      </c>
      <c r="AZ5" s="2857">
        <f t="shared" ref="AZ5:BT5" si="1">SUM(AZ13:AZ641)</f>
        <v>109558.57000000002</v>
      </c>
      <c r="BA5" s="2857">
        <f t="shared" si="1"/>
        <v>102167.19000000002</v>
      </c>
      <c r="BB5" s="2857">
        <f t="shared" si="1"/>
        <v>85247.46</v>
      </c>
      <c r="BC5" s="2857">
        <f t="shared" si="1"/>
        <v>10008.67</v>
      </c>
      <c r="BD5" s="2857">
        <f t="shared" si="1"/>
        <v>6911.06</v>
      </c>
      <c r="BE5" s="2857">
        <f t="shared" si="1"/>
        <v>0</v>
      </c>
      <c r="BF5" s="2857">
        <f t="shared" si="1"/>
        <v>0</v>
      </c>
      <c r="BG5" s="2857">
        <f t="shared" si="1"/>
        <v>0</v>
      </c>
      <c r="BH5" s="2857">
        <f t="shared" si="1"/>
        <v>0</v>
      </c>
      <c r="BI5" s="2857">
        <f t="shared" si="1"/>
        <v>0</v>
      </c>
      <c r="BJ5" s="2857">
        <f t="shared" si="1"/>
        <v>0</v>
      </c>
      <c r="BK5" s="2857">
        <f t="shared" si="1"/>
        <v>0</v>
      </c>
      <c r="BL5" s="2857">
        <f t="shared" si="1"/>
        <v>7391.38</v>
      </c>
      <c r="BM5" s="2857">
        <f t="shared" si="1"/>
        <v>3763.58</v>
      </c>
      <c r="BN5" s="2857">
        <f t="shared" si="1"/>
        <v>0</v>
      </c>
      <c r="BO5" s="2857">
        <f t="shared" si="1"/>
        <v>0</v>
      </c>
      <c r="BP5" s="2857">
        <f t="shared" si="1"/>
        <v>421.14</v>
      </c>
      <c r="BQ5" s="2857">
        <f t="shared" si="1"/>
        <v>971.2299999999999</v>
      </c>
      <c r="BR5" s="2857">
        <f t="shared" si="1"/>
        <v>2235.4299999999998</v>
      </c>
      <c r="BS5" s="2857">
        <f t="shared" si="1"/>
        <v>0</v>
      </c>
      <c r="BT5" s="2866">
        <f t="shared" si="1"/>
        <v>0</v>
      </c>
    </row>
    <row r="6" spans="1:72" s="2760" customFormat="1" ht="12.75">
      <c r="A6" s="762" t="s">
        <v>451</v>
      </c>
      <c r="B6" s="2774"/>
      <c r="C6" s="2774"/>
      <c r="D6" s="2775"/>
      <c r="E6" s="2773">
        <f>H6+AC6+AT6</f>
        <v>40000.22</v>
      </c>
      <c r="F6" s="2773" t="s">
        <v>138</v>
      </c>
      <c r="G6" s="2773" t="s">
        <v>138</v>
      </c>
      <c r="H6" s="2776">
        <f>SUMIF(I$12:AB$12,"总值",I6:AB6)</f>
        <v>37301.599999999999</v>
      </c>
      <c r="I6" s="2773">
        <f t="shared" ref="I6:AB6" si="2">ROUND($A$3*I5/$B$3,2)</f>
        <v>31124.15</v>
      </c>
      <c r="J6" s="2773">
        <f t="shared" si="2"/>
        <v>0</v>
      </c>
      <c r="K6" s="2773">
        <f t="shared" si="2"/>
        <v>3654.2</v>
      </c>
      <c r="L6" s="2773">
        <f t="shared" si="2"/>
        <v>0</v>
      </c>
      <c r="M6" s="2773">
        <f t="shared" si="2"/>
        <v>2523.25</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2698.62</v>
      </c>
      <c r="AD6" s="2773">
        <f t="shared" ref="AD6:AS6" si="3">ROUND($A$3*AD5/$B$3,2)</f>
        <v>1374.1</v>
      </c>
      <c r="AE6" s="2773">
        <f t="shared" si="3"/>
        <v>0</v>
      </c>
      <c r="AF6" s="2773">
        <f t="shared" si="3"/>
        <v>0</v>
      </c>
      <c r="AG6" s="2773">
        <f t="shared" si="3"/>
        <v>0</v>
      </c>
      <c r="AH6" s="2773">
        <f t="shared" si="3"/>
        <v>0</v>
      </c>
      <c r="AI6" s="2773">
        <f t="shared" si="3"/>
        <v>0</v>
      </c>
      <c r="AJ6" s="2773">
        <f t="shared" si="3"/>
        <v>153.76</v>
      </c>
      <c r="AK6" s="2773">
        <f t="shared" si="3"/>
        <v>0</v>
      </c>
      <c r="AL6" s="2773">
        <f t="shared" si="3"/>
        <v>354.6</v>
      </c>
      <c r="AM6" s="2773">
        <f t="shared" si="3"/>
        <v>0</v>
      </c>
      <c r="AN6" s="2773">
        <f t="shared" si="3"/>
        <v>816.16</v>
      </c>
      <c r="AO6" s="2773">
        <f t="shared" si="3"/>
        <v>0</v>
      </c>
      <c r="AP6" s="2773">
        <f t="shared" si="3"/>
        <v>0</v>
      </c>
      <c r="AQ6" s="2773">
        <f t="shared" si="3"/>
        <v>0</v>
      </c>
      <c r="AR6" s="2773">
        <f t="shared" si="3"/>
        <v>0</v>
      </c>
      <c r="AS6" s="2773">
        <f t="shared" si="3"/>
        <v>0</v>
      </c>
      <c r="AT6" s="2776">
        <f>IF(C3="是",ROUND($A$3*AT5/$B$3,2),0)</f>
        <v>0</v>
      </c>
      <c r="AU6" s="2833"/>
      <c r="AV6" s="762" t="s">
        <v>451</v>
      </c>
      <c r="AW6" s="2774"/>
      <c r="AX6" s="2774"/>
      <c r="AY6" s="2858">
        <f>IF(AY3&gt;0,AY3,ROUND($A$3*AZ5/$B$3,2))</f>
        <v>40000.22</v>
      </c>
      <c r="AZ6" s="2773" t="s">
        <v>138</v>
      </c>
      <c r="BA6" s="2773">
        <f>ROUND($AY$6*BA5/$AZ$5,2)</f>
        <v>37301.599999999999</v>
      </c>
      <c r="BB6" s="2773">
        <f>ROUND($AY$6*BB5/$AZ$5,2)</f>
        <v>31124.15</v>
      </c>
      <c r="BC6" s="2773">
        <f t="shared" ref="BC6:BH6" si="4">ROUND($AY$6*BC5/$AZ$5,2)</f>
        <v>3654.2</v>
      </c>
      <c r="BD6" s="2773">
        <f t="shared" si="4"/>
        <v>2523.25</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2698.62</v>
      </c>
      <c r="BM6" s="2773">
        <f t="shared" si="5"/>
        <v>1374.1</v>
      </c>
      <c r="BN6" s="2773">
        <f t="shared" si="5"/>
        <v>0</v>
      </c>
      <c r="BO6" s="2773">
        <f t="shared" si="5"/>
        <v>0</v>
      </c>
      <c r="BP6" s="2773">
        <f t="shared" si="5"/>
        <v>153.76</v>
      </c>
      <c r="BQ6" s="2773">
        <f t="shared" si="5"/>
        <v>354.6</v>
      </c>
      <c r="BR6" s="2773">
        <f t="shared" si="5"/>
        <v>816.16</v>
      </c>
      <c r="BS6" s="2773">
        <f t="shared" si="5"/>
        <v>0</v>
      </c>
      <c r="BT6" s="2867">
        <f t="shared" si="5"/>
        <v>0</v>
      </c>
    </row>
    <row r="7" spans="1:72" s="184" customFormat="1" ht="24.75">
      <c r="A7" s="2777" t="s">
        <v>452</v>
      </c>
      <c r="B7" s="2777" t="s">
        <v>453</v>
      </c>
      <c r="C7" s="2777" t="s">
        <v>454</v>
      </c>
      <c r="D7" s="2777" t="s">
        <v>455</v>
      </c>
      <c r="E7" s="2777" t="s">
        <v>451</v>
      </c>
      <c r="F7" s="2777" t="s">
        <v>456</v>
      </c>
      <c r="G7" s="2778" t="s">
        <v>457</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458</v>
      </c>
      <c r="AV7" s="2246" t="s">
        <v>452</v>
      </c>
      <c r="AW7" s="2265" t="s">
        <v>453</v>
      </c>
      <c r="AX7" s="2246" t="s">
        <v>454</v>
      </c>
      <c r="AY7" s="869" t="s">
        <v>459</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460</v>
      </c>
      <c r="H8" s="2782" t="s">
        <v>461</v>
      </c>
      <c r="I8" s="2806"/>
      <c r="J8" s="123"/>
      <c r="K8" s="123"/>
      <c r="L8" s="123"/>
      <c r="M8" s="123"/>
      <c r="N8" s="123"/>
      <c r="O8" s="123"/>
      <c r="P8" s="123"/>
      <c r="Q8" s="123"/>
      <c r="R8" s="123"/>
      <c r="S8" s="123"/>
      <c r="T8" s="123"/>
      <c r="U8" s="123"/>
      <c r="V8" s="2818"/>
      <c r="W8" s="123"/>
      <c r="X8" s="123"/>
      <c r="Y8" s="123"/>
      <c r="Z8" s="123"/>
      <c r="AA8" s="2818"/>
      <c r="AB8" s="2820"/>
      <c r="AC8" s="1985" t="s">
        <v>462</v>
      </c>
      <c r="AD8" s="2821"/>
      <c r="AE8" s="2822"/>
      <c r="AF8" s="123"/>
      <c r="AG8" s="123"/>
      <c r="AH8" s="123"/>
      <c r="AI8" s="123"/>
      <c r="AJ8" s="123"/>
      <c r="AK8" s="123"/>
      <c r="AL8" s="123"/>
      <c r="AM8" s="123"/>
      <c r="AN8" s="123"/>
      <c r="AO8" s="123"/>
      <c r="AP8" s="123"/>
      <c r="AQ8" s="123"/>
      <c r="AR8" s="123"/>
      <c r="AS8" s="181"/>
      <c r="AT8" s="2835" t="s">
        <v>463</v>
      </c>
      <c r="AU8" s="2780" t="s">
        <v>464</v>
      </c>
      <c r="AV8" s="639"/>
      <c r="AW8" s="2271"/>
      <c r="AX8" s="639"/>
      <c r="AY8" s="2265"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0"/>
      <c r="B9" s="2780"/>
      <c r="C9" s="2780"/>
      <c r="D9" s="2780"/>
      <c r="E9" s="2780"/>
      <c r="F9" s="2780"/>
      <c r="G9" s="639"/>
      <c r="H9" s="2783" t="s">
        <v>465</v>
      </c>
      <c r="I9" s="2807" t="s">
        <v>466</v>
      </c>
      <c r="J9" s="1985"/>
      <c r="K9" s="2807" t="s">
        <v>466</v>
      </c>
      <c r="L9" s="1985"/>
      <c r="M9" s="2807" t="s">
        <v>467</v>
      </c>
      <c r="N9" s="1985"/>
      <c r="O9" s="2808"/>
      <c r="P9" s="1985"/>
      <c r="Q9" s="2808"/>
      <c r="R9" s="1985"/>
      <c r="S9" s="2808"/>
      <c r="T9" s="1985"/>
      <c r="U9" s="2808"/>
      <c r="V9" s="1985"/>
      <c r="W9" s="2808"/>
      <c r="X9" s="2819"/>
      <c r="Y9" s="2808"/>
      <c r="Z9" s="1985"/>
      <c r="AA9" s="2808"/>
      <c r="AB9" s="1985"/>
      <c r="AC9" s="2781" t="s">
        <v>465</v>
      </c>
      <c r="AD9" s="762" t="s">
        <v>468</v>
      </c>
      <c r="AE9" s="1065"/>
      <c r="AF9" s="762" t="s">
        <v>469</v>
      </c>
      <c r="AG9" s="1065"/>
      <c r="AH9" s="762" t="s">
        <v>468</v>
      </c>
      <c r="AI9" s="1065"/>
      <c r="AJ9" s="762" t="s">
        <v>469</v>
      </c>
      <c r="AK9" s="1065"/>
      <c r="AL9" s="762" t="s">
        <v>468</v>
      </c>
      <c r="AM9" s="1065"/>
      <c r="AN9" s="762" t="s">
        <v>469</v>
      </c>
      <c r="AO9" s="1065"/>
      <c r="AP9" s="2836" t="s">
        <v>468</v>
      </c>
      <c r="AQ9" s="2837"/>
      <c r="AR9" s="2836" t="s">
        <v>469</v>
      </c>
      <c r="AS9" s="2838"/>
      <c r="AT9" s="2780"/>
      <c r="AU9" s="2780" t="s">
        <v>470</v>
      </c>
      <c r="AV9" s="639"/>
      <c r="AW9" s="2271"/>
      <c r="AX9" s="639"/>
      <c r="AY9" s="2247"/>
      <c r="AZ9" s="2247" t="s">
        <v>460</v>
      </c>
      <c r="BA9" s="2859" t="s">
        <v>471</v>
      </c>
      <c r="BB9" s="2860"/>
      <c r="BC9" s="709"/>
      <c r="BD9" s="709"/>
      <c r="BE9" s="709"/>
      <c r="BF9" s="709"/>
      <c r="BG9" s="709"/>
      <c r="BH9" s="709"/>
      <c r="BI9" s="709"/>
      <c r="BJ9" s="709"/>
      <c r="BK9" s="2865"/>
      <c r="BL9" s="762" t="s">
        <v>472</v>
      </c>
      <c r="BM9" s="123"/>
      <c r="BN9" s="2806"/>
      <c r="BO9" s="123"/>
      <c r="BP9" s="123"/>
      <c r="BQ9" s="123"/>
      <c r="BR9" s="123"/>
      <c r="BS9" s="123"/>
      <c r="BT9" s="689"/>
    </row>
    <row r="10" spans="1:72" s="187" customFormat="1" ht="12.75">
      <c r="A10" s="2780"/>
      <c r="B10" s="2780"/>
      <c r="C10" s="2780"/>
      <c r="D10" s="2780"/>
      <c r="E10" s="2780"/>
      <c r="F10" s="2780"/>
      <c r="G10" s="639"/>
      <c r="H10" s="2247"/>
      <c r="I10" s="2807" t="s">
        <v>372</v>
      </c>
      <c r="J10" s="1985"/>
      <c r="K10" s="2809" t="s">
        <v>373</v>
      </c>
      <c r="L10" s="1985"/>
      <c r="M10" s="2809" t="s">
        <v>375</v>
      </c>
      <c r="N10" s="1985"/>
      <c r="O10" s="2810"/>
      <c r="P10" s="1985"/>
      <c r="Q10" s="2810"/>
      <c r="R10" s="1985"/>
      <c r="S10" s="2810"/>
      <c r="T10" s="1985"/>
      <c r="U10" s="2810"/>
      <c r="V10" s="1985"/>
      <c r="W10" s="2810"/>
      <c r="X10" s="1985"/>
      <c r="Y10" s="2810"/>
      <c r="Z10" s="1985"/>
      <c r="AA10" s="2810"/>
      <c r="AB10" s="1985"/>
      <c r="AC10" s="639"/>
      <c r="AD10" s="2365" t="s">
        <v>233</v>
      </c>
      <c r="AE10" s="2823"/>
      <c r="AF10" s="2365" t="s">
        <v>233</v>
      </c>
      <c r="AG10" s="2823"/>
      <c r="AH10" s="2365" t="s">
        <v>473</v>
      </c>
      <c r="AI10" s="2823"/>
      <c r="AJ10" s="762" t="s">
        <v>474</v>
      </c>
      <c r="AK10" s="2829"/>
      <c r="AL10" s="2365" t="s">
        <v>475</v>
      </c>
      <c r="AM10" s="2830"/>
      <c r="AN10" s="762" t="s">
        <v>476</v>
      </c>
      <c r="AO10" s="1065"/>
      <c r="AP10" s="2836" t="s">
        <v>477</v>
      </c>
      <c r="AQ10" s="2837"/>
      <c r="AR10" s="2836" t="s">
        <v>477</v>
      </c>
      <c r="AS10" s="2837"/>
      <c r="AT10" s="2780"/>
      <c r="AU10" s="2780"/>
      <c r="AV10" s="639"/>
      <c r="AW10" s="2271"/>
      <c r="AX10" s="639"/>
      <c r="AY10" s="2247"/>
      <c r="AZ10" s="2247"/>
      <c r="BA10" s="2784" t="s">
        <v>465</v>
      </c>
      <c r="BB10" s="2861"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6" t="str">
        <f>AR9</f>
        <v>地下</v>
      </c>
    </row>
    <row r="11" spans="1:72" s="187" customFormat="1" ht="12.75">
      <c r="A11" s="2780"/>
      <c r="B11" s="2780"/>
      <c r="C11" s="2780"/>
      <c r="D11" s="2780"/>
      <c r="E11" s="2780"/>
      <c r="F11" s="2780"/>
      <c r="G11" s="639"/>
      <c r="H11" s="2784"/>
      <c r="I11" s="2811" t="s">
        <v>478</v>
      </c>
      <c r="J11" s="2812"/>
      <c r="K11" s="2811" t="s">
        <v>479</v>
      </c>
      <c r="L11" s="2812"/>
      <c r="M11" s="2813"/>
      <c r="N11" s="2812"/>
      <c r="O11" s="2813"/>
      <c r="P11" s="2812"/>
      <c r="Q11" s="2813"/>
      <c r="R11" s="2812"/>
      <c r="S11" s="2813"/>
      <c r="T11" s="2812"/>
      <c r="U11" s="2813"/>
      <c r="V11" s="2812"/>
      <c r="W11" s="2813"/>
      <c r="X11" s="2812"/>
      <c r="Y11" s="2813"/>
      <c r="Z11" s="2812"/>
      <c r="AA11" s="2813"/>
      <c r="AB11" s="2812"/>
      <c r="AC11" s="639"/>
      <c r="AD11" s="2824" t="s">
        <v>480</v>
      </c>
      <c r="AE11" s="181"/>
      <c r="AF11" s="2824" t="s">
        <v>480</v>
      </c>
      <c r="AG11" s="181"/>
      <c r="AH11" s="2824" t="s">
        <v>481</v>
      </c>
      <c r="AI11" s="2831"/>
      <c r="AJ11" s="2824" t="s">
        <v>481</v>
      </c>
      <c r="AK11" s="2829"/>
      <c r="AL11" s="122"/>
      <c r="AM11" s="181"/>
      <c r="AN11" s="122"/>
      <c r="AO11" s="181"/>
      <c r="AP11" s="2839"/>
      <c r="AQ11" s="2840"/>
      <c r="AR11" s="2839"/>
      <c r="AS11" s="2840"/>
      <c r="AT11" s="2271"/>
      <c r="AU11" s="2780"/>
      <c r="AV11" s="639"/>
      <c r="AW11" s="2271"/>
      <c r="AX11" s="639"/>
      <c r="AY11" s="2247"/>
      <c r="AZ11" s="2247"/>
      <c r="BA11" s="2247"/>
      <c r="BB11" s="2820" t="str">
        <f>I10</f>
        <v>住宅</v>
      </c>
      <c r="BC11" s="2820" t="str">
        <f>K10</f>
        <v>商业</v>
      </c>
      <c r="BD11" s="2820" t="str">
        <f>M10</f>
        <v>车库</v>
      </c>
      <c r="BE11" s="2820">
        <f>O10</f>
        <v>0</v>
      </c>
      <c r="BF11" s="2820">
        <f>Q10</f>
        <v>0</v>
      </c>
      <c r="BG11" s="2820">
        <f>S10</f>
        <v>0</v>
      </c>
      <c r="BH11" s="2820">
        <f>U10</f>
        <v>0</v>
      </c>
      <c r="BI11" s="2820">
        <f>W10</f>
        <v>0</v>
      </c>
      <c r="BJ11" s="2820">
        <f>Y10</f>
        <v>0</v>
      </c>
      <c r="BK11" s="2820">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48" t="str">
        <f>AR10</f>
        <v>未注明</v>
      </c>
    </row>
    <row r="12" spans="1:72" s="184" customFormat="1" ht="12.75">
      <c r="A12" s="2785"/>
      <c r="B12" s="2785"/>
      <c r="C12" s="2785"/>
      <c r="D12" s="2785"/>
      <c r="E12" s="2785"/>
      <c r="F12" s="2785"/>
      <c r="G12" s="2255"/>
      <c r="H12" s="2786"/>
      <c r="I12" s="2186"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5" t="s">
        <v>483</v>
      </c>
      <c r="W12" s="124" t="s">
        <v>482</v>
      </c>
      <c r="X12" s="124" t="s">
        <v>483</v>
      </c>
      <c r="Y12" s="124" t="s">
        <v>482</v>
      </c>
      <c r="Z12" s="124" t="s">
        <v>483</v>
      </c>
      <c r="AA12" s="124" t="s">
        <v>482</v>
      </c>
      <c r="AB12" s="124" t="s">
        <v>483</v>
      </c>
      <c r="AC12" s="2825"/>
      <c r="AD12" s="2186"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1" t="s">
        <v>482</v>
      </c>
      <c r="AQ12" s="2841" t="s">
        <v>483</v>
      </c>
      <c r="AR12" s="2842" t="s">
        <v>482</v>
      </c>
      <c r="AS12" s="2843" t="s">
        <v>483</v>
      </c>
      <c r="AT12" s="2844"/>
      <c r="AU12" s="2785"/>
      <c r="AV12" s="2251"/>
      <c r="AW12" s="2265"/>
      <c r="AX12" s="2251"/>
      <c r="AY12" s="2862"/>
      <c r="AZ12" s="2247"/>
      <c r="BA12" s="2784"/>
      <c r="BB12" s="121" t="str">
        <f>I11</f>
        <v>普通住宅</v>
      </c>
      <c r="BC12" s="2863" t="str">
        <f>K11</f>
        <v>底商</v>
      </c>
      <c r="BD12" s="2863">
        <f>M11</f>
        <v>0</v>
      </c>
      <c r="BE12" s="2820">
        <f>O11</f>
        <v>0</v>
      </c>
      <c r="BF12" s="2820">
        <f>Q11</f>
        <v>0</v>
      </c>
      <c r="BG12" s="2820">
        <f>S11</f>
        <v>0</v>
      </c>
      <c r="BH12" s="2820">
        <f>U11</f>
        <v>0</v>
      </c>
      <c r="BI12" s="2820">
        <f>W11</f>
        <v>0</v>
      </c>
      <c r="BJ12" s="2820">
        <f>Y11</f>
        <v>0</v>
      </c>
      <c r="BK12" s="2820">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48">
        <f>AR11</f>
        <v>0</v>
      </c>
    </row>
    <row r="13" spans="1:72" s="184" customFormat="1" ht="12.75">
      <c r="A13" s="2787"/>
      <c r="B13" s="2787"/>
      <c r="C13" s="2787" t="s">
        <v>372</v>
      </c>
      <c r="D13" s="2788" t="s">
        <v>484</v>
      </c>
      <c r="E13" s="2773">
        <f t="shared" ref="E13:E20" si="6">IF($C$3="是",ROUND($A$3*G13/$B$3,2),ROUND($A$3*(G13-AT13)/$B$3,2))</f>
        <v>31124.15</v>
      </c>
      <c r="F13" s="2789"/>
      <c r="G13" s="2790">
        <f t="shared" ref="G13:G20" si="7">H13+AC13+AT13</f>
        <v>85247.46</v>
      </c>
      <c r="H13" s="2776">
        <f t="shared" ref="H13:H20" si="8">SUMIF(I$12:AB$12,"总值",I13:AB13)</f>
        <v>85247.46</v>
      </c>
      <c r="I13" s="2814">
        <v>85247.46</v>
      </c>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t="str">
        <f t="shared" si="10"/>
        <v>住宅</v>
      </c>
      <c r="AY13" s="2186">
        <f t="shared" ref="AY13:AY20" si="11">ROUND($AY$6*AZ13/$AZ$5,2)</f>
        <v>31124.15</v>
      </c>
      <c r="AZ13" s="2773">
        <f t="shared" ref="AZ13:AZ20" si="12">BA13+BL13</f>
        <v>85247.46</v>
      </c>
      <c r="BA13" s="2773">
        <f t="shared" ref="BA13:BA20" si="13">SUM(BB13:BK13)</f>
        <v>85247.46</v>
      </c>
      <c r="BB13" s="2773">
        <f t="shared" ref="BB13:BB20" si="14">IF($D13="是",I13-J13,0)</f>
        <v>85247.46</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2.75">
      <c r="A14" s="2787"/>
      <c r="B14" s="2787"/>
      <c r="C14" s="2791" t="s">
        <v>373</v>
      </c>
      <c r="D14" s="2788" t="s">
        <v>484</v>
      </c>
      <c r="E14" s="2773">
        <f t="shared" si="6"/>
        <v>3289.01</v>
      </c>
      <c r="F14" s="2789"/>
      <c r="G14" s="2790">
        <f t="shared" si="7"/>
        <v>9008.43</v>
      </c>
      <c r="H14" s="2776">
        <f t="shared" si="8"/>
        <v>9008.43</v>
      </c>
      <c r="I14" s="2814"/>
      <c r="J14" s="2814"/>
      <c r="K14" s="2814">
        <v>9008.43</v>
      </c>
      <c r="L14" s="2814"/>
      <c r="M14" s="2814"/>
      <c r="N14" s="2815"/>
      <c r="O14" s="2815"/>
      <c r="P14" s="2815"/>
      <c r="Q14" s="2815"/>
      <c r="R14" s="2815"/>
      <c r="S14" s="2815"/>
      <c r="T14" s="2815"/>
      <c r="U14" s="2815"/>
      <c r="V14" s="2815"/>
      <c r="W14" s="2815"/>
      <c r="X14" s="2815"/>
      <c r="Y14" s="2815"/>
      <c r="Z14" s="2815"/>
      <c r="AA14" s="2815"/>
      <c r="AB14" s="2815"/>
      <c r="AC14" s="2773">
        <f t="shared" si="9"/>
        <v>0</v>
      </c>
      <c r="AD14" s="2826"/>
      <c r="AE14" s="2826"/>
      <c r="AF14" s="2826"/>
      <c r="AG14" s="2826"/>
      <c r="AH14" s="2826"/>
      <c r="AI14" s="2826"/>
      <c r="AJ14" s="2826"/>
      <c r="AK14" s="2826"/>
      <c r="AL14" s="2826"/>
      <c r="AM14" s="2826"/>
      <c r="AN14" s="2826"/>
      <c r="AO14" s="2826"/>
      <c r="AP14" s="2826"/>
      <c r="AQ14" s="2826"/>
      <c r="AR14" s="2826"/>
      <c r="AS14" s="2826"/>
      <c r="AT14" s="2845"/>
      <c r="AU14" s="2846"/>
      <c r="AV14" s="124">
        <f t="shared" si="10"/>
        <v>0</v>
      </c>
      <c r="AW14" s="124">
        <f t="shared" si="10"/>
        <v>0</v>
      </c>
      <c r="AX14" s="124" t="str">
        <f t="shared" si="10"/>
        <v>商业</v>
      </c>
      <c r="AY14" s="2186">
        <f t="shared" si="11"/>
        <v>3289.01</v>
      </c>
      <c r="AZ14" s="2773">
        <f t="shared" si="12"/>
        <v>9008.43</v>
      </c>
      <c r="BA14" s="2773">
        <f t="shared" si="13"/>
        <v>9008.43</v>
      </c>
      <c r="BB14" s="2773">
        <f t="shared" si="14"/>
        <v>0</v>
      </c>
      <c r="BC14" s="2773">
        <f t="shared" si="15"/>
        <v>9008.43</v>
      </c>
      <c r="BD14" s="2773">
        <f t="shared" si="16"/>
        <v>0</v>
      </c>
      <c r="BE14" s="2773">
        <f t="shared" si="17"/>
        <v>0</v>
      </c>
      <c r="BF14" s="2773">
        <f t="shared" si="18"/>
        <v>0</v>
      </c>
      <c r="BG14" s="2773">
        <f t="shared" si="19"/>
        <v>0</v>
      </c>
      <c r="BH14" s="2773">
        <f t="shared" si="20"/>
        <v>0</v>
      </c>
      <c r="BI14" s="2773">
        <f t="shared" si="21"/>
        <v>0</v>
      </c>
      <c r="BJ14" s="2773">
        <f t="shared" si="22"/>
        <v>0</v>
      </c>
      <c r="BK14" s="2773">
        <f t="shared" si="23"/>
        <v>0</v>
      </c>
      <c r="BL14" s="2773">
        <f t="shared" si="24"/>
        <v>0</v>
      </c>
      <c r="BM14" s="2773">
        <f t="shared" si="25"/>
        <v>0</v>
      </c>
      <c r="BN14" s="2773">
        <f t="shared" si="26"/>
        <v>0</v>
      </c>
      <c r="BO14" s="2773">
        <f t="shared" si="27"/>
        <v>0</v>
      </c>
      <c r="BP14" s="2773">
        <f t="shared" si="28"/>
        <v>0</v>
      </c>
      <c r="BQ14" s="2773">
        <f t="shared" si="29"/>
        <v>0</v>
      </c>
      <c r="BR14" s="2773">
        <f t="shared" si="30"/>
        <v>0</v>
      </c>
      <c r="BS14" s="2773">
        <f t="shared" si="31"/>
        <v>0</v>
      </c>
      <c r="BT14" s="2867">
        <f t="shared" si="32"/>
        <v>0</v>
      </c>
    </row>
    <row r="15" spans="1:72" s="184" customFormat="1" ht="12.75">
      <c r="A15" s="2787"/>
      <c r="B15" s="2787"/>
      <c r="C15" s="2791" t="s">
        <v>485</v>
      </c>
      <c r="D15" s="2788" t="s">
        <v>484</v>
      </c>
      <c r="E15" s="2773">
        <f t="shared" si="6"/>
        <v>365.19</v>
      </c>
      <c r="F15" s="2789"/>
      <c r="G15" s="2790">
        <f t="shared" si="7"/>
        <v>1000.24</v>
      </c>
      <c r="H15" s="2776">
        <f t="shared" si="8"/>
        <v>1000.24</v>
      </c>
      <c r="I15" s="2814"/>
      <c r="J15" s="2814"/>
      <c r="K15" s="3167">
        <v>1000.24</v>
      </c>
      <c r="L15" s="2814"/>
      <c r="M15" s="2814"/>
      <c r="N15" s="2815"/>
      <c r="O15" s="2815"/>
      <c r="P15" s="2815"/>
      <c r="Q15" s="2815"/>
      <c r="R15" s="2815"/>
      <c r="S15" s="2815"/>
      <c r="T15" s="2815"/>
      <c r="U15" s="2815"/>
      <c r="V15" s="2815"/>
      <c r="W15" s="2815"/>
      <c r="X15" s="2815"/>
      <c r="Y15" s="2815"/>
      <c r="Z15" s="2815"/>
      <c r="AA15" s="2815"/>
      <c r="AB15" s="2815"/>
      <c r="AC15" s="2773">
        <f t="shared" si="9"/>
        <v>0</v>
      </c>
      <c r="AD15" s="3167"/>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t="str">
        <f t="shared" si="10"/>
        <v>农贸市场</v>
      </c>
      <c r="AY15" s="2186">
        <f t="shared" si="11"/>
        <v>365.19</v>
      </c>
      <c r="AZ15" s="2773">
        <f t="shared" si="12"/>
        <v>1000.24</v>
      </c>
      <c r="BA15" s="2773">
        <f t="shared" si="13"/>
        <v>1000.24</v>
      </c>
      <c r="BB15" s="2773">
        <f t="shared" si="14"/>
        <v>0</v>
      </c>
      <c r="BC15" s="2773">
        <f t="shared" si="15"/>
        <v>1000.24</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2.75">
      <c r="A16" s="2787"/>
      <c r="B16" s="2787"/>
      <c r="C16" s="2791" t="s">
        <v>486</v>
      </c>
      <c r="D16" s="2788" t="s">
        <v>484</v>
      </c>
      <c r="E16" s="2773">
        <f t="shared" si="6"/>
        <v>914.16</v>
      </c>
      <c r="F16" s="2789"/>
      <c r="G16" s="2790">
        <f t="shared" si="7"/>
        <v>2503.83</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2503.83</v>
      </c>
      <c r="AD16" s="2826">
        <v>2503.83</v>
      </c>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t="str">
        <f t="shared" si="10"/>
        <v>幼儿园</v>
      </c>
      <c r="AY16" s="2186">
        <f t="shared" si="11"/>
        <v>914.16</v>
      </c>
      <c r="AZ16" s="2773">
        <f t="shared" si="12"/>
        <v>2503.83</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2503.83</v>
      </c>
      <c r="BM16" s="2773">
        <f t="shared" si="25"/>
        <v>2503.83</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25.5">
      <c r="A17" s="2787"/>
      <c r="B17" s="2787"/>
      <c r="C17" s="2791" t="s">
        <v>487</v>
      </c>
      <c r="D17" s="2788" t="s">
        <v>484</v>
      </c>
      <c r="E17" s="2773">
        <f t="shared" si="6"/>
        <v>73.849999999999994</v>
      </c>
      <c r="F17" s="2789"/>
      <c r="G17" s="2790">
        <f t="shared" si="7"/>
        <v>202.26</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202.26</v>
      </c>
      <c r="AD17" s="2826">
        <v>202.26</v>
      </c>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t="str">
        <f t="shared" si="10"/>
        <v>居家养老服务点</v>
      </c>
      <c r="AY17" s="2186">
        <f t="shared" si="11"/>
        <v>73.849999999999994</v>
      </c>
      <c r="AZ17" s="2773">
        <f t="shared" si="12"/>
        <v>202.26</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202.26</v>
      </c>
      <c r="BM17" s="2773">
        <f t="shared" si="25"/>
        <v>202.26</v>
      </c>
      <c r="BN17" s="2773">
        <f t="shared" si="26"/>
        <v>0</v>
      </c>
      <c r="BO17" s="2773">
        <f t="shared" si="27"/>
        <v>0</v>
      </c>
      <c r="BP17" s="2773">
        <f t="shared" si="28"/>
        <v>0</v>
      </c>
      <c r="BQ17" s="2773">
        <f t="shared" si="29"/>
        <v>0</v>
      </c>
      <c r="BR17" s="2773">
        <f t="shared" si="30"/>
        <v>0</v>
      </c>
      <c r="BS17" s="2773">
        <f t="shared" si="31"/>
        <v>0</v>
      </c>
      <c r="BT17" s="2867">
        <f t="shared" si="32"/>
        <v>0</v>
      </c>
    </row>
    <row r="18" spans="1:72" ht="28.5">
      <c r="A18" s="2792"/>
      <c r="B18" s="2793"/>
      <c r="C18" s="2794" t="s">
        <v>488</v>
      </c>
      <c r="D18" s="2788" t="s">
        <v>484</v>
      </c>
      <c r="E18" s="2795">
        <f t="shared" si="6"/>
        <v>54.9</v>
      </c>
      <c r="F18" s="2796"/>
      <c r="G18" s="2797">
        <f t="shared" si="7"/>
        <v>150.37</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150.37</v>
      </c>
      <c r="AD18" s="2827">
        <v>150.37</v>
      </c>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t="str">
        <f t="shared" si="10"/>
        <v>社区卫生服务站</v>
      </c>
      <c r="AY18" s="2864">
        <f t="shared" si="11"/>
        <v>54.9</v>
      </c>
      <c r="AZ18" s="2795">
        <f t="shared" si="12"/>
        <v>150.37</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150.37</v>
      </c>
      <c r="BM18" s="2795">
        <f t="shared" si="25"/>
        <v>150.37</v>
      </c>
      <c r="BN18" s="2795">
        <f t="shared" si="26"/>
        <v>0</v>
      </c>
      <c r="BO18" s="2795">
        <f t="shared" si="27"/>
        <v>0</v>
      </c>
      <c r="BP18" s="2795">
        <f t="shared" si="28"/>
        <v>0</v>
      </c>
      <c r="BQ18" s="2795">
        <f t="shared" si="29"/>
        <v>0</v>
      </c>
      <c r="BR18" s="2795">
        <f t="shared" si="30"/>
        <v>0</v>
      </c>
      <c r="BS18" s="2795">
        <f t="shared" si="31"/>
        <v>0</v>
      </c>
      <c r="BT18" s="2869">
        <f t="shared" si="32"/>
        <v>0</v>
      </c>
    </row>
    <row r="19" spans="1:72">
      <c r="A19" s="2792"/>
      <c r="B19" s="2799"/>
      <c r="C19" s="2800" t="s">
        <v>489</v>
      </c>
      <c r="D19" s="2788" t="s">
        <v>484</v>
      </c>
      <c r="E19" s="2795">
        <f t="shared" si="6"/>
        <v>11.03</v>
      </c>
      <c r="F19" s="2796"/>
      <c r="G19" s="2797">
        <f t="shared" si="7"/>
        <v>30.21</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30.21</v>
      </c>
      <c r="AD19" s="2870"/>
      <c r="AE19" s="2870"/>
      <c r="AF19" s="2803"/>
      <c r="AG19" s="2870"/>
      <c r="AH19" s="2870"/>
      <c r="AI19" s="2870"/>
      <c r="AJ19" s="2870"/>
      <c r="AK19" s="2870"/>
      <c r="AL19" s="2870">
        <v>30.21</v>
      </c>
      <c r="AM19" s="2827"/>
      <c r="AN19" s="2800"/>
      <c r="AO19" s="2827"/>
      <c r="AP19" s="2827"/>
      <c r="AQ19" s="2827"/>
      <c r="AR19" s="2827"/>
      <c r="AS19" s="2827"/>
      <c r="AT19" s="2847"/>
      <c r="AU19" s="2848"/>
      <c r="AV19" s="447">
        <f t="shared" si="10"/>
        <v>0</v>
      </c>
      <c r="AW19" s="447">
        <f t="shared" si="10"/>
        <v>0</v>
      </c>
      <c r="AX19" s="447" t="str">
        <f t="shared" si="10"/>
        <v>消控室</v>
      </c>
      <c r="AY19" s="2864">
        <f t="shared" si="11"/>
        <v>11.03</v>
      </c>
      <c r="AZ19" s="2795">
        <f t="shared" si="12"/>
        <v>30.21</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30.21</v>
      </c>
      <c r="BM19" s="2795">
        <f t="shared" si="25"/>
        <v>0</v>
      </c>
      <c r="BN19" s="2795">
        <f t="shared" si="26"/>
        <v>0</v>
      </c>
      <c r="BO19" s="2795">
        <f t="shared" si="27"/>
        <v>0</v>
      </c>
      <c r="BP19" s="2795">
        <f t="shared" si="28"/>
        <v>0</v>
      </c>
      <c r="BQ19" s="2795">
        <f t="shared" si="29"/>
        <v>30.21</v>
      </c>
      <c r="BR19" s="2795">
        <f t="shared" si="30"/>
        <v>0</v>
      </c>
      <c r="BS19" s="2795">
        <f t="shared" si="31"/>
        <v>0</v>
      </c>
      <c r="BT19" s="2869">
        <f t="shared" si="32"/>
        <v>0</v>
      </c>
    </row>
    <row r="20" spans="1:72">
      <c r="A20" s="2792"/>
      <c r="B20" s="2799"/>
      <c r="C20" s="2800" t="s">
        <v>490</v>
      </c>
      <c r="D20" s="2788" t="s">
        <v>484</v>
      </c>
      <c r="E20" s="2795">
        <f t="shared" si="6"/>
        <v>22.99</v>
      </c>
      <c r="F20" s="2796"/>
      <c r="G20" s="2797">
        <f t="shared" si="7"/>
        <v>62.98</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62.98</v>
      </c>
      <c r="AD20" s="2870"/>
      <c r="AE20" s="2870"/>
      <c r="AF20" s="2803"/>
      <c r="AG20" s="2870"/>
      <c r="AH20" s="2870"/>
      <c r="AI20" s="2870"/>
      <c r="AJ20" s="2870"/>
      <c r="AK20" s="2870"/>
      <c r="AL20" s="2870">
        <v>62.98</v>
      </c>
      <c r="AM20" s="2827"/>
      <c r="AN20" s="2800"/>
      <c r="AO20" s="2827"/>
      <c r="AP20" s="2827"/>
      <c r="AQ20" s="2827"/>
      <c r="AR20" s="2827"/>
      <c r="AS20" s="2827"/>
      <c r="AT20" s="2847"/>
      <c r="AU20" s="2848"/>
      <c r="AV20" s="447">
        <f t="shared" si="10"/>
        <v>0</v>
      </c>
      <c r="AW20" s="447">
        <f t="shared" si="10"/>
        <v>0</v>
      </c>
      <c r="AX20" s="447" t="str">
        <f t="shared" si="10"/>
        <v>发电机房</v>
      </c>
      <c r="AY20" s="2864">
        <f t="shared" si="11"/>
        <v>22.99</v>
      </c>
      <c r="AZ20" s="2795">
        <f t="shared" si="12"/>
        <v>62.98</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62.98</v>
      </c>
      <c r="BM20" s="2795">
        <f t="shared" si="25"/>
        <v>0</v>
      </c>
      <c r="BN20" s="2795">
        <f t="shared" si="26"/>
        <v>0</v>
      </c>
      <c r="BO20" s="2795">
        <f t="shared" si="27"/>
        <v>0</v>
      </c>
      <c r="BP20" s="2795">
        <f t="shared" si="28"/>
        <v>0</v>
      </c>
      <c r="BQ20" s="2795">
        <f t="shared" si="29"/>
        <v>62.98</v>
      </c>
      <c r="BR20" s="2795">
        <f t="shared" si="30"/>
        <v>0</v>
      </c>
      <c r="BS20" s="2795">
        <f t="shared" si="31"/>
        <v>0</v>
      </c>
      <c r="BT20" s="2869">
        <f t="shared" si="32"/>
        <v>0</v>
      </c>
    </row>
    <row r="21" spans="1:72">
      <c r="A21" s="2792"/>
      <c r="B21" s="2801"/>
      <c r="C21" s="2800" t="s">
        <v>491</v>
      </c>
      <c r="D21" s="2788" t="s">
        <v>484</v>
      </c>
      <c r="E21" s="2795">
        <f t="shared" ref="E21:E112" si="33">IF($C$3="是",ROUND($A$3*G21/$B$3,2),ROUND($A$3*(G21-AT21)/$B$3,2))</f>
        <v>237.47</v>
      </c>
      <c r="F21" s="2796"/>
      <c r="G21" s="2797">
        <f t="shared" ref="G21:G109" si="34">H21+AC21+AT21</f>
        <v>650.41</v>
      </c>
      <c r="H21" s="2798">
        <f t="shared" ref="H21:H109" si="35">SUMIF(I$12:AB$12,"总值",I21:AB21)</f>
        <v>0</v>
      </c>
      <c r="I21" s="2803"/>
      <c r="J21" s="2816"/>
      <c r="K21" s="2803"/>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650.41</v>
      </c>
      <c r="AD21" s="2870"/>
      <c r="AE21" s="2870"/>
      <c r="AF21" s="2828"/>
      <c r="AG21" s="2870"/>
      <c r="AH21" s="2870"/>
      <c r="AI21" s="2870"/>
      <c r="AJ21" s="2870"/>
      <c r="AK21" s="2870"/>
      <c r="AL21" s="2870">
        <v>650.41</v>
      </c>
      <c r="AM21" s="2827"/>
      <c r="AN21" s="2817"/>
      <c r="AO21" s="2827"/>
      <c r="AP21" s="2827"/>
      <c r="AQ21" s="2827"/>
      <c r="AR21" s="2827"/>
      <c r="AS21" s="2827"/>
      <c r="AT21" s="2847"/>
      <c r="AU21" s="2848"/>
      <c r="AV21" s="447">
        <f t="shared" ref="AV21:AV112" si="37">A21</f>
        <v>0</v>
      </c>
      <c r="AW21" s="447">
        <f t="shared" ref="AW21:AW112" si="38">B21</f>
        <v>0</v>
      </c>
      <c r="AX21" s="447" t="str">
        <f t="shared" ref="AX21:AX112" si="39">C21</f>
        <v>配电室</v>
      </c>
      <c r="AY21" s="2864">
        <f t="shared" ref="AY21:AY109" si="40">ROUND($AY$6*AZ21/$AZ$5,2)</f>
        <v>237.47</v>
      </c>
      <c r="AZ21" s="2795">
        <f t="shared" ref="AZ21:AZ109" si="41">BA21+BL21</f>
        <v>650.41</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650.41</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650.41</v>
      </c>
      <c r="BR21" s="2795">
        <f t="shared" ref="BR21:BR109" si="59">IF($D21="是",AN21-AO21,0)</f>
        <v>0</v>
      </c>
      <c r="BS21" s="2795">
        <f t="shared" ref="BS21:BS109" si="60">IF($D21="是",AP21-AQ21,0)</f>
        <v>0</v>
      </c>
      <c r="BT21" s="2869">
        <f t="shared" ref="BT21:BT109" si="61">IF($D21="是",AR21-AS21,0)</f>
        <v>0</v>
      </c>
    </row>
    <row r="22" spans="1:72" ht="28.5">
      <c r="A22" s="2792"/>
      <c r="B22" s="2801"/>
      <c r="C22" s="2800" t="s">
        <v>492</v>
      </c>
      <c r="D22" s="2788" t="s">
        <v>484</v>
      </c>
      <c r="E22" s="2795">
        <f t="shared" si="33"/>
        <v>29.49</v>
      </c>
      <c r="F22" s="2796"/>
      <c r="G22" s="2797">
        <f t="shared" si="34"/>
        <v>80.77</v>
      </c>
      <c r="H22" s="2798">
        <f t="shared" si="35"/>
        <v>0</v>
      </c>
      <c r="I22" s="2803"/>
      <c r="J22" s="2816"/>
      <c r="K22" s="2803"/>
      <c r="L22" s="2816"/>
      <c r="M22" s="2817"/>
      <c r="N22" s="2816"/>
      <c r="O22" s="2816"/>
      <c r="P22" s="2816"/>
      <c r="Q22" s="2816"/>
      <c r="R22" s="2816"/>
      <c r="S22" s="2816"/>
      <c r="T22" s="2816"/>
      <c r="U22" s="2816"/>
      <c r="V22" s="2816"/>
      <c r="W22" s="2816"/>
      <c r="X22" s="2816"/>
      <c r="Y22" s="2816"/>
      <c r="Z22" s="2816"/>
      <c r="AA22" s="2816"/>
      <c r="AB22" s="2816"/>
      <c r="AC22" s="2795">
        <f t="shared" si="36"/>
        <v>80.77</v>
      </c>
      <c r="AD22" s="3168"/>
      <c r="AE22" s="2870"/>
      <c r="AF22" s="2828"/>
      <c r="AG22" s="2870"/>
      <c r="AH22" s="2870"/>
      <c r="AI22" s="2870"/>
      <c r="AJ22" s="2870"/>
      <c r="AK22" s="2870"/>
      <c r="AL22" s="3168">
        <v>80.77</v>
      </c>
      <c r="AM22" s="2827"/>
      <c r="AN22" s="2817"/>
      <c r="AO22" s="2827"/>
      <c r="AP22" s="2827"/>
      <c r="AQ22" s="2827"/>
      <c r="AR22" s="2827"/>
      <c r="AS22" s="2827"/>
      <c r="AT22" s="2847"/>
      <c r="AU22" s="2848"/>
      <c r="AV22" s="447">
        <f t="shared" si="37"/>
        <v>0</v>
      </c>
      <c r="AW22" s="447">
        <f t="shared" si="38"/>
        <v>0</v>
      </c>
      <c r="AX22" s="447" t="str">
        <f t="shared" si="39"/>
        <v>垃圾收集点</v>
      </c>
      <c r="AY22" s="2864">
        <f t="shared" si="40"/>
        <v>29.49</v>
      </c>
      <c r="AZ22" s="2795">
        <f t="shared" si="41"/>
        <v>80.77</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80.77</v>
      </c>
      <c r="BM22" s="2795">
        <f t="shared" si="54"/>
        <v>0</v>
      </c>
      <c r="BN22" s="2795">
        <f t="shared" si="55"/>
        <v>0</v>
      </c>
      <c r="BO22" s="2795">
        <f t="shared" si="56"/>
        <v>0</v>
      </c>
      <c r="BP22" s="2795">
        <f t="shared" si="57"/>
        <v>0</v>
      </c>
      <c r="BQ22" s="2795">
        <f t="shared" si="58"/>
        <v>80.77</v>
      </c>
      <c r="BR22" s="2795">
        <f t="shared" si="59"/>
        <v>0</v>
      </c>
      <c r="BS22" s="2795">
        <f t="shared" si="60"/>
        <v>0</v>
      </c>
      <c r="BT22" s="2869">
        <f t="shared" si="61"/>
        <v>0</v>
      </c>
    </row>
    <row r="23" spans="1:72">
      <c r="A23" s="2792"/>
      <c r="B23" s="2801"/>
      <c r="C23" s="2800" t="s">
        <v>493</v>
      </c>
      <c r="D23" s="2788" t="s">
        <v>484</v>
      </c>
      <c r="E23" s="2795">
        <f t="shared" si="33"/>
        <v>24.85</v>
      </c>
      <c r="F23" s="2796"/>
      <c r="G23" s="2797">
        <f t="shared" si="34"/>
        <v>68.06</v>
      </c>
      <c r="H23" s="2798">
        <f t="shared" si="35"/>
        <v>0</v>
      </c>
      <c r="I23" s="2803"/>
      <c r="J23" s="2816"/>
      <c r="K23" s="2803"/>
      <c r="L23" s="2816"/>
      <c r="M23" s="2817"/>
      <c r="N23" s="2816"/>
      <c r="O23" s="2816"/>
      <c r="P23" s="2816"/>
      <c r="Q23" s="2816"/>
      <c r="R23" s="2816"/>
      <c r="S23" s="2816"/>
      <c r="T23" s="2816"/>
      <c r="U23" s="2816"/>
      <c r="V23" s="2816"/>
      <c r="W23" s="2816"/>
      <c r="X23" s="2816"/>
      <c r="Y23" s="2816"/>
      <c r="Z23" s="2816"/>
      <c r="AA23" s="2816"/>
      <c r="AB23" s="2816"/>
      <c r="AC23" s="2795">
        <f t="shared" si="36"/>
        <v>68.06</v>
      </c>
      <c r="AD23" s="2870"/>
      <c r="AE23" s="2870"/>
      <c r="AF23" s="2828"/>
      <c r="AG23" s="2870"/>
      <c r="AH23" s="2870"/>
      <c r="AI23" s="2870"/>
      <c r="AJ23" s="2870"/>
      <c r="AK23" s="2870"/>
      <c r="AL23" s="2870">
        <v>68.06</v>
      </c>
      <c r="AM23" s="2827"/>
      <c r="AN23" s="2817"/>
      <c r="AO23" s="2827"/>
      <c r="AP23" s="2827"/>
      <c r="AQ23" s="2827"/>
      <c r="AR23" s="2827"/>
      <c r="AS23" s="2827"/>
      <c r="AT23" s="2847"/>
      <c r="AU23" s="2848"/>
      <c r="AV23" s="447">
        <f t="shared" si="37"/>
        <v>0</v>
      </c>
      <c r="AW23" s="447">
        <f t="shared" si="38"/>
        <v>0</v>
      </c>
      <c r="AX23" s="447" t="str">
        <f t="shared" si="39"/>
        <v>公厕</v>
      </c>
      <c r="AY23" s="2864">
        <f t="shared" si="40"/>
        <v>24.85</v>
      </c>
      <c r="AZ23" s="2795">
        <f t="shared" si="41"/>
        <v>68.06</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68.06</v>
      </c>
      <c r="BM23" s="2795">
        <f t="shared" si="54"/>
        <v>0</v>
      </c>
      <c r="BN23" s="2795">
        <f t="shared" si="55"/>
        <v>0</v>
      </c>
      <c r="BO23" s="2795">
        <f t="shared" si="56"/>
        <v>0</v>
      </c>
      <c r="BP23" s="2795">
        <f t="shared" si="57"/>
        <v>0</v>
      </c>
      <c r="BQ23" s="2795">
        <f t="shared" si="58"/>
        <v>68.06</v>
      </c>
      <c r="BR23" s="2795">
        <f t="shared" si="59"/>
        <v>0</v>
      </c>
      <c r="BS23" s="2795">
        <f t="shared" si="60"/>
        <v>0</v>
      </c>
      <c r="BT23" s="2869">
        <f t="shared" si="61"/>
        <v>0</v>
      </c>
    </row>
    <row r="24" spans="1:72" ht="28.5">
      <c r="A24" s="2792"/>
      <c r="B24" s="2801"/>
      <c r="C24" s="2800" t="s">
        <v>494</v>
      </c>
      <c r="D24" s="2788" t="s">
        <v>484</v>
      </c>
      <c r="E24" s="2795">
        <f t="shared" si="33"/>
        <v>111.08</v>
      </c>
      <c r="F24" s="2796"/>
      <c r="G24" s="2797">
        <f t="shared" si="34"/>
        <v>304.23</v>
      </c>
      <c r="H24" s="2798">
        <f t="shared" si="35"/>
        <v>0</v>
      </c>
      <c r="I24" s="2803"/>
      <c r="J24" s="2816"/>
      <c r="K24" s="2803"/>
      <c r="L24" s="2816"/>
      <c r="M24" s="2816"/>
      <c r="N24" s="2816"/>
      <c r="O24" s="2817"/>
      <c r="P24" s="2816"/>
      <c r="Q24" s="2816"/>
      <c r="R24" s="2816"/>
      <c r="S24" s="2816"/>
      <c r="T24" s="2816"/>
      <c r="U24" s="2816"/>
      <c r="V24" s="2816"/>
      <c r="W24" s="2816"/>
      <c r="X24" s="2816"/>
      <c r="Y24" s="2816"/>
      <c r="Z24" s="2816"/>
      <c r="AA24" s="2816"/>
      <c r="AB24" s="2816"/>
      <c r="AC24" s="2795">
        <f t="shared" si="36"/>
        <v>304.23</v>
      </c>
      <c r="AD24" s="2870">
        <v>304.23</v>
      </c>
      <c r="AE24" s="2870"/>
      <c r="AF24" s="2828"/>
      <c r="AG24" s="2870"/>
      <c r="AH24" s="2870"/>
      <c r="AI24" s="2870"/>
      <c r="AJ24" s="2870"/>
      <c r="AK24" s="2870"/>
      <c r="AL24" s="2870"/>
      <c r="AM24" s="2827"/>
      <c r="AN24" s="2817"/>
      <c r="AO24" s="2827"/>
      <c r="AP24" s="2827"/>
      <c r="AQ24" s="2827"/>
      <c r="AR24" s="2827"/>
      <c r="AS24" s="2827"/>
      <c r="AT24" s="2847"/>
      <c r="AU24" s="2848"/>
      <c r="AV24" s="447">
        <f t="shared" si="37"/>
        <v>0</v>
      </c>
      <c r="AW24" s="447">
        <f t="shared" si="38"/>
        <v>0</v>
      </c>
      <c r="AX24" s="447" t="str">
        <f t="shared" si="39"/>
        <v>社区文化活动中心</v>
      </c>
      <c r="AY24" s="2864">
        <f t="shared" si="40"/>
        <v>111.08</v>
      </c>
      <c r="AZ24" s="2795">
        <f t="shared" si="41"/>
        <v>304.23</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304.23</v>
      </c>
      <c r="BM24" s="2795">
        <f t="shared" si="54"/>
        <v>304.23</v>
      </c>
      <c r="BN24" s="2795">
        <f t="shared" si="55"/>
        <v>0</v>
      </c>
      <c r="BO24" s="2795">
        <f t="shared" si="56"/>
        <v>0</v>
      </c>
      <c r="BP24" s="2795">
        <f t="shared" si="57"/>
        <v>0</v>
      </c>
      <c r="BQ24" s="2795">
        <f t="shared" si="58"/>
        <v>0</v>
      </c>
      <c r="BR24" s="2795">
        <f t="shared" si="59"/>
        <v>0</v>
      </c>
      <c r="BS24" s="2795">
        <f t="shared" si="60"/>
        <v>0</v>
      </c>
      <c r="BT24" s="2869">
        <f t="shared" si="61"/>
        <v>0</v>
      </c>
    </row>
    <row r="25" spans="1:72">
      <c r="A25" s="2792"/>
      <c r="B25" s="2801"/>
      <c r="C25" s="2800" t="s">
        <v>495</v>
      </c>
      <c r="D25" s="2788" t="s">
        <v>484</v>
      </c>
      <c r="E25" s="2795">
        <f t="shared" si="33"/>
        <v>23.07</v>
      </c>
      <c r="F25" s="2796"/>
      <c r="G25" s="2797">
        <f t="shared" si="34"/>
        <v>63.2</v>
      </c>
      <c r="H25" s="2798">
        <f t="shared" si="35"/>
        <v>0</v>
      </c>
      <c r="I25" s="2803"/>
      <c r="J25" s="2816"/>
      <c r="K25" s="2803"/>
      <c r="L25" s="2816"/>
      <c r="M25" s="2816"/>
      <c r="N25" s="2816"/>
      <c r="O25" s="2816"/>
      <c r="P25" s="2816"/>
      <c r="Q25" s="2816"/>
      <c r="R25" s="2816"/>
      <c r="S25" s="2816"/>
      <c r="T25" s="2816"/>
      <c r="U25" s="2816"/>
      <c r="V25" s="2816"/>
      <c r="W25" s="2816"/>
      <c r="X25" s="2816"/>
      <c r="Y25" s="2816"/>
      <c r="Z25" s="2816"/>
      <c r="AA25" s="2816"/>
      <c r="AB25" s="2816"/>
      <c r="AC25" s="2795">
        <f t="shared" si="36"/>
        <v>63.2</v>
      </c>
      <c r="AD25" s="2870"/>
      <c r="AE25" s="2870"/>
      <c r="AF25" s="2828"/>
      <c r="AG25" s="2870"/>
      <c r="AH25" s="2870"/>
      <c r="AI25" s="2870"/>
      <c r="AJ25" s="2870"/>
      <c r="AK25" s="2870"/>
      <c r="AL25" s="2870">
        <v>63.2</v>
      </c>
      <c r="AM25" s="2827"/>
      <c r="AN25" s="2827"/>
      <c r="AO25" s="2827"/>
      <c r="AP25" s="2827"/>
      <c r="AQ25" s="2827"/>
      <c r="AR25" s="2827"/>
      <c r="AS25" s="2827"/>
      <c r="AT25" s="2847"/>
      <c r="AU25" s="2848"/>
      <c r="AV25" s="447">
        <f t="shared" si="37"/>
        <v>0</v>
      </c>
      <c r="AW25" s="447">
        <f t="shared" si="38"/>
        <v>0</v>
      </c>
      <c r="AX25" s="447" t="str">
        <f t="shared" si="39"/>
        <v>走道</v>
      </c>
      <c r="AY25" s="2864">
        <f t="shared" si="40"/>
        <v>23.07</v>
      </c>
      <c r="AZ25" s="2795">
        <f t="shared" si="41"/>
        <v>63.2</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63.2</v>
      </c>
      <c r="BM25" s="2795">
        <f t="shared" si="54"/>
        <v>0</v>
      </c>
      <c r="BN25" s="2795">
        <f t="shared" si="55"/>
        <v>0</v>
      </c>
      <c r="BO25" s="2795">
        <f t="shared" si="56"/>
        <v>0</v>
      </c>
      <c r="BP25" s="2795">
        <f t="shared" si="57"/>
        <v>0</v>
      </c>
      <c r="BQ25" s="2795">
        <f t="shared" si="58"/>
        <v>63.2</v>
      </c>
      <c r="BR25" s="2795">
        <f t="shared" si="59"/>
        <v>0</v>
      </c>
      <c r="BS25" s="2795">
        <f t="shared" si="60"/>
        <v>0</v>
      </c>
      <c r="BT25" s="2869">
        <f t="shared" si="61"/>
        <v>0</v>
      </c>
    </row>
    <row r="26" spans="1:72" ht="28.5">
      <c r="A26" s="2792"/>
      <c r="B26" s="2801"/>
      <c r="C26" s="2800" t="s">
        <v>496</v>
      </c>
      <c r="D26" s="2788" t="s">
        <v>484</v>
      </c>
      <c r="E26" s="2795">
        <f t="shared" si="33"/>
        <v>220.12</v>
      </c>
      <c r="F26" s="2796"/>
      <c r="G26" s="2797">
        <f t="shared" si="34"/>
        <v>602.89</v>
      </c>
      <c r="H26" s="2798">
        <f t="shared" si="35"/>
        <v>0</v>
      </c>
      <c r="I26" s="2803"/>
      <c r="J26" s="2816"/>
      <c r="K26" s="2803"/>
      <c r="L26" s="2816"/>
      <c r="M26" s="2816"/>
      <c r="N26" s="2816"/>
      <c r="O26" s="2816"/>
      <c r="P26" s="2816"/>
      <c r="Q26" s="2816"/>
      <c r="R26" s="2816"/>
      <c r="S26" s="2816"/>
      <c r="T26" s="2816"/>
      <c r="U26" s="2816"/>
      <c r="V26" s="2816"/>
      <c r="W26" s="2816"/>
      <c r="X26" s="2816"/>
      <c r="Y26" s="2816"/>
      <c r="Z26" s="2816"/>
      <c r="AA26" s="2816"/>
      <c r="AB26" s="2816"/>
      <c r="AC26" s="2795">
        <f t="shared" si="36"/>
        <v>602.89</v>
      </c>
      <c r="AD26" s="2870">
        <v>602.89</v>
      </c>
      <c r="AE26" s="2870"/>
      <c r="AF26" s="2828"/>
      <c r="AG26" s="2870"/>
      <c r="AH26" s="2870"/>
      <c r="AI26" s="2870"/>
      <c r="AJ26" s="2870"/>
      <c r="AK26" s="2870"/>
      <c r="AL26" s="2870"/>
      <c r="AM26" s="2827"/>
      <c r="AN26" s="2827"/>
      <c r="AO26" s="2827"/>
      <c r="AP26" s="2827"/>
      <c r="AQ26" s="2827"/>
      <c r="AR26" s="2827"/>
      <c r="AS26" s="2827"/>
      <c r="AT26" s="2847"/>
      <c r="AU26" s="2848"/>
      <c r="AV26" s="447">
        <f t="shared" si="37"/>
        <v>0</v>
      </c>
      <c r="AW26" s="447">
        <f t="shared" si="38"/>
        <v>0</v>
      </c>
      <c r="AX26" s="447" t="str">
        <f t="shared" si="39"/>
        <v>社区服务站</v>
      </c>
      <c r="AY26" s="2864">
        <f t="shared" si="40"/>
        <v>220.12</v>
      </c>
      <c r="AZ26" s="2795">
        <f t="shared" si="41"/>
        <v>602.89</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602.89</v>
      </c>
      <c r="BM26" s="2795">
        <f t="shared" si="54"/>
        <v>602.89</v>
      </c>
      <c r="BN26" s="2795">
        <f t="shared" si="55"/>
        <v>0</v>
      </c>
      <c r="BO26" s="2795">
        <f t="shared" si="56"/>
        <v>0</v>
      </c>
      <c r="BP26" s="2795">
        <f t="shared" si="57"/>
        <v>0</v>
      </c>
      <c r="BQ26" s="2795">
        <f t="shared" si="58"/>
        <v>0</v>
      </c>
      <c r="BR26" s="2795">
        <f t="shared" si="59"/>
        <v>0</v>
      </c>
      <c r="BS26" s="2795">
        <f t="shared" si="60"/>
        <v>0</v>
      </c>
      <c r="BT26" s="2869">
        <f t="shared" si="61"/>
        <v>0</v>
      </c>
    </row>
    <row r="27" spans="1:72">
      <c r="A27" s="2792"/>
      <c r="B27" s="2801"/>
      <c r="C27" s="2800" t="s">
        <v>497</v>
      </c>
      <c r="D27" s="2788" t="s">
        <v>484</v>
      </c>
      <c r="E27" s="2795">
        <f t="shared" si="33"/>
        <v>5.7</v>
      </c>
      <c r="F27" s="2796"/>
      <c r="G27" s="2797">
        <f t="shared" si="34"/>
        <v>15.6</v>
      </c>
      <c r="H27" s="2798">
        <f t="shared" si="35"/>
        <v>0</v>
      </c>
      <c r="I27" s="2803"/>
      <c r="J27" s="2816"/>
      <c r="K27" s="2803"/>
      <c r="L27" s="2816"/>
      <c r="M27" s="2816"/>
      <c r="N27" s="2816"/>
      <c r="O27" s="2816"/>
      <c r="P27" s="2816"/>
      <c r="Q27" s="2816"/>
      <c r="R27" s="2816"/>
      <c r="S27" s="2816"/>
      <c r="T27" s="2816"/>
      <c r="U27" s="2816"/>
      <c r="V27" s="2816"/>
      <c r="W27" s="2816"/>
      <c r="X27" s="2816"/>
      <c r="Y27" s="2816"/>
      <c r="Z27" s="2816"/>
      <c r="AA27" s="2816"/>
      <c r="AB27" s="2816"/>
      <c r="AC27" s="2795">
        <f t="shared" si="36"/>
        <v>15.6</v>
      </c>
      <c r="AD27" s="2870"/>
      <c r="AE27" s="2870"/>
      <c r="AF27" s="2828"/>
      <c r="AG27" s="2870"/>
      <c r="AH27" s="2870"/>
      <c r="AI27" s="2870"/>
      <c r="AJ27" s="2870"/>
      <c r="AK27" s="2870"/>
      <c r="AL27" s="2870">
        <v>15.6</v>
      </c>
      <c r="AM27" s="2827"/>
      <c r="AN27" s="2827"/>
      <c r="AO27" s="2827"/>
      <c r="AP27" s="2827"/>
      <c r="AQ27" s="2827"/>
      <c r="AR27" s="2827"/>
      <c r="AS27" s="2827"/>
      <c r="AT27" s="2847"/>
      <c r="AU27" s="2848"/>
      <c r="AV27" s="447">
        <f t="shared" si="37"/>
        <v>0</v>
      </c>
      <c r="AW27" s="447">
        <f t="shared" si="38"/>
        <v>0</v>
      </c>
      <c r="AX27" s="447" t="str">
        <f t="shared" si="39"/>
        <v>门卫</v>
      </c>
      <c r="AY27" s="2864">
        <f t="shared" si="40"/>
        <v>5.7</v>
      </c>
      <c r="AZ27" s="2795">
        <f t="shared" si="41"/>
        <v>15.6</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15.6</v>
      </c>
      <c r="BM27" s="2795">
        <f t="shared" si="54"/>
        <v>0</v>
      </c>
      <c r="BN27" s="2795">
        <f t="shared" si="55"/>
        <v>0</v>
      </c>
      <c r="BO27" s="2795">
        <f t="shared" si="56"/>
        <v>0</v>
      </c>
      <c r="BP27" s="2795">
        <f t="shared" si="57"/>
        <v>0</v>
      </c>
      <c r="BQ27" s="2795">
        <f t="shared" si="58"/>
        <v>15.6</v>
      </c>
      <c r="BR27" s="2795">
        <f t="shared" si="59"/>
        <v>0</v>
      </c>
      <c r="BS27" s="2795">
        <f t="shared" si="60"/>
        <v>0</v>
      </c>
      <c r="BT27" s="2869">
        <f t="shared" si="61"/>
        <v>0</v>
      </c>
    </row>
    <row r="28" spans="1:72">
      <c r="A28" s="2792"/>
      <c r="B28" s="2801"/>
      <c r="C28" s="2800" t="s">
        <v>498</v>
      </c>
      <c r="D28" s="2788" t="s">
        <v>484</v>
      </c>
      <c r="E28" s="2795">
        <f t="shared" si="33"/>
        <v>2523.25</v>
      </c>
      <c r="F28" s="2796"/>
      <c r="G28" s="2797">
        <f t="shared" si="34"/>
        <v>6911.06</v>
      </c>
      <c r="H28" s="2798">
        <f t="shared" si="35"/>
        <v>6911.06</v>
      </c>
      <c r="I28" s="2803"/>
      <c r="J28" s="2816"/>
      <c r="K28" s="2803"/>
      <c r="L28" s="2816"/>
      <c r="M28" s="3172">
        <v>6911.06</v>
      </c>
      <c r="N28" s="2816"/>
      <c r="O28" s="2816"/>
      <c r="P28" s="2816"/>
      <c r="Q28" s="2816"/>
      <c r="R28" s="2816"/>
      <c r="S28" s="2816"/>
      <c r="T28" s="2816"/>
      <c r="U28" s="2816"/>
      <c r="V28" s="2816"/>
      <c r="W28" s="2816"/>
      <c r="X28" s="2816"/>
      <c r="Y28" s="2816"/>
      <c r="Z28" s="2816"/>
      <c r="AA28" s="2816"/>
      <c r="AB28" s="2816"/>
      <c r="AC28" s="2795">
        <f t="shared" si="36"/>
        <v>0</v>
      </c>
      <c r="AD28" s="2870"/>
      <c r="AE28" s="2870"/>
      <c r="AF28" s="2803"/>
      <c r="AG28" s="2870"/>
      <c r="AH28" s="2870"/>
      <c r="AI28" s="2870"/>
      <c r="AJ28" s="2870"/>
      <c r="AK28" s="2870"/>
      <c r="AL28" s="2870"/>
      <c r="AM28" s="2827"/>
      <c r="AN28" s="2827"/>
      <c r="AO28" s="2827"/>
      <c r="AP28" s="2827"/>
      <c r="AQ28" s="2827"/>
      <c r="AR28" s="2827"/>
      <c r="AS28" s="2827"/>
      <c r="AT28" s="2847"/>
      <c r="AU28" s="2848"/>
      <c r="AV28" s="447">
        <f t="shared" si="37"/>
        <v>0</v>
      </c>
      <c r="AW28" s="447">
        <f t="shared" si="38"/>
        <v>0</v>
      </c>
      <c r="AX28" s="447" t="str">
        <f t="shared" si="39"/>
        <v>地下停车</v>
      </c>
      <c r="AY28" s="2864">
        <f t="shared" si="40"/>
        <v>2523.25</v>
      </c>
      <c r="AZ28" s="2795">
        <f t="shared" si="41"/>
        <v>6911.06</v>
      </c>
      <c r="BA28" s="2795">
        <f t="shared" si="42"/>
        <v>6911.06</v>
      </c>
      <c r="BB28" s="2795">
        <f t="shared" si="43"/>
        <v>0</v>
      </c>
      <c r="BC28" s="2795">
        <f t="shared" si="44"/>
        <v>0</v>
      </c>
      <c r="BD28" s="2795">
        <f t="shared" si="45"/>
        <v>6911.06</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ht="28.5">
      <c r="A29" s="2792"/>
      <c r="B29" s="2802"/>
      <c r="C29" s="2803" t="s">
        <v>499</v>
      </c>
      <c r="D29" s="2788" t="s">
        <v>484</v>
      </c>
      <c r="E29" s="2795">
        <f t="shared" si="33"/>
        <v>630.54</v>
      </c>
      <c r="F29" s="2796"/>
      <c r="G29" s="2797">
        <f t="shared" si="34"/>
        <v>1727.02</v>
      </c>
      <c r="H29" s="2798">
        <f t="shared" si="35"/>
        <v>0</v>
      </c>
      <c r="I29" s="2803"/>
      <c r="J29" s="2816"/>
      <c r="K29" s="2803"/>
      <c r="L29" s="2816"/>
      <c r="M29" s="2816"/>
      <c r="N29" s="2816"/>
      <c r="O29" s="2816"/>
      <c r="P29" s="2816"/>
      <c r="Q29" s="2816"/>
      <c r="R29" s="2816"/>
      <c r="S29" s="2816"/>
      <c r="T29" s="2816"/>
      <c r="U29" s="2816"/>
      <c r="V29" s="2816"/>
      <c r="W29" s="2816"/>
      <c r="X29" s="2816"/>
      <c r="Y29" s="2816"/>
      <c r="Z29" s="2816"/>
      <c r="AA29" s="2816"/>
      <c r="AB29" s="2816"/>
      <c r="AC29" s="2795">
        <f t="shared" si="36"/>
        <v>1727.02</v>
      </c>
      <c r="AD29" s="2870"/>
      <c r="AE29" s="2870"/>
      <c r="AF29" s="2803"/>
      <c r="AG29" s="2870"/>
      <c r="AH29" s="2870"/>
      <c r="AI29" s="2870"/>
      <c r="AJ29" s="2870"/>
      <c r="AK29" s="2870"/>
      <c r="AL29" s="2870"/>
      <c r="AM29" s="2827"/>
      <c r="AN29" s="2827">
        <v>1727.02</v>
      </c>
      <c r="AO29" s="2827"/>
      <c r="AP29" s="2827"/>
      <c r="AQ29" s="2827"/>
      <c r="AR29" s="2827"/>
      <c r="AS29" s="2827"/>
      <c r="AT29" s="2847"/>
      <c r="AU29" s="2848"/>
      <c r="AV29" s="447">
        <f t="shared" si="37"/>
        <v>0</v>
      </c>
      <c r="AW29" s="447">
        <f t="shared" si="38"/>
        <v>0</v>
      </c>
      <c r="AX29" s="447" t="str">
        <f t="shared" si="39"/>
        <v>地下自行车</v>
      </c>
      <c r="AY29" s="2864">
        <f t="shared" si="40"/>
        <v>630.54</v>
      </c>
      <c r="AZ29" s="2795">
        <f t="shared" si="41"/>
        <v>1727.02</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1727.02</v>
      </c>
      <c r="BM29" s="2795">
        <f t="shared" si="54"/>
        <v>0</v>
      </c>
      <c r="BN29" s="2795">
        <f t="shared" si="55"/>
        <v>0</v>
      </c>
      <c r="BO29" s="2795">
        <f t="shared" si="56"/>
        <v>0</v>
      </c>
      <c r="BP29" s="2795">
        <f t="shared" si="57"/>
        <v>0</v>
      </c>
      <c r="BQ29" s="2795">
        <f t="shared" si="58"/>
        <v>0</v>
      </c>
      <c r="BR29" s="2795">
        <f t="shared" si="59"/>
        <v>1727.02</v>
      </c>
      <c r="BS29" s="2795">
        <f t="shared" si="60"/>
        <v>0</v>
      </c>
      <c r="BT29" s="2869">
        <f t="shared" si="61"/>
        <v>0</v>
      </c>
    </row>
    <row r="30" spans="1:72" ht="28.5">
      <c r="A30" s="2792"/>
      <c r="B30" s="2801"/>
      <c r="C30" s="2800" t="s">
        <v>500</v>
      </c>
      <c r="D30" s="2788" t="s">
        <v>484</v>
      </c>
      <c r="E30" s="2795">
        <f t="shared" si="33"/>
        <v>164.63</v>
      </c>
      <c r="F30" s="2796"/>
      <c r="G30" s="2797">
        <f t="shared" si="34"/>
        <v>450.91</v>
      </c>
      <c r="H30" s="2798">
        <f t="shared" si="35"/>
        <v>0</v>
      </c>
      <c r="I30" s="2803"/>
      <c r="J30" s="2816"/>
      <c r="K30" s="2803"/>
      <c r="L30" s="2816"/>
      <c r="M30" s="2816"/>
      <c r="N30" s="2816"/>
      <c r="O30" s="2816"/>
      <c r="P30" s="2816"/>
      <c r="Q30" s="2816"/>
      <c r="R30" s="2816"/>
      <c r="S30" s="2816"/>
      <c r="T30" s="2816"/>
      <c r="U30" s="2816"/>
      <c r="V30" s="2816"/>
      <c r="W30" s="2816"/>
      <c r="X30" s="2816"/>
      <c r="Y30" s="2816"/>
      <c r="Z30" s="2816"/>
      <c r="AA30" s="2816"/>
      <c r="AB30" s="2816"/>
      <c r="AC30" s="2795">
        <f t="shared" si="36"/>
        <v>450.91</v>
      </c>
      <c r="AD30" s="2827"/>
      <c r="AE30" s="2827"/>
      <c r="AF30" s="2803"/>
      <c r="AG30" s="2827"/>
      <c r="AH30" s="2827"/>
      <c r="AI30" s="2827"/>
      <c r="AJ30" s="2827"/>
      <c r="AK30" s="2827"/>
      <c r="AL30" s="2827"/>
      <c r="AM30" s="2827"/>
      <c r="AN30" s="2827">
        <v>450.91</v>
      </c>
      <c r="AO30" s="2827"/>
      <c r="AP30" s="2827"/>
      <c r="AQ30" s="2827"/>
      <c r="AR30" s="2827"/>
      <c r="AS30" s="2827"/>
      <c r="AT30" s="2847"/>
      <c r="AU30" s="2848"/>
      <c r="AV30" s="447">
        <f t="shared" si="37"/>
        <v>0</v>
      </c>
      <c r="AW30" s="447">
        <f t="shared" si="38"/>
        <v>0</v>
      </c>
      <c r="AX30" s="447" t="str">
        <f t="shared" si="39"/>
        <v>水池及泵房</v>
      </c>
      <c r="AY30" s="2864">
        <f t="shared" si="40"/>
        <v>164.63</v>
      </c>
      <c r="AZ30" s="2795">
        <f t="shared" si="41"/>
        <v>450.91</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450.91</v>
      </c>
      <c r="BM30" s="2795">
        <f t="shared" si="54"/>
        <v>0</v>
      </c>
      <c r="BN30" s="2795">
        <f t="shared" si="55"/>
        <v>0</v>
      </c>
      <c r="BO30" s="2795">
        <f t="shared" si="56"/>
        <v>0</v>
      </c>
      <c r="BP30" s="2795">
        <f t="shared" si="57"/>
        <v>0</v>
      </c>
      <c r="BQ30" s="2795">
        <f t="shared" si="58"/>
        <v>0</v>
      </c>
      <c r="BR30" s="2795">
        <f t="shared" si="59"/>
        <v>450.91</v>
      </c>
      <c r="BS30" s="2795">
        <f t="shared" si="60"/>
        <v>0</v>
      </c>
      <c r="BT30" s="2869">
        <f t="shared" si="61"/>
        <v>0</v>
      </c>
    </row>
    <row r="31" spans="1:72" ht="28.5">
      <c r="A31" s="2792"/>
      <c r="B31" s="2801"/>
      <c r="C31" s="2800" t="s">
        <v>501</v>
      </c>
      <c r="D31" s="2788" t="s">
        <v>484</v>
      </c>
      <c r="E31" s="2795">
        <f t="shared" si="33"/>
        <v>20.99</v>
      </c>
      <c r="F31" s="2796"/>
      <c r="G31" s="2797">
        <f t="shared" si="34"/>
        <v>57.5</v>
      </c>
      <c r="H31" s="2798">
        <f t="shared" si="35"/>
        <v>0</v>
      </c>
      <c r="I31" s="2803"/>
      <c r="J31" s="2816"/>
      <c r="K31" s="2803"/>
      <c r="L31" s="2816"/>
      <c r="M31" s="2816"/>
      <c r="N31" s="2816"/>
      <c r="O31" s="2816"/>
      <c r="P31" s="2816"/>
      <c r="Q31" s="2816"/>
      <c r="R31" s="2816"/>
      <c r="S31" s="2816"/>
      <c r="T31" s="2816"/>
      <c r="U31" s="2816"/>
      <c r="V31" s="2816"/>
      <c r="W31" s="2816"/>
      <c r="X31" s="2816"/>
      <c r="Y31" s="2816"/>
      <c r="Z31" s="2816"/>
      <c r="AA31" s="2816"/>
      <c r="AB31" s="2816"/>
      <c r="AC31" s="2795">
        <f t="shared" si="36"/>
        <v>57.5</v>
      </c>
      <c r="AD31" s="2827"/>
      <c r="AE31" s="2827"/>
      <c r="AF31" s="2803"/>
      <c r="AG31" s="2827"/>
      <c r="AH31" s="2827"/>
      <c r="AI31" s="2827"/>
      <c r="AJ31" s="2827"/>
      <c r="AK31" s="2827"/>
      <c r="AL31" s="2827"/>
      <c r="AM31" s="2827"/>
      <c r="AN31" s="2827">
        <v>57.5</v>
      </c>
      <c r="AO31" s="2827"/>
      <c r="AP31" s="2827"/>
      <c r="AQ31" s="2827"/>
      <c r="AR31" s="2827"/>
      <c r="AS31" s="2827"/>
      <c r="AT31" s="2847"/>
      <c r="AU31" s="2848"/>
      <c r="AV31" s="447">
        <f t="shared" si="37"/>
        <v>0</v>
      </c>
      <c r="AW31" s="447">
        <f t="shared" si="38"/>
        <v>0</v>
      </c>
      <c r="AX31" s="447" t="str">
        <f t="shared" si="39"/>
        <v>电视、电信机房</v>
      </c>
      <c r="AY31" s="2864">
        <f t="shared" si="40"/>
        <v>20.99</v>
      </c>
      <c r="AZ31" s="2795">
        <f t="shared" si="41"/>
        <v>57.5</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57.5</v>
      </c>
      <c r="BM31" s="2795">
        <f t="shared" si="54"/>
        <v>0</v>
      </c>
      <c r="BN31" s="2795">
        <f t="shared" si="55"/>
        <v>0</v>
      </c>
      <c r="BO31" s="2795">
        <f t="shared" si="56"/>
        <v>0</v>
      </c>
      <c r="BP31" s="2795">
        <f t="shared" si="57"/>
        <v>0</v>
      </c>
      <c r="BQ31" s="2795">
        <f t="shared" si="58"/>
        <v>0</v>
      </c>
      <c r="BR31" s="2795">
        <f t="shared" si="59"/>
        <v>57.5</v>
      </c>
      <c r="BS31" s="2795">
        <f t="shared" si="60"/>
        <v>0</v>
      </c>
      <c r="BT31" s="2869">
        <f t="shared" si="61"/>
        <v>0</v>
      </c>
    </row>
    <row r="32" spans="1:72">
      <c r="A32" s="2792"/>
      <c r="B32" s="2801"/>
      <c r="C32" s="2800" t="s">
        <v>502</v>
      </c>
      <c r="D32" s="2788" t="s">
        <v>484</v>
      </c>
      <c r="E32" s="2795">
        <f t="shared" si="33"/>
        <v>153.76</v>
      </c>
      <c r="F32" s="2796"/>
      <c r="G32" s="2797">
        <f t="shared" si="34"/>
        <v>421.14</v>
      </c>
      <c r="H32" s="2798">
        <f t="shared" si="35"/>
        <v>0</v>
      </c>
      <c r="I32" s="2803"/>
      <c r="J32" s="2816"/>
      <c r="K32" s="2803"/>
      <c r="L32" s="2816"/>
      <c r="M32" s="2816"/>
      <c r="N32" s="2816"/>
      <c r="O32" s="2816"/>
      <c r="P32" s="2816"/>
      <c r="Q32" s="2816"/>
      <c r="R32" s="2816"/>
      <c r="S32" s="2816"/>
      <c r="T32" s="2816"/>
      <c r="U32" s="2816"/>
      <c r="V32" s="2816"/>
      <c r="W32" s="2816"/>
      <c r="X32" s="2816"/>
      <c r="Y32" s="2816"/>
      <c r="Z32" s="2816"/>
      <c r="AA32" s="2816"/>
      <c r="AB32" s="2816"/>
      <c r="AC32" s="2795">
        <f t="shared" si="36"/>
        <v>421.14</v>
      </c>
      <c r="AD32" s="2827"/>
      <c r="AE32" s="2827"/>
      <c r="AF32" s="2803"/>
      <c r="AG32" s="2827"/>
      <c r="AH32" s="2827"/>
      <c r="AI32" s="2827"/>
      <c r="AJ32" s="2827">
        <v>421.14</v>
      </c>
      <c r="AK32" s="2827"/>
      <c r="AL32" s="2827"/>
      <c r="AM32" s="2827"/>
      <c r="AN32" s="2827"/>
      <c r="AO32" s="2827"/>
      <c r="AP32" s="2827"/>
      <c r="AQ32" s="2827"/>
      <c r="AR32" s="2827"/>
      <c r="AS32" s="2827"/>
      <c r="AT32" s="2847"/>
      <c r="AU32" s="2848"/>
      <c r="AV32" s="447">
        <f t="shared" si="37"/>
        <v>0</v>
      </c>
      <c r="AW32" s="447">
        <f t="shared" si="38"/>
        <v>0</v>
      </c>
      <c r="AX32" s="447" t="str">
        <f t="shared" si="39"/>
        <v>物业用房</v>
      </c>
      <c r="AY32" s="2864">
        <f t="shared" si="40"/>
        <v>153.76</v>
      </c>
      <c r="AZ32" s="2795">
        <f t="shared" si="41"/>
        <v>421.14</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421.14</v>
      </c>
      <c r="BM32" s="2795">
        <f t="shared" si="54"/>
        <v>0</v>
      </c>
      <c r="BN32" s="2795">
        <f t="shared" si="55"/>
        <v>0</v>
      </c>
      <c r="BO32" s="2795">
        <f t="shared" si="56"/>
        <v>0</v>
      </c>
      <c r="BP32" s="2795">
        <f t="shared" si="57"/>
        <v>421.14</v>
      </c>
      <c r="BQ32" s="2795">
        <f t="shared" si="58"/>
        <v>0</v>
      </c>
      <c r="BR32" s="2795">
        <f t="shared" si="59"/>
        <v>0</v>
      </c>
      <c r="BS32" s="2795">
        <f t="shared" si="60"/>
        <v>0</v>
      </c>
      <c r="BT32" s="2869">
        <f t="shared" si="61"/>
        <v>0</v>
      </c>
    </row>
    <row r="33" spans="1:72">
      <c r="A33" s="2792"/>
      <c r="B33" s="2801"/>
      <c r="C33" s="2800"/>
      <c r="D33" s="2804"/>
      <c r="E33" s="2795">
        <f t="shared" si="33"/>
        <v>0</v>
      </c>
      <c r="F33" s="2796"/>
      <c r="G33" s="2797">
        <f t="shared" si="34"/>
        <v>0</v>
      </c>
      <c r="H33" s="2798">
        <f t="shared" si="35"/>
        <v>0</v>
      </c>
      <c r="I33" s="2803"/>
      <c r="J33" s="2816"/>
      <c r="K33" s="2803"/>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3"/>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c r="A34" s="2792"/>
      <c r="B34" s="2801"/>
      <c r="C34" s="2800"/>
      <c r="D34" s="2804"/>
      <c r="E34" s="2795">
        <f t="shared" si="33"/>
        <v>0</v>
      </c>
      <c r="F34" s="2796"/>
      <c r="G34" s="2797">
        <f t="shared" si="34"/>
        <v>0</v>
      </c>
      <c r="H34" s="2798">
        <f t="shared" si="35"/>
        <v>0</v>
      </c>
      <c r="I34" s="2803"/>
      <c r="J34" s="2816"/>
      <c r="K34" s="2803"/>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3"/>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c r="A35" s="2792"/>
      <c r="B35" s="2801"/>
      <c r="C35" s="2800"/>
      <c r="D35" s="2804"/>
      <c r="E35" s="2795">
        <f t="shared" si="33"/>
        <v>0</v>
      </c>
      <c r="F35" s="2796"/>
      <c r="G35" s="2797">
        <f t="shared" si="34"/>
        <v>0</v>
      </c>
      <c r="H35" s="2798">
        <f t="shared" si="35"/>
        <v>0</v>
      </c>
      <c r="I35" s="2803"/>
      <c r="J35" s="2816"/>
      <c r="K35" s="2803"/>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3"/>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c r="A36" s="2792"/>
      <c r="B36" s="2801"/>
      <c r="C36" s="2800"/>
      <c r="D36" s="2804"/>
      <c r="E36" s="2795">
        <f t="shared" si="33"/>
        <v>0</v>
      </c>
      <c r="F36" s="2796"/>
      <c r="G36" s="2797">
        <f t="shared" si="34"/>
        <v>0</v>
      </c>
      <c r="H36" s="2798">
        <f t="shared" si="35"/>
        <v>0</v>
      </c>
      <c r="I36" s="2803"/>
      <c r="J36" s="2816"/>
      <c r="K36" s="2803"/>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3"/>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c r="A37" s="2792"/>
      <c r="B37" s="2801"/>
      <c r="C37" s="2800"/>
      <c r="D37" s="2804"/>
      <c r="E37" s="2795">
        <f t="shared" si="33"/>
        <v>0</v>
      </c>
      <c r="F37" s="2796"/>
      <c r="G37" s="2797">
        <f t="shared" si="34"/>
        <v>0</v>
      </c>
      <c r="H37" s="2798">
        <f t="shared" si="35"/>
        <v>0</v>
      </c>
      <c r="I37" s="2803"/>
      <c r="J37" s="2816"/>
      <c r="K37" s="2803"/>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3"/>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c r="A38" s="2792"/>
      <c r="B38" s="2801"/>
      <c r="C38" s="2800"/>
      <c r="D38" s="2804"/>
      <c r="E38" s="2795">
        <f t="shared" si="33"/>
        <v>0</v>
      </c>
      <c r="F38" s="2796"/>
      <c r="G38" s="2797">
        <f t="shared" si="34"/>
        <v>0</v>
      </c>
      <c r="H38" s="2798">
        <f t="shared" si="35"/>
        <v>0</v>
      </c>
      <c r="I38" s="2803"/>
      <c r="J38" s="2816"/>
      <c r="K38" s="2803"/>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3"/>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c r="A39" s="2792"/>
      <c r="B39" s="2801"/>
      <c r="C39" s="2800"/>
      <c r="D39" s="2804"/>
      <c r="E39" s="2795">
        <f t="shared" si="33"/>
        <v>0</v>
      </c>
      <c r="F39" s="2796"/>
      <c r="G39" s="2797">
        <f t="shared" si="34"/>
        <v>0</v>
      </c>
      <c r="H39" s="2798">
        <f t="shared" si="35"/>
        <v>0</v>
      </c>
      <c r="I39" s="2803"/>
      <c r="J39" s="2816"/>
      <c r="K39" s="2803"/>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3"/>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c r="A40" s="2792"/>
      <c r="B40" s="2801"/>
      <c r="C40" s="2800"/>
      <c r="D40" s="2804"/>
      <c r="E40" s="2795">
        <f t="shared" si="33"/>
        <v>0</v>
      </c>
      <c r="F40" s="2796"/>
      <c r="G40" s="2797">
        <f t="shared" si="34"/>
        <v>0</v>
      </c>
      <c r="H40" s="2798">
        <f t="shared" si="35"/>
        <v>0</v>
      </c>
      <c r="I40" s="2803"/>
      <c r="J40" s="2816"/>
      <c r="K40" s="2803"/>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3"/>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c r="A41" s="2792"/>
      <c r="B41" s="2801"/>
      <c r="C41" s="2800"/>
      <c r="D41" s="2804"/>
      <c r="E41" s="2795">
        <f t="shared" si="33"/>
        <v>0</v>
      </c>
      <c r="F41" s="2796"/>
      <c r="G41" s="2797">
        <f t="shared" si="34"/>
        <v>0</v>
      </c>
      <c r="H41" s="2798">
        <f t="shared" si="35"/>
        <v>0</v>
      </c>
      <c r="I41" s="2803"/>
      <c r="J41" s="2816"/>
      <c r="K41" s="2803"/>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3"/>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c r="A42" s="2792"/>
      <c r="B42" s="2801"/>
      <c r="C42" s="2800"/>
      <c r="D42" s="2804"/>
      <c r="E42" s="2795">
        <f t="shared" si="33"/>
        <v>0</v>
      </c>
      <c r="F42" s="2796"/>
      <c r="G42" s="2797">
        <f t="shared" si="34"/>
        <v>0</v>
      </c>
      <c r="H42" s="2798">
        <f t="shared" si="35"/>
        <v>0</v>
      </c>
      <c r="I42" s="2803"/>
      <c r="J42" s="2816"/>
      <c r="K42" s="2803"/>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3"/>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c r="A43" s="2792"/>
      <c r="B43" s="2801"/>
      <c r="C43" s="2800"/>
      <c r="D43" s="2804"/>
      <c r="E43" s="2795">
        <f t="shared" si="33"/>
        <v>0</v>
      </c>
      <c r="F43" s="2796"/>
      <c r="G43" s="2797">
        <f t="shared" si="34"/>
        <v>0</v>
      </c>
      <c r="H43" s="2798">
        <f t="shared" si="35"/>
        <v>0</v>
      </c>
      <c r="I43" s="2803"/>
      <c r="J43" s="2816"/>
      <c r="K43" s="2803"/>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3"/>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c r="A44" s="2792"/>
      <c r="B44" s="2801"/>
      <c r="C44" s="2800"/>
      <c r="D44" s="2804"/>
      <c r="E44" s="2795">
        <f t="shared" si="33"/>
        <v>0</v>
      </c>
      <c r="F44" s="2796"/>
      <c r="G44" s="2797">
        <f t="shared" si="34"/>
        <v>0</v>
      </c>
      <c r="H44" s="2798">
        <f t="shared" si="35"/>
        <v>0</v>
      </c>
      <c r="I44" s="2803"/>
      <c r="J44" s="2816"/>
      <c r="K44" s="2803"/>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3"/>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c r="A45" s="2792"/>
      <c r="B45" s="2801"/>
      <c r="C45" s="2800"/>
      <c r="D45" s="2804"/>
      <c r="E45" s="2795">
        <f t="shared" si="33"/>
        <v>0</v>
      </c>
      <c r="F45" s="2796"/>
      <c r="G45" s="2797">
        <f t="shared" si="34"/>
        <v>0</v>
      </c>
      <c r="H45" s="2798">
        <f t="shared" si="35"/>
        <v>0</v>
      </c>
      <c r="I45" s="2803"/>
      <c r="J45" s="2816"/>
      <c r="K45" s="2803"/>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3"/>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c r="A46" s="2792"/>
      <c r="B46" s="2801"/>
      <c r="C46" s="2800"/>
      <c r="D46" s="2804"/>
      <c r="E46" s="2795">
        <f t="shared" si="33"/>
        <v>0</v>
      </c>
      <c r="F46" s="2796"/>
      <c r="G46" s="2797">
        <f t="shared" si="34"/>
        <v>0</v>
      </c>
      <c r="H46" s="2798">
        <f t="shared" si="35"/>
        <v>0</v>
      </c>
      <c r="I46" s="2803"/>
      <c r="J46" s="2816"/>
      <c r="K46" s="2803"/>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3"/>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c r="A47" s="2792"/>
      <c r="B47" s="2801"/>
      <c r="C47" s="2800"/>
      <c r="D47" s="2804"/>
      <c r="E47" s="2795">
        <f t="shared" si="33"/>
        <v>0</v>
      </c>
      <c r="F47" s="2796"/>
      <c r="G47" s="2797">
        <f t="shared" si="34"/>
        <v>0</v>
      </c>
      <c r="H47" s="2798">
        <f t="shared" si="35"/>
        <v>0</v>
      </c>
      <c r="I47" s="2803"/>
      <c r="J47" s="2816"/>
      <c r="K47" s="2803"/>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c r="A48" s="2792"/>
      <c r="B48" s="2801"/>
      <c r="C48" s="2800"/>
      <c r="D48" s="2804"/>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c r="A49" s="2792"/>
      <c r="B49" s="2801"/>
      <c r="C49" s="2800"/>
      <c r="D49" s="2804"/>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c r="A50" s="2792"/>
      <c r="B50" s="2801"/>
      <c r="C50" s="2800"/>
      <c r="D50" s="2804"/>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c r="A51" s="2792"/>
      <c r="B51" s="2801"/>
      <c r="C51" s="2800"/>
      <c r="D51" s="2804"/>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c r="A52" s="2792"/>
      <c r="B52" s="2801"/>
      <c r="C52" s="2800"/>
      <c r="D52" s="2804"/>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c r="A53" s="2792"/>
      <c r="B53" s="2801"/>
      <c r="C53" s="2800"/>
      <c r="D53" s="2804"/>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c r="A54" s="2792"/>
      <c r="B54" s="2801"/>
      <c r="C54" s="2800"/>
      <c r="D54" s="2804"/>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c r="A55" s="2792"/>
      <c r="B55" s="2802"/>
      <c r="C55" s="2803"/>
      <c r="D55" s="2804"/>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c r="A113" s="2792"/>
      <c r="B113" s="2801"/>
      <c r="C113" s="2800"/>
      <c r="D113" s="2804"/>
      <c r="E113" s="2795">
        <f t="shared" ref="E113:E144" si="87">IF($C$3="是",ROUND($A$3*G113/$B$3,2),ROUND($A$3*(G113-AT113)/$B$3,2))</f>
        <v>0</v>
      </c>
      <c r="F113" s="2796"/>
      <c r="G113" s="2797">
        <f t="shared" si="62"/>
        <v>0</v>
      </c>
      <c r="H113" s="2798">
        <f t="shared" si="63"/>
        <v>0</v>
      </c>
      <c r="I113" s="2803"/>
      <c r="J113" s="2816"/>
      <c r="K113" s="2803"/>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c r="A114" s="2792"/>
      <c r="B114" s="2801"/>
      <c r="C114" s="2800"/>
      <c r="D114" s="2804"/>
      <c r="E114" s="2795">
        <f t="shared" si="87"/>
        <v>0</v>
      </c>
      <c r="F114" s="2796"/>
      <c r="G114" s="2797">
        <f t="shared" si="62"/>
        <v>0</v>
      </c>
      <c r="H114" s="2798">
        <f t="shared" si="63"/>
        <v>0</v>
      </c>
      <c r="I114" s="2803"/>
      <c r="J114" s="2816"/>
      <c r="K114" s="2803"/>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c r="A115" s="2792"/>
      <c r="B115" s="2801"/>
      <c r="C115" s="2800"/>
      <c r="D115" s="2804"/>
      <c r="E115" s="2795">
        <f t="shared" si="87"/>
        <v>0</v>
      </c>
      <c r="F115" s="2796"/>
      <c r="G115" s="2797">
        <f t="shared" si="62"/>
        <v>0</v>
      </c>
      <c r="H115" s="2798">
        <f t="shared" si="63"/>
        <v>0</v>
      </c>
      <c r="I115" s="2803"/>
      <c r="J115" s="2816"/>
      <c r="K115" s="2803"/>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c r="A116" s="2792"/>
      <c r="B116" s="2801"/>
      <c r="C116" s="2800"/>
      <c r="D116" s="2804"/>
      <c r="E116" s="2795">
        <f t="shared" si="87"/>
        <v>0</v>
      </c>
      <c r="F116" s="2796"/>
      <c r="G116" s="2797">
        <f t="shared" si="62"/>
        <v>0</v>
      </c>
      <c r="H116" s="2798">
        <f t="shared" si="63"/>
        <v>0</v>
      </c>
      <c r="I116" s="2803"/>
      <c r="J116" s="2816"/>
      <c r="K116" s="2803"/>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c r="A117" s="2792"/>
      <c r="B117" s="2801"/>
      <c r="C117" s="2800"/>
      <c r="D117" s="2804"/>
      <c r="E117" s="2795">
        <f t="shared" si="87"/>
        <v>0</v>
      </c>
      <c r="F117" s="2796"/>
      <c r="G117" s="2797">
        <f t="shared" si="62"/>
        <v>0</v>
      </c>
      <c r="H117" s="2798">
        <f t="shared" si="63"/>
        <v>0</v>
      </c>
      <c r="I117" s="2803"/>
      <c r="J117" s="2816"/>
      <c r="K117" s="2803"/>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c r="A118" s="2792"/>
      <c r="B118" s="2801"/>
      <c r="C118" s="2800"/>
      <c r="D118" s="2804"/>
      <c r="E118" s="2795">
        <f t="shared" si="87"/>
        <v>0</v>
      </c>
      <c r="F118" s="2796"/>
      <c r="G118" s="2797">
        <f t="shared" si="62"/>
        <v>0</v>
      </c>
      <c r="H118" s="2798">
        <f t="shared" si="63"/>
        <v>0</v>
      </c>
      <c r="I118" s="2803"/>
      <c r="J118" s="2816"/>
      <c r="K118" s="2803"/>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c r="A119" s="2792"/>
      <c r="B119" s="2801"/>
      <c r="C119" s="2800"/>
      <c r="D119" s="2804"/>
      <c r="E119" s="2795">
        <f t="shared" si="87"/>
        <v>0</v>
      </c>
      <c r="F119" s="2796"/>
      <c r="G119" s="2797">
        <f t="shared" si="62"/>
        <v>0</v>
      </c>
      <c r="H119" s="2798">
        <f t="shared" si="63"/>
        <v>0</v>
      </c>
      <c r="I119" s="2803"/>
      <c r="J119" s="2816"/>
      <c r="K119" s="2803"/>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c r="A120" s="2792"/>
      <c r="B120" s="2801"/>
      <c r="C120" s="2800"/>
      <c r="D120" s="2804"/>
      <c r="E120" s="2795">
        <f t="shared" si="87"/>
        <v>0</v>
      </c>
      <c r="F120" s="2796"/>
      <c r="G120" s="2797">
        <f t="shared" si="62"/>
        <v>0</v>
      </c>
      <c r="H120" s="2798">
        <f t="shared" si="63"/>
        <v>0</v>
      </c>
      <c r="I120" s="2803"/>
      <c r="J120" s="2816"/>
      <c r="K120" s="2803"/>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3"/>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c r="A121" s="2792"/>
      <c r="B121" s="2802"/>
      <c r="C121" s="2803"/>
      <c r="D121" s="2804"/>
      <c r="E121" s="2795">
        <f t="shared" si="87"/>
        <v>0</v>
      </c>
      <c r="F121" s="2796"/>
      <c r="G121" s="2797">
        <f t="shared" si="62"/>
        <v>0</v>
      </c>
      <c r="H121" s="2798">
        <f t="shared" si="63"/>
        <v>0</v>
      </c>
      <c r="I121" s="2803"/>
      <c r="J121" s="2816"/>
      <c r="K121" s="2803"/>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3"/>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c r="A122" s="2792"/>
      <c r="B122" s="2801"/>
      <c r="C122" s="2800"/>
      <c r="D122" s="2804"/>
      <c r="E122" s="2795">
        <f t="shared" si="87"/>
        <v>0</v>
      </c>
      <c r="F122" s="2796"/>
      <c r="G122" s="2797">
        <f t="shared" si="62"/>
        <v>0</v>
      </c>
      <c r="H122" s="2798">
        <f t="shared" si="63"/>
        <v>0</v>
      </c>
      <c r="I122" s="2803"/>
      <c r="J122" s="2816"/>
      <c r="K122" s="2803"/>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3"/>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c r="A123" s="2792"/>
      <c r="B123" s="2801"/>
      <c r="C123" s="2800"/>
      <c r="D123" s="2804"/>
      <c r="E123" s="2795">
        <f t="shared" si="87"/>
        <v>0</v>
      </c>
      <c r="F123" s="2796"/>
      <c r="G123" s="2797">
        <f t="shared" si="62"/>
        <v>0</v>
      </c>
      <c r="H123" s="2798">
        <f t="shared" si="63"/>
        <v>0</v>
      </c>
      <c r="I123" s="2803"/>
      <c r="J123" s="2816"/>
      <c r="K123" s="2803"/>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3"/>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c r="A124" s="2792"/>
      <c r="B124" s="2801"/>
      <c r="C124" s="2800"/>
      <c r="D124" s="2804"/>
      <c r="E124" s="2795">
        <f t="shared" si="87"/>
        <v>0</v>
      </c>
      <c r="F124" s="2796"/>
      <c r="G124" s="2797">
        <f t="shared" si="62"/>
        <v>0</v>
      </c>
      <c r="H124" s="2798">
        <f t="shared" si="63"/>
        <v>0</v>
      </c>
      <c r="I124" s="2803"/>
      <c r="J124" s="2816"/>
      <c r="K124" s="2803"/>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3"/>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c r="A125" s="2792"/>
      <c r="B125" s="2801"/>
      <c r="C125" s="2800"/>
      <c r="D125" s="2804"/>
      <c r="E125" s="2795">
        <f t="shared" si="87"/>
        <v>0</v>
      </c>
      <c r="F125" s="2796"/>
      <c r="G125" s="2797">
        <f t="shared" si="62"/>
        <v>0</v>
      </c>
      <c r="H125" s="2798">
        <f t="shared" si="63"/>
        <v>0</v>
      </c>
      <c r="I125" s="2803"/>
      <c r="J125" s="2816"/>
      <c r="K125" s="2803"/>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3"/>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c r="A126" s="2792"/>
      <c r="B126" s="2801"/>
      <c r="C126" s="2800"/>
      <c r="D126" s="2804"/>
      <c r="E126" s="2795">
        <f t="shared" si="87"/>
        <v>0</v>
      </c>
      <c r="F126" s="2796"/>
      <c r="G126" s="2797">
        <f t="shared" si="62"/>
        <v>0</v>
      </c>
      <c r="H126" s="2798">
        <f t="shared" si="63"/>
        <v>0</v>
      </c>
      <c r="I126" s="2803"/>
      <c r="J126" s="2816"/>
      <c r="K126" s="2803"/>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3"/>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c r="A127" s="2792"/>
      <c r="B127" s="2801"/>
      <c r="C127" s="2800"/>
      <c r="D127" s="2804"/>
      <c r="E127" s="2795">
        <f t="shared" si="87"/>
        <v>0</v>
      </c>
      <c r="F127" s="2796"/>
      <c r="G127" s="2797">
        <f t="shared" si="62"/>
        <v>0</v>
      </c>
      <c r="H127" s="2798">
        <f t="shared" si="63"/>
        <v>0</v>
      </c>
      <c r="I127" s="2803"/>
      <c r="J127" s="2816"/>
      <c r="K127" s="2803"/>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3"/>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c r="A128" s="2792"/>
      <c r="B128" s="2801"/>
      <c r="C128" s="2800"/>
      <c r="D128" s="2804"/>
      <c r="E128" s="2795">
        <f t="shared" si="87"/>
        <v>0</v>
      </c>
      <c r="F128" s="2796"/>
      <c r="G128" s="2797">
        <f t="shared" si="62"/>
        <v>0</v>
      </c>
      <c r="H128" s="2798">
        <f t="shared" si="63"/>
        <v>0</v>
      </c>
      <c r="I128" s="2803"/>
      <c r="J128" s="2816"/>
      <c r="K128" s="2803"/>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3"/>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c r="A129" s="2792"/>
      <c r="B129" s="2801"/>
      <c r="C129" s="2800"/>
      <c r="D129" s="2804"/>
      <c r="E129" s="2795">
        <f t="shared" si="87"/>
        <v>0</v>
      </c>
      <c r="F129" s="2796"/>
      <c r="G129" s="2797">
        <f t="shared" si="62"/>
        <v>0</v>
      </c>
      <c r="H129" s="2798">
        <f t="shared" si="63"/>
        <v>0</v>
      </c>
      <c r="I129" s="2803"/>
      <c r="J129" s="2816"/>
      <c r="K129" s="2803"/>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3"/>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c r="A130" s="2792"/>
      <c r="B130" s="2801"/>
      <c r="C130" s="2800"/>
      <c r="D130" s="2804"/>
      <c r="E130" s="2795">
        <f t="shared" si="87"/>
        <v>0</v>
      </c>
      <c r="F130" s="2796"/>
      <c r="G130" s="2797">
        <f t="shared" si="62"/>
        <v>0</v>
      </c>
      <c r="H130" s="2798">
        <f t="shared" si="63"/>
        <v>0</v>
      </c>
      <c r="I130" s="2803"/>
      <c r="J130" s="2816"/>
      <c r="K130" s="2803"/>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3"/>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c r="A131" s="2792"/>
      <c r="B131" s="2801"/>
      <c r="C131" s="2800"/>
      <c r="D131" s="2804"/>
      <c r="E131" s="2795">
        <f t="shared" si="87"/>
        <v>0</v>
      </c>
      <c r="F131" s="2796"/>
      <c r="G131" s="2797">
        <f t="shared" si="62"/>
        <v>0</v>
      </c>
      <c r="H131" s="2798">
        <f t="shared" si="63"/>
        <v>0</v>
      </c>
      <c r="I131" s="2803"/>
      <c r="J131" s="2816"/>
      <c r="K131" s="2803"/>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3"/>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c r="A132" s="2792"/>
      <c r="B132" s="2801"/>
      <c r="C132" s="2800"/>
      <c r="D132" s="2804"/>
      <c r="E132" s="2795">
        <f t="shared" si="87"/>
        <v>0</v>
      </c>
      <c r="F132" s="2796"/>
      <c r="G132" s="2797">
        <f t="shared" si="62"/>
        <v>0</v>
      </c>
      <c r="H132" s="2798">
        <f t="shared" si="63"/>
        <v>0</v>
      </c>
      <c r="I132" s="2803"/>
      <c r="J132" s="2816"/>
      <c r="K132" s="2803"/>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3"/>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c r="A133" s="2792"/>
      <c r="B133" s="2801"/>
      <c r="C133" s="2800"/>
      <c r="D133" s="2804"/>
      <c r="E133" s="2795">
        <f t="shared" si="87"/>
        <v>0</v>
      </c>
      <c r="F133" s="2796"/>
      <c r="G133" s="2797">
        <f t="shared" si="62"/>
        <v>0</v>
      </c>
      <c r="H133" s="2798">
        <f t="shared" si="63"/>
        <v>0</v>
      </c>
      <c r="I133" s="2803"/>
      <c r="J133" s="2816"/>
      <c r="K133" s="2803"/>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3"/>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c r="A134" s="2792"/>
      <c r="B134" s="2801"/>
      <c r="C134" s="2800"/>
      <c r="D134" s="2804"/>
      <c r="E134" s="2795">
        <f t="shared" si="87"/>
        <v>0</v>
      </c>
      <c r="F134" s="2796"/>
      <c r="G134" s="2797">
        <f t="shared" si="62"/>
        <v>0</v>
      </c>
      <c r="H134" s="2798">
        <f t="shared" si="63"/>
        <v>0</v>
      </c>
      <c r="I134" s="2803"/>
      <c r="J134" s="2816"/>
      <c r="K134" s="2803"/>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3"/>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c r="A135" s="2792"/>
      <c r="B135" s="2801"/>
      <c r="C135" s="2800"/>
      <c r="D135" s="2804"/>
      <c r="E135" s="2795">
        <f t="shared" si="87"/>
        <v>0</v>
      </c>
      <c r="F135" s="2796"/>
      <c r="G135" s="2797">
        <f t="shared" si="62"/>
        <v>0</v>
      </c>
      <c r="H135" s="2798">
        <f t="shared" si="63"/>
        <v>0</v>
      </c>
      <c r="I135" s="2803"/>
      <c r="J135" s="2816"/>
      <c r="K135" s="2803"/>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3"/>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c r="A136" s="2792"/>
      <c r="B136" s="2801"/>
      <c r="C136" s="2800"/>
      <c r="D136" s="2804"/>
      <c r="E136" s="2795">
        <f t="shared" si="87"/>
        <v>0</v>
      </c>
      <c r="F136" s="2796"/>
      <c r="G136" s="2797">
        <f t="shared" si="62"/>
        <v>0</v>
      </c>
      <c r="H136" s="2798">
        <f t="shared" si="63"/>
        <v>0</v>
      </c>
      <c r="I136" s="2803"/>
      <c r="J136" s="2816"/>
      <c r="K136" s="2803"/>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3"/>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c r="A137" s="2792"/>
      <c r="B137" s="2801"/>
      <c r="C137" s="2800"/>
      <c r="D137" s="2804"/>
      <c r="E137" s="2795">
        <f t="shared" si="87"/>
        <v>0</v>
      </c>
      <c r="F137" s="2796"/>
      <c r="G137" s="2797">
        <f t="shared" si="62"/>
        <v>0</v>
      </c>
      <c r="H137" s="2798">
        <f t="shared" si="63"/>
        <v>0</v>
      </c>
      <c r="I137" s="2803"/>
      <c r="J137" s="2816"/>
      <c r="K137" s="2803"/>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3"/>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c r="A138" s="2792"/>
      <c r="B138" s="2801"/>
      <c r="C138" s="2800"/>
      <c r="D138" s="2804"/>
      <c r="E138" s="2795">
        <f t="shared" si="87"/>
        <v>0</v>
      </c>
      <c r="F138" s="2796"/>
      <c r="G138" s="2797">
        <f t="shared" si="62"/>
        <v>0</v>
      </c>
      <c r="H138" s="2798">
        <f t="shared" si="63"/>
        <v>0</v>
      </c>
      <c r="I138" s="2803"/>
      <c r="J138" s="2816"/>
      <c r="K138" s="2803"/>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3"/>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c r="A139" s="2792"/>
      <c r="B139" s="2801"/>
      <c r="C139" s="2800"/>
      <c r="D139" s="2804"/>
      <c r="E139" s="2795">
        <f t="shared" si="87"/>
        <v>0</v>
      </c>
      <c r="F139" s="2796"/>
      <c r="G139" s="2797">
        <f t="shared" si="62"/>
        <v>0</v>
      </c>
      <c r="H139" s="2798">
        <f t="shared" si="63"/>
        <v>0</v>
      </c>
      <c r="I139" s="2803"/>
      <c r="J139" s="2816"/>
      <c r="K139" s="2803"/>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c r="A140" s="2792"/>
      <c r="B140" s="2801"/>
      <c r="C140" s="2800"/>
      <c r="D140" s="2804"/>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c r="A141" s="2792"/>
      <c r="B141" s="2801"/>
      <c r="C141" s="2800"/>
      <c r="D141" s="2804"/>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c r="A142" s="2792"/>
      <c r="B142" s="2801"/>
      <c r="C142" s="2800"/>
      <c r="D142" s="2804"/>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c r="A143" s="2792"/>
      <c r="B143" s="2801"/>
      <c r="C143" s="2800"/>
      <c r="D143" s="2804"/>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c r="A144" s="2792"/>
      <c r="B144" s="2801"/>
      <c r="C144" s="2800"/>
      <c r="D144" s="2804"/>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c r="A145" s="2792"/>
      <c r="B145" s="2801"/>
      <c r="C145" s="2800"/>
      <c r="D145" s="2804"/>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c r="A146" s="2792"/>
      <c r="B146" s="2801"/>
      <c r="C146" s="2800"/>
      <c r="D146" s="2804"/>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c r="A147" s="2792"/>
      <c r="B147" s="2802"/>
      <c r="C147" s="2803"/>
      <c r="D147" s="2804"/>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c r="A205" s="2792"/>
      <c r="B205" s="2801"/>
      <c r="C205" s="2800"/>
      <c r="D205" s="2804"/>
      <c r="E205" s="2795">
        <f t="shared" ref="E205:E296" si="149">IF($C$3="是",ROUND($A$3*G205/$B$3,2),ROUND($A$3*(G205-AT205)/$B$3,2))</f>
        <v>0</v>
      </c>
      <c r="F205" s="2796"/>
      <c r="G205" s="2797">
        <f t="shared" ref="G205:G293" si="150">H205+AC205+AT205</f>
        <v>0</v>
      </c>
      <c r="H205" s="2798">
        <f t="shared" ref="H205:H293" si="151">SUMIF(I$12:AB$12,"总值",I205:AB205)</f>
        <v>0</v>
      </c>
      <c r="I205" s="2803"/>
      <c r="J205" s="2816"/>
      <c r="K205" s="2803"/>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c r="A206" s="2792"/>
      <c r="B206" s="2801"/>
      <c r="C206" s="2800"/>
      <c r="D206" s="2804"/>
      <c r="E206" s="2795">
        <f t="shared" si="149"/>
        <v>0</v>
      </c>
      <c r="F206" s="2796"/>
      <c r="G206" s="2797">
        <f t="shared" si="150"/>
        <v>0</v>
      </c>
      <c r="H206" s="2798">
        <f t="shared" si="151"/>
        <v>0</v>
      </c>
      <c r="I206" s="2803"/>
      <c r="J206" s="2816"/>
      <c r="K206" s="2803"/>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c r="A207" s="2792"/>
      <c r="B207" s="2801"/>
      <c r="C207" s="2800"/>
      <c r="D207" s="2804"/>
      <c r="E207" s="2795">
        <f t="shared" si="149"/>
        <v>0</v>
      </c>
      <c r="F207" s="2796"/>
      <c r="G207" s="2797">
        <f t="shared" si="150"/>
        <v>0</v>
      </c>
      <c r="H207" s="2798">
        <f t="shared" si="151"/>
        <v>0</v>
      </c>
      <c r="I207" s="2803"/>
      <c r="J207" s="2816"/>
      <c r="K207" s="2803"/>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c r="A208" s="2792"/>
      <c r="B208" s="2801"/>
      <c r="C208" s="2800"/>
      <c r="D208" s="2804"/>
      <c r="E208" s="2795">
        <f t="shared" si="149"/>
        <v>0</v>
      </c>
      <c r="F208" s="2796"/>
      <c r="G208" s="2797">
        <f t="shared" si="150"/>
        <v>0</v>
      </c>
      <c r="H208" s="2798">
        <f t="shared" si="151"/>
        <v>0</v>
      </c>
      <c r="I208" s="2803"/>
      <c r="J208" s="2816"/>
      <c r="K208" s="2803"/>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c r="A209" s="2792"/>
      <c r="B209" s="2801"/>
      <c r="C209" s="2800"/>
      <c r="D209" s="2804"/>
      <c r="E209" s="2795">
        <f t="shared" si="149"/>
        <v>0</v>
      </c>
      <c r="F209" s="2796"/>
      <c r="G209" s="2797">
        <f t="shared" si="150"/>
        <v>0</v>
      </c>
      <c r="H209" s="2798">
        <f t="shared" si="151"/>
        <v>0</v>
      </c>
      <c r="I209" s="2803"/>
      <c r="J209" s="2816"/>
      <c r="K209" s="2803"/>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c r="A210" s="2792"/>
      <c r="B210" s="2801"/>
      <c r="C210" s="2800"/>
      <c r="D210" s="2804"/>
      <c r="E210" s="2795">
        <f t="shared" si="149"/>
        <v>0</v>
      </c>
      <c r="F210" s="2796"/>
      <c r="G210" s="2797">
        <f t="shared" si="150"/>
        <v>0</v>
      </c>
      <c r="H210" s="2798">
        <f t="shared" si="151"/>
        <v>0</v>
      </c>
      <c r="I210" s="2803"/>
      <c r="J210" s="2816"/>
      <c r="K210" s="2803"/>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c r="A211" s="2792"/>
      <c r="B211" s="2801"/>
      <c r="C211" s="2800"/>
      <c r="D211" s="2804"/>
      <c r="E211" s="2795">
        <f t="shared" si="149"/>
        <v>0</v>
      </c>
      <c r="F211" s="2796"/>
      <c r="G211" s="2797">
        <f t="shared" si="150"/>
        <v>0</v>
      </c>
      <c r="H211" s="2798">
        <f t="shared" si="151"/>
        <v>0</v>
      </c>
      <c r="I211" s="2803"/>
      <c r="J211" s="2816"/>
      <c r="K211" s="2803"/>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c r="A212" s="2792"/>
      <c r="B212" s="2801"/>
      <c r="C212" s="2800"/>
      <c r="D212" s="2804"/>
      <c r="E212" s="2795">
        <f t="shared" si="149"/>
        <v>0</v>
      </c>
      <c r="F212" s="2796"/>
      <c r="G212" s="2797">
        <f t="shared" si="150"/>
        <v>0</v>
      </c>
      <c r="H212" s="2798">
        <f t="shared" si="151"/>
        <v>0</v>
      </c>
      <c r="I212" s="2803"/>
      <c r="J212" s="2816"/>
      <c r="K212" s="2803"/>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3"/>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c r="A213" s="2792"/>
      <c r="B213" s="2802"/>
      <c r="C213" s="2803"/>
      <c r="D213" s="2804"/>
      <c r="E213" s="2795">
        <f t="shared" si="149"/>
        <v>0</v>
      </c>
      <c r="F213" s="2796"/>
      <c r="G213" s="2797">
        <f t="shared" si="150"/>
        <v>0</v>
      </c>
      <c r="H213" s="2798">
        <f t="shared" si="151"/>
        <v>0</v>
      </c>
      <c r="I213" s="2803"/>
      <c r="J213" s="2816"/>
      <c r="K213" s="2803"/>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3"/>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c r="A214" s="2792"/>
      <c r="B214" s="2801"/>
      <c r="C214" s="2800"/>
      <c r="D214" s="2804"/>
      <c r="E214" s="2795">
        <f t="shared" si="149"/>
        <v>0</v>
      </c>
      <c r="F214" s="2796"/>
      <c r="G214" s="2797">
        <f t="shared" si="150"/>
        <v>0</v>
      </c>
      <c r="H214" s="2798">
        <f t="shared" si="151"/>
        <v>0</v>
      </c>
      <c r="I214" s="2803"/>
      <c r="J214" s="2816"/>
      <c r="K214" s="2803"/>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3"/>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c r="A215" s="2792"/>
      <c r="B215" s="2801"/>
      <c r="C215" s="2800"/>
      <c r="D215" s="2804"/>
      <c r="E215" s="2795">
        <f t="shared" si="149"/>
        <v>0</v>
      </c>
      <c r="F215" s="2796"/>
      <c r="G215" s="2797">
        <f t="shared" si="150"/>
        <v>0</v>
      </c>
      <c r="H215" s="2798">
        <f t="shared" si="151"/>
        <v>0</v>
      </c>
      <c r="I215" s="2803"/>
      <c r="J215" s="2816"/>
      <c r="K215" s="2803"/>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3"/>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c r="A216" s="2792"/>
      <c r="B216" s="2801"/>
      <c r="C216" s="2800"/>
      <c r="D216" s="2804"/>
      <c r="E216" s="2795">
        <f t="shared" si="149"/>
        <v>0</v>
      </c>
      <c r="F216" s="2796"/>
      <c r="G216" s="2797">
        <f t="shared" si="150"/>
        <v>0</v>
      </c>
      <c r="H216" s="2798">
        <f t="shared" si="151"/>
        <v>0</v>
      </c>
      <c r="I216" s="2803"/>
      <c r="J216" s="2816"/>
      <c r="K216" s="2803"/>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3"/>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c r="A217" s="2792"/>
      <c r="B217" s="2801"/>
      <c r="C217" s="2800"/>
      <c r="D217" s="2804"/>
      <c r="E217" s="2795">
        <f t="shared" si="149"/>
        <v>0</v>
      </c>
      <c r="F217" s="2796"/>
      <c r="G217" s="2797">
        <f t="shared" si="150"/>
        <v>0</v>
      </c>
      <c r="H217" s="2798">
        <f t="shared" si="151"/>
        <v>0</v>
      </c>
      <c r="I217" s="2803"/>
      <c r="J217" s="2816"/>
      <c r="K217" s="2803"/>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3"/>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c r="A218" s="2792"/>
      <c r="B218" s="2801"/>
      <c r="C218" s="2800"/>
      <c r="D218" s="2804"/>
      <c r="E218" s="2795">
        <f t="shared" si="149"/>
        <v>0</v>
      </c>
      <c r="F218" s="2796"/>
      <c r="G218" s="2797">
        <f t="shared" si="150"/>
        <v>0</v>
      </c>
      <c r="H218" s="2798">
        <f t="shared" si="151"/>
        <v>0</v>
      </c>
      <c r="I218" s="2803"/>
      <c r="J218" s="2816"/>
      <c r="K218" s="2803"/>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3"/>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c r="A219" s="2792"/>
      <c r="B219" s="2801"/>
      <c r="C219" s="2800"/>
      <c r="D219" s="2804"/>
      <c r="E219" s="2795">
        <f t="shared" si="149"/>
        <v>0</v>
      </c>
      <c r="F219" s="2796"/>
      <c r="G219" s="2797">
        <f t="shared" si="150"/>
        <v>0</v>
      </c>
      <c r="H219" s="2798">
        <f t="shared" si="151"/>
        <v>0</v>
      </c>
      <c r="I219" s="2803"/>
      <c r="J219" s="2816"/>
      <c r="K219" s="2803"/>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3"/>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c r="A220" s="2792"/>
      <c r="B220" s="2801"/>
      <c r="C220" s="2800"/>
      <c r="D220" s="2804"/>
      <c r="E220" s="2795">
        <f t="shared" si="149"/>
        <v>0</v>
      </c>
      <c r="F220" s="2796"/>
      <c r="G220" s="2797">
        <f t="shared" si="150"/>
        <v>0</v>
      </c>
      <c r="H220" s="2798">
        <f t="shared" si="151"/>
        <v>0</v>
      </c>
      <c r="I220" s="2803"/>
      <c r="J220" s="2816"/>
      <c r="K220" s="2803"/>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3"/>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c r="A221" s="2792"/>
      <c r="B221" s="2801"/>
      <c r="C221" s="2800"/>
      <c r="D221" s="2804"/>
      <c r="E221" s="2795">
        <f t="shared" si="149"/>
        <v>0</v>
      </c>
      <c r="F221" s="2796"/>
      <c r="G221" s="2797">
        <f t="shared" si="150"/>
        <v>0</v>
      </c>
      <c r="H221" s="2798">
        <f t="shared" si="151"/>
        <v>0</v>
      </c>
      <c r="I221" s="2803"/>
      <c r="J221" s="2816"/>
      <c r="K221" s="2803"/>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3"/>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c r="A222" s="2792"/>
      <c r="B222" s="2801"/>
      <c r="C222" s="2800"/>
      <c r="D222" s="2804"/>
      <c r="E222" s="2795">
        <f t="shared" si="149"/>
        <v>0</v>
      </c>
      <c r="F222" s="2796"/>
      <c r="G222" s="2797">
        <f t="shared" si="150"/>
        <v>0</v>
      </c>
      <c r="H222" s="2798">
        <f t="shared" si="151"/>
        <v>0</v>
      </c>
      <c r="I222" s="2803"/>
      <c r="J222" s="2816"/>
      <c r="K222" s="2803"/>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3"/>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c r="A223" s="2792"/>
      <c r="B223" s="2801"/>
      <c r="C223" s="2800"/>
      <c r="D223" s="2804"/>
      <c r="E223" s="2795">
        <f t="shared" si="149"/>
        <v>0</v>
      </c>
      <c r="F223" s="2796"/>
      <c r="G223" s="2797">
        <f t="shared" si="150"/>
        <v>0</v>
      </c>
      <c r="H223" s="2798">
        <f t="shared" si="151"/>
        <v>0</v>
      </c>
      <c r="I223" s="2803"/>
      <c r="J223" s="2816"/>
      <c r="K223" s="2803"/>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3"/>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c r="A224" s="2792"/>
      <c r="B224" s="2801"/>
      <c r="C224" s="2800"/>
      <c r="D224" s="2804"/>
      <c r="E224" s="2795">
        <f t="shared" si="149"/>
        <v>0</v>
      </c>
      <c r="F224" s="2796"/>
      <c r="G224" s="2797">
        <f t="shared" si="150"/>
        <v>0</v>
      </c>
      <c r="H224" s="2798">
        <f t="shared" si="151"/>
        <v>0</v>
      </c>
      <c r="I224" s="2803"/>
      <c r="J224" s="2816"/>
      <c r="K224" s="2803"/>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3"/>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c r="A225" s="2792"/>
      <c r="B225" s="2801"/>
      <c r="C225" s="2800"/>
      <c r="D225" s="2804"/>
      <c r="E225" s="2795">
        <f t="shared" si="149"/>
        <v>0</v>
      </c>
      <c r="F225" s="2796"/>
      <c r="G225" s="2797">
        <f t="shared" si="150"/>
        <v>0</v>
      </c>
      <c r="H225" s="2798">
        <f t="shared" si="151"/>
        <v>0</v>
      </c>
      <c r="I225" s="2803"/>
      <c r="J225" s="2816"/>
      <c r="K225" s="2803"/>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3"/>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c r="A226" s="2792"/>
      <c r="B226" s="2801"/>
      <c r="C226" s="2800"/>
      <c r="D226" s="2804"/>
      <c r="E226" s="2795">
        <f t="shared" si="149"/>
        <v>0</v>
      </c>
      <c r="F226" s="2796"/>
      <c r="G226" s="2797">
        <f t="shared" si="150"/>
        <v>0</v>
      </c>
      <c r="H226" s="2798">
        <f t="shared" si="151"/>
        <v>0</v>
      </c>
      <c r="I226" s="2803"/>
      <c r="J226" s="2816"/>
      <c r="K226" s="2803"/>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3"/>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c r="A227" s="2792"/>
      <c r="B227" s="2801"/>
      <c r="C227" s="2800"/>
      <c r="D227" s="2804"/>
      <c r="E227" s="2795">
        <f t="shared" si="149"/>
        <v>0</v>
      </c>
      <c r="F227" s="2796"/>
      <c r="G227" s="2797">
        <f t="shared" si="150"/>
        <v>0</v>
      </c>
      <c r="H227" s="2798">
        <f t="shared" si="151"/>
        <v>0</v>
      </c>
      <c r="I227" s="2803"/>
      <c r="J227" s="2816"/>
      <c r="K227" s="2803"/>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3"/>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c r="A228" s="2792"/>
      <c r="B228" s="2801"/>
      <c r="C228" s="2800"/>
      <c r="D228" s="2804"/>
      <c r="E228" s="2795">
        <f t="shared" si="149"/>
        <v>0</v>
      </c>
      <c r="F228" s="2796"/>
      <c r="G228" s="2797">
        <f t="shared" si="150"/>
        <v>0</v>
      </c>
      <c r="H228" s="2798">
        <f t="shared" si="151"/>
        <v>0</v>
      </c>
      <c r="I228" s="2803"/>
      <c r="J228" s="2816"/>
      <c r="K228" s="2803"/>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3"/>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c r="A229" s="2792"/>
      <c r="B229" s="2801"/>
      <c r="C229" s="2800"/>
      <c r="D229" s="2804"/>
      <c r="E229" s="2795">
        <f t="shared" si="149"/>
        <v>0</v>
      </c>
      <c r="F229" s="2796"/>
      <c r="G229" s="2797">
        <f t="shared" si="150"/>
        <v>0</v>
      </c>
      <c r="H229" s="2798">
        <f t="shared" si="151"/>
        <v>0</v>
      </c>
      <c r="I229" s="2803"/>
      <c r="J229" s="2816"/>
      <c r="K229" s="2803"/>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3"/>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c r="A230" s="2792"/>
      <c r="B230" s="2801"/>
      <c r="C230" s="2800"/>
      <c r="D230" s="2804"/>
      <c r="E230" s="2795">
        <f t="shared" si="149"/>
        <v>0</v>
      </c>
      <c r="F230" s="2796"/>
      <c r="G230" s="2797">
        <f t="shared" si="150"/>
        <v>0</v>
      </c>
      <c r="H230" s="2798">
        <f t="shared" si="151"/>
        <v>0</v>
      </c>
      <c r="I230" s="2803"/>
      <c r="J230" s="2816"/>
      <c r="K230" s="2803"/>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3"/>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c r="A231" s="2792"/>
      <c r="B231" s="2801"/>
      <c r="C231" s="2800"/>
      <c r="D231" s="2804"/>
      <c r="E231" s="2795">
        <f t="shared" si="149"/>
        <v>0</v>
      </c>
      <c r="F231" s="2796"/>
      <c r="G231" s="2797">
        <f t="shared" si="150"/>
        <v>0</v>
      </c>
      <c r="H231" s="2798">
        <f t="shared" si="151"/>
        <v>0</v>
      </c>
      <c r="I231" s="2803"/>
      <c r="J231" s="2816"/>
      <c r="K231" s="2803"/>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c r="A232" s="2792"/>
      <c r="B232" s="2801"/>
      <c r="C232" s="2800"/>
      <c r="D232" s="2804"/>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c r="A233" s="2792"/>
      <c r="B233" s="2801"/>
      <c r="C233" s="2800"/>
      <c r="D233" s="2804"/>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c r="A234" s="2792"/>
      <c r="B234" s="2801"/>
      <c r="C234" s="2800"/>
      <c r="D234" s="2804"/>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c r="A235" s="2792"/>
      <c r="B235" s="2801"/>
      <c r="C235" s="2800"/>
      <c r="D235" s="2804"/>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c r="A236" s="2792"/>
      <c r="B236" s="2801"/>
      <c r="C236" s="2800"/>
      <c r="D236" s="2804"/>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c r="A237" s="2792"/>
      <c r="B237" s="2801"/>
      <c r="C237" s="2800"/>
      <c r="D237" s="2804"/>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c r="A238" s="2792"/>
      <c r="B238" s="2801"/>
      <c r="C238" s="2800"/>
      <c r="D238" s="2804"/>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c r="A239" s="2792"/>
      <c r="B239" s="2802"/>
      <c r="C239" s="2803"/>
      <c r="D239" s="2804"/>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c r="A297" s="2792"/>
      <c r="B297" s="2801"/>
      <c r="C297" s="2800"/>
      <c r="D297" s="2804"/>
      <c r="E297" s="2795">
        <f t="shared" ref="E297:E328" si="203">IF($C$3="是",ROUND($A$3*G297/$B$3,2),ROUND($A$3*(G297-AT297)/$B$3,2))</f>
        <v>0</v>
      </c>
      <c r="F297" s="2796"/>
      <c r="G297" s="2797">
        <f t="shared" si="178"/>
        <v>0</v>
      </c>
      <c r="H297" s="2798">
        <f t="shared" si="179"/>
        <v>0</v>
      </c>
      <c r="I297" s="2803"/>
      <c r="J297" s="2816"/>
      <c r="K297" s="2803"/>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c r="A298" s="2792"/>
      <c r="B298" s="2801"/>
      <c r="C298" s="2800"/>
      <c r="D298" s="2804"/>
      <c r="E298" s="2795">
        <f t="shared" si="203"/>
        <v>0</v>
      </c>
      <c r="F298" s="2796"/>
      <c r="G298" s="2797">
        <f t="shared" si="178"/>
        <v>0</v>
      </c>
      <c r="H298" s="2798">
        <f t="shared" si="179"/>
        <v>0</v>
      </c>
      <c r="I298" s="2803"/>
      <c r="J298" s="2816"/>
      <c r="K298" s="2803"/>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c r="A299" s="2792"/>
      <c r="B299" s="2801"/>
      <c r="C299" s="2800"/>
      <c r="D299" s="2804"/>
      <c r="E299" s="2795">
        <f t="shared" si="203"/>
        <v>0</v>
      </c>
      <c r="F299" s="2796"/>
      <c r="G299" s="2797">
        <f t="shared" si="178"/>
        <v>0</v>
      </c>
      <c r="H299" s="2798">
        <f t="shared" si="179"/>
        <v>0</v>
      </c>
      <c r="I299" s="2803"/>
      <c r="J299" s="2816"/>
      <c r="K299" s="2803"/>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c r="A300" s="2792"/>
      <c r="B300" s="2801"/>
      <c r="C300" s="2800"/>
      <c r="D300" s="2804"/>
      <c r="E300" s="2795">
        <f t="shared" si="203"/>
        <v>0</v>
      </c>
      <c r="F300" s="2796"/>
      <c r="G300" s="2797">
        <f t="shared" si="178"/>
        <v>0</v>
      </c>
      <c r="H300" s="2798">
        <f t="shared" si="179"/>
        <v>0</v>
      </c>
      <c r="I300" s="2803"/>
      <c r="J300" s="2816"/>
      <c r="K300" s="2803"/>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c r="A301" s="2792"/>
      <c r="B301" s="2801"/>
      <c r="C301" s="2800"/>
      <c r="D301" s="2804"/>
      <c r="E301" s="2795">
        <f t="shared" si="203"/>
        <v>0</v>
      </c>
      <c r="F301" s="2796"/>
      <c r="G301" s="2797">
        <f t="shared" si="178"/>
        <v>0</v>
      </c>
      <c r="H301" s="2798">
        <f t="shared" si="179"/>
        <v>0</v>
      </c>
      <c r="I301" s="2803"/>
      <c r="J301" s="2816"/>
      <c r="K301" s="2803"/>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c r="A302" s="2792"/>
      <c r="B302" s="2801"/>
      <c r="C302" s="2800"/>
      <c r="D302" s="2804"/>
      <c r="E302" s="2795">
        <f t="shared" si="203"/>
        <v>0</v>
      </c>
      <c r="F302" s="2796"/>
      <c r="G302" s="2797">
        <f t="shared" si="178"/>
        <v>0</v>
      </c>
      <c r="H302" s="2798">
        <f t="shared" si="179"/>
        <v>0</v>
      </c>
      <c r="I302" s="2803"/>
      <c r="J302" s="2816"/>
      <c r="K302" s="2803"/>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c r="A303" s="2792"/>
      <c r="B303" s="2801"/>
      <c r="C303" s="2800"/>
      <c r="D303" s="2804"/>
      <c r="E303" s="2795">
        <f t="shared" si="203"/>
        <v>0</v>
      </c>
      <c r="F303" s="2796"/>
      <c r="G303" s="2797">
        <f t="shared" si="178"/>
        <v>0</v>
      </c>
      <c r="H303" s="2798">
        <f t="shared" si="179"/>
        <v>0</v>
      </c>
      <c r="I303" s="2803"/>
      <c r="J303" s="2816"/>
      <c r="K303" s="2803"/>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c r="A304" s="2792"/>
      <c r="B304" s="2801"/>
      <c r="C304" s="2800"/>
      <c r="D304" s="2804"/>
      <c r="E304" s="2795">
        <f t="shared" si="203"/>
        <v>0</v>
      </c>
      <c r="F304" s="2796"/>
      <c r="G304" s="2797">
        <f t="shared" si="178"/>
        <v>0</v>
      </c>
      <c r="H304" s="2798">
        <f t="shared" si="179"/>
        <v>0</v>
      </c>
      <c r="I304" s="2803"/>
      <c r="J304" s="2816"/>
      <c r="K304" s="2803"/>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3"/>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c r="A305" s="2792"/>
      <c r="B305" s="2802"/>
      <c r="C305" s="2803"/>
      <c r="D305" s="2804"/>
      <c r="E305" s="2795">
        <f t="shared" si="203"/>
        <v>0</v>
      </c>
      <c r="F305" s="2796"/>
      <c r="G305" s="2797">
        <f t="shared" si="178"/>
        <v>0</v>
      </c>
      <c r="H305" s="2798">
        <f t="shared" si="179"/>
        <v>0</v>
      </c>
      <c r="I305" s="2803"/>
      <c r="J305" s="2816"/>
      <c r="K305" s="2803"/>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3"/>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c r="A306" s="2792"/>
      <c r="B306" s="2801"/>
      <c r="C306" s="2800"/>
      <c r="D306" s="2804"/>
      <c r="E306" s="2795">
        <f t="shared" si="203"/>
        <v>0</v>
      </c>
      <c r="F306" s="2796"/>
      <c r="G306" s="2797">
        <f t="shared" si="178"/>
        <v>0</v>
      </c>
      <c r="H306" s="2798">
        <f t="shared" si="179"/>
        <v>0</v>
      </c>
      <c r="I306" s="2803"/>
      <c r="J306" s="2816"/>
      <c r="K306" s="2803"/>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3"/>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c r="A307" s="2792"/>
      <c r="B307" s="2801"/>
      <c r="C307" s="2800"/>
      <c r="D307" s="2804"/>
      <c r="E307" s="2795">
        <f t="shared" si="203"/>
        <v>0</v>
      </c>
      <c r="F307" s="2796"/>
      <c r="G307" s="2797">
        <f t="shared" si="178"/>
        <v>0</v>
      </c>
      <c r="H307" s="2798">
        <f t="shared" si="179"/>
        <v>0</v>
      </c>
      <c r="I307" s="2803"/>
      <c r="J307" s="2816"/>
      <c r="K307" s="2803"/>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3"/>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c r="A308" s="2792"/>
      <c r="B308" s="2801"/>
      <c r="C308" s="2800"/>
      <c r="D308" s="2804"/>
      <c r="E308" s="2795">
        <f t="shared" si="203"/>
        <v>0</v>
      </c>
      <c r="F308" s="2796"/>
      <c r="G308" s="2797">
        <f t="shared" si="178"/>
        <v>0</v>
      </c>
      <c r="H308" s="2798">
        <f t="shared" si="179"/>
        <v>0</v>
      </c>
      <c r="I308" s="2803"/>
      <c r="J308" s="2816"/>
      <c r="K308" s="2803"/>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3"/>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c r="A309" s="2792"/>
      <c r="B309" s="2801"/>
      <c r="C309" s="2800"/>
      <c r="D309" s="2804"/>
      <c r="E309" s="2795">
        <f t="shared" si="203"/>
        <v>0</v>
      </c>
      <c r="F309" s="2796"/>
      <c r="G309" s="2797">
        <f t="shared" si="178"/>
        <v>0</v>
      </c>
      <c r="H309" s="2798">
        <f t="shared" si="179"/>
        <v>0</v>
      </c>
      <c r="I309" s="2803"/>
      <c r="J309" s="2816"/>
      <c r="K309" s="2803"/>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3"/>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c r="A310" s="2792"/>
      <c r="B310" s="2801"/>
      <c r="C310" s="2800"/>
      <c r="D310" s="2804"/>
      <c r="E310" s="2795">
        <f t="shared" si="203"/>
        <v>0</v>
      </c>
      <c r="F310" s="2796"/>
      <c r="G310" s="2797">
        <f t="shared" si="178"/>
        <v>0</v>
      </c>
      <c r="H310" s="2798">
        <f t="shared" si="179"/>
        <v>0</v>
      </c>
      <c r="I310" s="2803"/>
      <c r="J310" s="2816"/>
      <c r="K310" s="2803"/>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3"/>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c r="A311" s="2792"/>
      <c r="B311" s="2801"/>
      <c r="C311" s="2800"/>
      <c r="D311" s="2804"/>
      <c r="E311" s="2795">
        <f t="shared" si="203"/>
        <v>0</v>
      </c>
      <c r="F311" s="2796"/>
      <c r="G311" s="2797">
        <f t="shared" si="178"/>
        <v>0</v>
      </c>
      <c r="H311" s="2798">
        <f t="shared" si="179"/>
        <v>0</v>
      </c>
      <c r="I311" s="2803"/>
      <c r="J311" s="2816"/>
      <c r="K311" s="2803"/>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3"/>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c r="A312" s="2792"/>
      <c r="B312" s="2801"/>
      <c r="C312" s="2800"/>
      <c r="D312" s="2804"/>
      <c r="E312" s="2795">
        <f t="shared" si="203"/>
        <v>0</v>
      </c>
      <c r="F312" s="2796"/>
      <c r="G312" s="2797">
        <f t="shared" si="178"/>
        <v>0</v>
      </c>
      <c r="H312" s="2798">
        <f t="shared" si="179"/>
        <v>0</v>
      </c>
      <c r="I312" s="2803"/>
      <c r="J312" s="2816"/>
      <c r="K312" s="2803"/>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3"/>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c r="A313" s="2792"/>
      <c r="B313" s="2801"/>
      <c r="C313" s="2800"/>
      <c r="D313" s="2804"/>
      <c r="E313" s="2795">
        <f t="shared" si="203"/>
        <v>0</v>
      </c>
      <c r="F313" s="2796"/>
      <c r="G313" s="2797">
        <f t="shared" si="178"/>
        <v>0</v>
      </c>
      <c r="H313" s="2798">
        <f t="shared" si="179"/>
        <v>0</v>
      </c>
      <c r="I313" s="2803"/>
      <c r="J313" s="2816"/>
      <c r="K313" s="2803"/>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3"/>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c r="A314" s="2792"/>
      <c r="B314" s="2801"/>
      <c r="C314" s="2800"/>
      <c r="D314" s="2804"/>
      <c r="E314" s="2795">
        <f t="shared" si="203"/>
        <v>0</v>
      </c>
      <c r="F314" s="2796"/>
      <c r="G314" s="2797">
        <f t="shared" si="178"/>
        <v>0</v>
      </c>
      <c r="H314" s="2798">
        <f t="shared" si="179"/>
        <v>0</v>
      </c>
      <c r="I314" s="2803"/>
      <c r="J314" s="2816"/>
      <c r="K314" s="2803"/>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3"/>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c r="A315" s="2792"/>
      <c r="B315" s="2801"/>
      <c r="C315" s="2800"/>
      <c r="D315" s="2804"/>
      <c r="E315" s="2795">
        <f t="shared" si="203"/>
        <v>0</v>
      </c>
      <c r="F315" s="2796"/>
      <c r="G315" s="2797">
        <f t="shared" si="178"/>
        <v>0</v>
      </c>
      <c r="H315" s="2798">
        <f t="shared" si="179"/>
        <v>0</v>
      </c>
      <c r="I315" s="2803"/>
      <c r="J315" s="2816"/>
      <c r="K315" s="2803"/>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3"/>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c r="A316" s="2792"/>
      <c r="B316" s="2801"/>
      <c r="C316" s="2800"/>
      <c r="D316" s="2804"/>
      <c r="E316" s="2795">
        <f t="shared" si="203"/>
        <v>0</v>
      </c>
      <c r="F316" s="2796"/>
      <c r="G316" s="2797">
        <f t="shared" si="178"/>
        <v>0</v>
      </c>
      <c r="H316" s="2798">
        <f t="shared" si="179"/>
        <v>0</v>
      </c>
      <c r="I316" s="2803"/>
      <c r="J316" s="2816"/>
      <c r="K316" s="2803"/>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3"/>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c r="A317" s="2792"/>
      <c r="B317" s="2801"/>
      <c r="C317" s="2800"/>
      <c r="D317" s="2804"/>
      <c r="E317" s="2795">
        <f t="shared" si="203"/>
        <v>0</v>
      </c>
      <c r="F317" s="2796"/>
      <c r="G317" s="2797">
        <f t="shared" si="178"/>
        <v>0</v>
      </c>
      <c r="H317" s="2798">
        <f t="shared" si="179"/>
        <v>0</v>
      </c>
      <c r="I317" s="2803"/>
      <c r="J317" s="2816"/>
      <c r="K317" s="2803"/>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3"/>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c r="A318" s="2792"/>
      <c r="B318" s="2801"/>
      <c r="C318" s="2800"/>
      <c r="D318" s="2804"/>
      <c r="E318" s="2795">
        <f t="shared" si="203"/>
        <v>0</v>
      </c>
      <c r="F318" s="2796"/>
      <c r="G318" s="2797">
        <f t="shared" si="178"/>
        <v>0</v>
      </c>
      <c r="H318" s="2798">
        <f t="shared" si="179"/>
        <v>0</v>
      </c>
      <c r="I318" s="2803"/>
      <c r="J318" s="2816"/>
      <c r="K318" s="2803"/>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3"/>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c r="A319" s="2792"/>
      <c r="B319" s="2801"/>
      <c r="C319" s="2800"/>
      <c r="D319" s="2804"/>
      <c r="E319" s="2795">
        <f t="shared" si="203"/>
        <v>0</v>
      </c>
      <c r="F319" s="2796"/>
      <c r="G319" s="2797">
        <f t="shared" si="178"/>
        <v>0</v>
      </c>
      <c r="H319" s="2798">
        <f t="shared" si="179"/>
        <v>0</v>
      </c>
      <c r="I319" s="2803"/>
      <c r="J319" s="2816"/>
      <c r="K319" s="2803"/>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3"/>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c r="A320" s="2792"/>
      <c r="B320" s="2801"/>
      <c r="C320" s="2800"/>
      <c r="D320" s="2804"/>
      <c r="E320" s="2795">
        <f t="shared" si="203"/>
        <v>0</v>
      </c>
      <c r="F320" s="2796"/>
      <c r="G320" s="2797">
        <f t="shared" si="178"/>
        <v>0</v>
      </c>
      <c r="H320" s="2798">
        <f t="shared" si="179"/>
        <v>0</v>
      </c>
      <c r="I320" s="2803"/>
      <c r="J320" s="2816"/>
      <c r="K320" s="2803"/>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3"/>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c r="A321" s="2792"/>
      <c r="B321" s="2801"/>
      <c r="C321" s="2800"/>
      <c r="D321" s="2804"/>
      <c r="E321" s="2795">
        <f t="shared" si="203"/>
        <v>0</v>
      </c>
      <c r="F321" s="2796"/>
      <c r="G321" s="2797">
        <f t="shared" si="178"/>
        <v>0</v>
      </c>
      <c r="H321" s="2798">
        <f t="shared" si="179"/>
        <v>0</v>
      </c>
      <c r="I321" s="2803"/>
      <c r="J321" s="2816"/>
      <c r="K321" s="2803"/>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3"/>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c r="A322" s="2792"/>
      <c r="B322" s="2801"/>
      <c r="C322" s="2800"/>
      <c r="D322" s="2804"/>
      <c r="E322" s="2795">
        <f t="shared" si="203"/>
        <v>0</v>
      </c>
      <c r="F322" s="2796"/>
      <c r="G322" s="2797">
        <f t="shared" si="178"/>
        <v>0</v>
      </c>
      <c r="H322" s="2798">
        <f t="shared" si="179"/>
        <v>0</v>
      </c>
      <c r="I322" s="2803"/>
      <c r="J322" s="2816"/>
      <c r="K322" s="2803"/>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3"/>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c r="A323" s="2792"/>
      <c r="B323" s="2801"/>
      <c r="C323" s="2800"/>
      <c r="D323" s="2804"/>
      <c r="E323" s="2795">
        <f t="shared" si="203"/>
        <v>0</v>
      </c>
      <c r="F323" s="2796"/>
      <c r="G323" s="2797">
        <f t="shared" si="178"/>
        <v>0</v>
      </c>
      <c r="H323" s="2798">
        <f t="shared" si="179"/>
        <v>0</v>
      </c>
      <c r="I323" s="2803"/>
      <c r="J323" s="2816"/>
      <c r="K323" s="2803"/>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c r="A324" s="2792"/>
      <c r="B324" s="2801"/>
      <c r="C324" s="2800"/>
      <c r="D324" s="2804"/>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c r="A325" s="2792"/>
      <c r="B325" s="2801"/>
      <c r="C325" s="2800"/>
      <c r="D325" s="2804"/>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c r="A326" s="2792"/>
      <c r="B326" s="2801"/>
      <c r="C326" s="2800"/>
      <c r="D326" s="2804"/>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c r="A327" s="2792"/>
      <c r="B327" s="2801"/>
      <c r="C327" s="2800"/>
      <c r="D327" s="2804"/>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c r="A328" s="2792"/>
      <c r="B328" s="2801"/>
      <c r="C328" s="2800"/>
      <c r="D328" s="2804"/>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c r="A329" s="2792"/>
      <c r="B329" s="2801"/>
      <c r="C329" s="2800"/>
      <c r="D329" s="2804"/>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c r="A330" s="2792"/>
      <c r="B330" s="2801"/>
      <c r="C330" s="2800"/>
      <c r="D330" s="2804"/>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c r="A331" s="2792"/>
      <c r="B331" s="2802"/>
      <c r="C331" s="2803"/>
      <c r="D331" s="2804"/>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c r="A389" s="2792"/>
      <c r="B389" s="2801"/>
      <c r="C389" s="2800"/>
      <c r="D389" s="2804"/>
      <c r="E389" s="2795">
        <f t="shared" ref="E389:E480" si="265">IF($C$3="是",ROUND($A$3*G389/$B$3,2),ROUND($A$3*(G389-AT389)/$B$3,2))</f>
        <v>0</v>
      </c>
      <c r="F389" s="2796"/>
      <c r="G389" s="2797">
        <f t="shared" ref="G389:G477" si="266">H389+AC389+AT389</f>
        <v>0</v>
      </c>
      <c r="H389" s="2798">
        <f t="shared" ref="H389:H477" si="267">SUMIF(I$12:AB$12,"总值",I389:AB389)</f>
        <v>0</v>
      </c>
      <c r="I389" s="2803"/>
      <c r="J389" s="2816"/>
      <c r="K389" s="2803"/>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c r="A390" s="2792"/>
      <c r="B390" s="2801"/>
      <c r="C390" s="2800"/>
      <c r="D390" s="2804"/>
      <c r="E390" s="2795">
        <f t="shared" si="265"/>
        <v>0</v>
      </c>
      <c r="F390" s="2796"/>
      <c r="G390" s="2797">
        <f t="shared" si="266"/>
        <v>0</v>
      </c>
      <c r="H390" s="2798">
        <f t="shared" si="267"/>
        <v>0</v>
      </c>
      <c r="I390" s="2803"/>
      <c r="J390" s="2816"/>
      <c r="K390" s="2803"/>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c r="A391" s="2792"/>
      <c r="B391" s="2801"/>
      <c r="C391" s="2800"/>
      <c r="D391" s="2804"/>
      <c r="E391" s="2795">
        <f t="shared" si="265"/>
        <v>0</v>
      </c>
      <c r="F391" s="2796"/>
      <c r="G391" s="2797">
        <f t="shared" si="266"/>
        <v>0</v>
      </c>
      <c r="H391" s="2798">
        <f t="shared" si="267"/>
        <v>0</v>
      </c>
      <c r="I391" s="2803"/>
      <c r="J391" s="2816"/>
      <c r="K391" s="2803"/>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c r="A392" s="2792"/>
      <c r="B392" s="2801"/>
      <c r="C392" s="2800"/>
      <c r="D392" s="2804"/>
      <c r="E392" s="2795">
        <f t="shared" si="265"/>
        <v>0</v>
      </c>
      <c r="F392" s="2796"/>
      <c r="G392" s="2797">
        <f t="shared" si="266"/>
        <v>0</v>
      </c>
      <c r="H392" s="2798">
        <f t="shared" si="267"/>
        <v>0</v>
      </c>
      <c r="I392" s="2803"/>
      <c r="J392" s="2816"/>
      <c r="K392" s="2803"/>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c r="A393" s="2792"/>
      <c r="B393" s="2801"/>
      <c r="C393" s="2800"/>
      <c r="D393" s="2804"/>
      <c r="E393" s="2795">
        <f t="shared" si="265"/>
        <v>0</v>
      </c>
      <c r="F393" s="2796"/>
      <c r="G393" s="2797">
        <f t="shared" si="266"/>
        <v>0</v>
      </c>
      <c r="H393" s="2798">
        <f t="shared" si="267"/>
        <v>0</v>
      </c>
      <c r="I393" s="2803"/>
      <c r="J393" s="2816"/>
      <c r="K393" s="2803"/>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c r="A394" s="2792"/>
      <c r="B394" s="2801"/>
      <c r="C394" s="2800"/>
      <c r="D394" s="2804"/>
      <c r="E394" s="2795">
        <f t="shared" si="265"/>
        <v>0</v>
      </c>
      <c r="F394" s="2796"/>
      <c r="G394" s="2797">
        <f t="shared" si="266"/>
        <v>0</v>
      </c>
      <c r="H394" s="2798">
        <f t="shared" si="267"/>
        <v>0</v>
      </c>
      <c r="I394" s="2803"/>
      <c r="J394" s="2816"/>
      <c r="K394" s="2803"/>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c r="A395" s="2792"/>
      <c r="B395" s="2801"/>
      <c r="C395" s="2800"/>
      <c r="D395" s="2804"/>
      <c r="E395" s="2795">
        <f t="shared" si="265"/>
        <v>0</v>
      </c>
      <c r="F395" s="2796"/>
      <c r="G395" s="2797">
        <f t="shared" si="266"/>
        <v>0</v>
      </c>
      <c r="H395" s="2798">
        <f t="shared" si="267"/>
        <v>0</v>
      </c>
      <c r="I395" s="2803"/>
      <c r="J395" s="2816"/>
      <c r="K395" s="2803"/>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c r="A396" s="2792"/>
      <c r="B396" s="2801"/>
      <c r="C396" s="2800"/>
      <c r="D396" s="2804"/>
      <c r="E396" s="2795">
        <f t="shared" si="265"/>
        <v>0</v>
      </c>
      <c r="F396" s="2796"/>
      <c r="G396" s="2797">
        <f t="shared" si="266"/>
        <v>0</v>
      </c>
      <c r="H396" s="2798">
        <f t="shared" si="267"/>
        <v>0</v>
      </c>
      <c r="I396" s="2803"/>
      <c r="J396" s="2816"/>
      <c r="K396" s="2803"/>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3"/>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c r="A397" s="2792"/>
      <c r="B397" s="2802"/>
      <c r="C397" s="2803"/>
      <c r="D397" s="2804"/>
      <c r="E397" s="2795">
        <f t="shared" si="265"/>
        <v>0</v>
      </c>
      <c r="F397" s="2796"/>
      <c r="G397" s="2797">
        <f t="shared" si="266"/>
        <v>0</v>
      </c>
      <c r="H397" s="2798">
        <f t="shared" si="267"/>
        <v>0</v>
      </c>
      <c r="I397" s="2803"/>
      <c r="J397" s="2816"/>
      <c r="K397" s="2803"/>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3"/>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c r="A398" s="2792"/>
      <c r="B398" s="2801"/>
      <c r="C398" s="2800"/>
      <c r="D398" s="2804"/>
      <c r="E398" s="2795">
        <f t="shared" si="265"/>
        <v>0</v>
      </c>
      <c r="F398" s="2796"/>
      <c r="G398" s="2797">
        <f t="shared" si="266"/>
        <v>0</v>
      </c>
      <c r="H398" s="2798">
        <f t="shared" si="267"/>
        <v>0</v>
      </c>
      <c r="I398" s="2803"/>
      <c r="J398" s="2816"/>
      <c r="K398" s="2803"/>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3"/>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c r="A399" s="2792"/>
      <c r="B399" s="2801"/>
      <c r="C399" s="2800"/>
      <c r="D399" s="2804"/>
      <c r="E399" s="2795">
        <f t="shared" si="265"/>
        <v>0</v>
      </c>
      <c r="F399" s="2796"/>
      <c r="G399" s="2797">
        <f t="shared" si="266"/>
        <v>0</v>
      </c>
      <c r="H399" s="2798">
        <f t="shared" si="267"/>
        <v>0</v>
      </c>
      <c r="I399" s="2803"/>
      <c r="J399" s="2816"/>
      <c r="K399" s="2803"/>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3"/>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c r="A400" s="2792"/>
      <c r="B400" s="2801"/>
      <c r="C400" s="2800"/>
      <c r="D400" s="2804"/>
      <c r="E400" s="2795">
        <f t="shared" si="265"/>
        <v>0</v>
      </c>
      <c r="F400" s="2796"/>
      <c r="G400" s="2797">
        <f t="shared" si="266"/>
        <v>0</v>
      </c>
      <c r="H400" s="2798">
        <f t="shared" si="267"/>
        <v>0</v>
      </c>
      <c r="I400" s="2803"/>
      <c r="J400" s="2816"/>
      <c r="K400" s="2803"/>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3"/>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c r="A401" s="2792"/>
      <c r="B401" s="2801"/>
      <c r="C401" s="2800"/>
      <c r="D401" s="2804"/>
      <c r="E401" s="2795">
        <f t="shared" si="265"/>
        <v>0</v>
      </c>
      <c r="F401" s="2796"/>
      <c r="G401" s="2797">
        <f t="shared" si="266"/>
        <v>0</v>
      </c>
      <c r="H401" s="2798">
        <f t="shared" si="267"/>
        <v>0</v>
      </c>
      <c r="I401" s="2803"/>
      <c r="J401" s="2816"/>
      <c r="K401" s="2803"/>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3"/>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c r="A402" s="2792"/>
      <c r="B402" s="2801"/>
      <c r="C402" s="2800"/>
      <c r="D402" s="2804"/>
      <c r="E402" s="2795">
        <f t="shared" si="265"/>
        <v>0</v>
      </c>
      <c r="F402" s="2796"/>
      <c r="G402" s="2797">
        <f t="shared" si="266"/>
        <v>0</v>
      </c>
      <c r="H402" s="2798">
        <f t="shared" si="267"/>
        <v>0</v>
      </c>
      <c r="I402" s="2803"/>
      <c r="J402" s="2816"/>
      <c r="K402" s="2803"/>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3"/>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c r="A403" s="2792"/>
      <c r="B403" s="2801"/>
      <c r="C403" s="2800"/>
      <c r="D403" s="2804"/>
      <c r="E403" s="2795">
        <f t="shared" si="265"/>
        <v>0</v>
      </c>
      <c r="F403" s="2796"/>
      <c r="G403" s="2797">
        <f t="shared" si="266"/>
        <v>0</v>
      </c>
      <c r="H403" s="2798">
        <f t="shared" si="267"/>
        <v>0</v>
      </c>
      <c r="I403" s="2803"/>
      <c r="J403" s="2816"/>
      <c r="K403" s="2803"/>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3"/>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c r="A404" s="2792"/>
      <c r="B404" s="2801"/>
      <c r="C404" s="2800"/>
      <c r="D404" s="2804"/>
      <c r="E404" s="2795">
        <f t="shared" si="265"/>
        <v>0</v>
      </c>
      <c r="F404" s="2796"/>
      <c r="G404" s="2797">
        <f t="shared" si="266"/>
        <v>0</v>
      </c>
      <c r="H404" s="2798">
        <f t="shared" si="267"/>
        <v>0</v>
      </c>
      <c r="I404" s="2803"/>
      <c r="J404" s="2816"/>
      <c r="K404" s="2803"/>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3"/>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c r="A405" s="2792"/>
      <c r="B405" s="2801"/>
      <c r="C405" s="2800"/>
      <c r="D405" s="2804"/>
      <c r="E405" s="2795">
        <f t="shared" si="265"/>
        <v>0</v>
      </c>
      <c r="F405" s="2796"/>
      <c r="G405" s="2797">
        <f t="shared" si="266"/>
        <v>0</v>
      </c>
      <c r="H405" s="2798">
        <f t="shared" si="267"/>
        <v>0</v>
      </c>
      <c r="I405" s="2803"/>
      <c r="J405" s="2816"/>
      <c r="K405" s="2803"/>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3"/>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c r="A406" s="2792"/>
      <c r="B406" s="2801"/>
      <c r="C406" s="2800"/>
      <c r="D406" s="2804"/>
      <c r="E406" s="2795">
        <f t="shared" si="265"/>
        <v>0</v>
      </c>
      <c r="F406" s="2796"/>
      <c r="G406" s="2797">
        <f t="shared" si="266"/>
        <v>0</v>
      </c>
      <c r="H406" s="2798">
        <f t="shared" si="267"/>
        <v>0</v>
      </c>
      <c r="I406" s="2803"/>
      <c r="J406" s="2816"/>
      <c r="K406" s="2803"/>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3"/>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c r="A407" s="2792"/>
      <c r="B407" s="2801"/>
      <c r="C407" s="2800"/>
      <c r="D407" s="2804"/>
      <c r="E407" s="2795">
        <f t="shared" si="265"/>
        <v>0</v>
      </c>
      <c r="F407" s="2796"/>
      <c r="G407" s="2797">
        <f t="shared" si="266"/>
        <v>0</v>
      </c>
      <c r="H407" s="2798">
        <f t="shared" si="267"/>
        <v>0</v>
      </c>
      <c r="I407" s="2803"/>
      <c r="J407" s="2816"/>
      <c r="K407" s="2803"/>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3"/>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c r="A408" s="2792"/>
      <c r="B408" s="2801"/>
      <c r="C408" s="2800"/>
      <c r="D408" s="2804"/>
      <c r="E408" s="2795">
        <f t="shared" si="265"/>
        <v>0</v>
      </c>
      <c r="F408" s="2796"/>
      <c r="G408" s="2797">
        <f t="shared" si="266"/>
        <v>0</v>
      </c>
      <c r="H408" s="2798">
        <f t="shared" si="267"/>
        <v>0</v>
      </c>
      <c r="I408" s="2803"/>
      <c r="J408" s="2816"/>
      <c r="K408" s="2803"/>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3"/>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c r="A409" s="2792"/>
      <c r="B409" s="2801"/>
      <c r="C409" s="2800"/>
      <c r="D409" s="2804"/>
      <c r="E409" s="2795">
        <f t="shared" si="265"/>
        <v>0</v>
      </c>
      <c r="F409" s="2796"/>
      <c r="G409" s="2797">
        <f t="shared" si="266"/>
        <v>0</v>
      </c>
      <c r="H409" s="2798">
        <f t="shared" si="267"/>
        <v>0</v>
      </c>
      <c r="I409" s="2803"/>
      <c r="J409" s="2816"/>
      <c r="K409" s="2803"/>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3"/>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c r="A410" s="2792"/>
      <c r="B410" s="2801"/>
      <c r="C410" s="2800"/>
      <c r="D410" s="2804"/>
      <c r="E410" s="2795">
        <f t="shared" si="265"/>
        <v>0</v>
      </c>
      <c r="F410" s="2796"/>
      <c r="G410" s="2797">
        <f t="shared" si="266"/>
        <v>0</v>
      </c>
      <c r="H410" s="2798">
        <f t="shared" si="267"/>
        <v>0</v>
      </c>
      <c r="I410" s="2803"/>
      <c r="J410" s="2816"/>
      <c r="K410" s="2803"/>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3"/>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c r="A411" s="2792"/>
      <c r="B411" s="2801"/>
      <c r="C411" s="2800"/>
      <c r="D411" s="2804"/>
      <c r="E411" s="2795">
        <f t="shared" si="265"/>
        <v>0</v>
      </c>
      <c r="F411" s="2796"/>
      <c r="G411" s="2797">
        <f t="shared" si="266"/>
        <v>0</v>
      </c>
      <c r="H411" s="2798">
        <f t="shared" si="267"/>
        <v>0</v>
      </c>
      <c r="I411" s="2803"/>
      <c r="J411" s="2816"/>
      <c r="K411" s="2803"/>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3"/>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c r="A412" s="2792"/>
      <c r="B412" s="2801"/>
      <c r="C412" s="2800"/>
      <c r="D412" s="2804"/>
      <c r="E412" s="2795">
        <f t="shared" si="265"/>
        <v>0</v>
      </c>
      <c r="F412" s="2796"/>
      <c r="G412" s="2797">
        <f t="shared" si="266"/>
        <v>0</v>
      </c>
      <c r="H412" s="2798">
        <f t="shared" si="267"/>
        <v>0</v>
      </c>
      <c r="I412" s="2803"/>
      <c r="J412" s="2816"/>
      <c r="K412" s="2803"/>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3"/>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c r="A413" s="2792"/>
      <c r="B413" s="2801"/>
      <c r="C413" s="2800"/>
      <c r="D413" s="2804"/>
      <c r="E413" s="2795">
        <f t="shared" si="265"/>
        <v>0</v>
      </c>
      <c r="F413" s="2796"/>
      <c r="G413" s="2797">
        <f t="shared" si="266"/>
        <v>0</v>
      </c>
      <c r="H413" s="2798">
        <f t="shared" si="267"/>
        <v>0</v>
      </c>
      <c r="I413" s="2803"/>
      <c r="J413" s="2816"/>
      <c r="K413" s="2803"/>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3"/>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c r="A414" s="2792"/>
      <c r="B414" s="2801"/>
      <c r="C414" s="2800"/>
      <c r="D414" s="2804"/>
      <c r="E414" s="2795">
        <f t="shared" si="265"/>
        <v>0</v>
      </c>
      <c r="F414" s="2796"/>
      <c r="G414" s="2797">
        <f t="shared" si="266"/>
        <v>0</v>
      </c>
      <c r="H414" s="2798">
        <f t="shared" si="267"/>
        <v>0</v>
      </c>
      <c r="I414" s="2803"/>
      <c r="J414" s="2816"/>
      <c r="K414" s="2803"/>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3"/>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c r="A415" s="2792"/>
      <c r="B415" s="2801"/>
      <c r="C415" s="2800"/>
      <c r="D415" s="2804"/>
      <c r="E415" s="2795">
        <f t="shared" si="265"/>
        <v>0</v>
      </c>
      <c r="F415" s="2796"/>
      <c r="G415" s="2797">
        <f t="shared" si="266"/>
        <v>0</v>
      </c>
      <c r="H415" s="2798">
        <f t="shared" si="267"/>
        <v>0</v>
      </c>
      <c r="I415" s="2803"/>
      <c r="J415" s="2816"/>
      <c r="K415" s="2803"/>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c r="A416" s="2792"/>
      <c r="B416" s="2801"/>
      <c r="C416" s="2800"/>
      <c r="D416" s="2804"/>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c r="A417" s="2792"/>
      <c r="B417" s="2801"/>
      <c r="C417" s="2800"/>
      <c r="D417" s="2804"/>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c r="A418" s="2792"/>
      <c r="B418" s="2801"/>
      <c r="C418" s="2800"/>
      <c r="D418" s="2804"/>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c r="A419" s="2792"/>
      <c r="B419" s="2801"/>
      <c r="C419" s="2800"/>
      <c r="D419" s="2804"/>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c r="A420" s="2792"/>
      <c r="B420" s="2801"/>
      <c r="C420" s="2800"/>
      <c r="D420" s="2804"/>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c r="A421" s="2792"/>
      <c r="B421" s="2801"/>
      <c r="C421" s="2800"/>
      <c r="D421" s="2804"/>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c r="A422" s="2792"/>
      <c r="B422" s="2801"/>
      <c r="C422" s="2800"/>
      <c r="D422" s="2804"/>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c r="A423" s="2792"/>
      <c r="B423" s="2802"/>
      <c r="C423" s="2803"/>
      <c r="D423" s="2804"/>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c r="A481" s="2792"/>
      <c r="B481" s="2801"/>
      <c r="C481" s="2800"/>
      <c r="D481" s="2804"/>
      <c r="E481" s="2795">
        <f t="shared" ref="E481:E504" si="319">IF($C$3="是",ROUND($A$3*G481/$B$3,2),ROUND($A$3*(G481-AT481)/$B$3,2))</f>
        <v>0</v>
      </c>
      <c r="F481" s="2796"/>
      <c r="G481" s="2797">
        <f t="shared" si="294"/>
        <v>0</v>
      </c>
      <c r="H481" s="2798">
        <f t="shared" si="295"/>
        <v>0</v>
      </c>
      <c r="I481" s="2803"/>
      <c r="J481" s="2816"/>
      <c r="K481" s="2803"/>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c r="A482" s="2792"/>
      <c r="B482" s="2801"/>
      <c r="C482" s="2800"/>
      <c r="D482" s="2804"/>
      <c r="E482" s="2795">
        <f t="shared" si="319"/>
        <v>0</v>
      </c>
      <c r="F482" s="2796"/>
      <c r="G482" s="2797">
        <f t="shared" si="294"/>
        <v>0</v>
      </c>
      <c r="H482" s="2798">
        <f t="shared" si="295"/>
        <v>0</v>
      </c>
      <c r="I482" s="2803"/>
      <c r="J482" s="2816"/>
      <c r="K482" s="2803"/>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c r="A483" s="2792"/>
      <c r="B483" s="2801"/>
      <c r="C483" s="2800"/>
      <c r="D483" s="2804"/>
      <c r="E483" s="2795">
        <f t="shared" si="319"/>
        <v>0</v>
      </c>
      <c r="F483" s="2796"/>
      <c r="G483" s="2797">
        <f t="shared" si="294"/>
        <v>0</v>
      </c>
      <c r="H483" s="2798">
        <f t="shared" si="295"/>
        <v>0</v>
      </c>
      <c r="I483" s="2803"/>
      <c r="J483" s="2816"/>
      <c r="K483" s="2803"/>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c r="A484" s="2792"/>
      <c r="B484" s="2801"/>
      <c r="C484" s="2800"/>
      <c r="D484" s="2804"/>
      <c r="E484" s="2795">
        <f t="shared" si="319"/>
        <v>0</v>
      </c>
      <c r="F484" s="2796"/>
      <c r="G484" s="2797">
        <f t="shared" si="294"/>
        <v>0</v>
      </c>
      <c r="H484" s="2798">
        <f t="shared" si="295"/>
        <v>0</v>
      </c>
      <c r="I484" s="2803"/>
      <c r="J484" s="2816"/>
      <c r="K484" s="2803"/>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c r="A485" s="2792"/>
      <c r="B485" s="2801"/>
      <c r="C485" s="2800"/>
      <c r="D485" s="2804"/>
      <c r="E485" s="2795">
        <f t="shared" si="319"/>
        <v>0</v>
      </c>
      <c r="F485" s="2796"/>
      <c r="G485" s="2797">
        <f t="shared" si="294"/>
        <v>0</v>
      </c>
      <c r="H485" s="2798">
        <f t="shared" si="295"/>
        <v>0</v>
      </c>
      <c r="I485" s="2803"/>
      <c r="J485" s="2816"/>
      <c r="K485" s="2803"/>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c r="A486" s="2792"/>
      <c r="B486" s="2801"/>
      <c r="C486" s="2800"/>
      <c r="D486" s="2804"/>
      <c r="E486" s="2795">
        <f t="shared" si="319"/>
        <v>0</v>
      </c>
      <c r="F486" s="2796"/>
      <c r="G486" s="2797">
        <f t="shared" si="294"/>
        <v>0</v>
      </c>
      <c r="H486" s="2798">
        <f t="shared" si="295"/>
        <v>0</v>
      </c>
      <c r="I486" s="2803"/>
      <c r="J486" s="2816"/>
      <c r="K486" s="2803"/>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c r="A487" s="2792"/>
      <c r="B487" s="2801"/>
      <c r="C487" s="2800"/>
      <c r="D487" s="2804"/>
      <c r="E487" s="2795">
        <f t="shared" si="319"/>
        <v>0</v>
      </c>
      <c r="F487" s="2796"/>
      <c r="G487" s="2797">
        <f t="shared" si="294"/>
        <v>0</v>
      </c>
      <c r="H487" s="2798">
        <f t="shared" si="295"/>
        <v>0</v>
      </c>
      <c r="I487" s="2803"/>
      <c r="J487" s="2816"/>
      <c r="K487" s="2803"/>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c r="A488" s="2792"/>
      <c r="B488" s="2801"/>
      <c r="C488" s="2800"/>
      <c r="D488" s="2804"/>
      <c r="E488" s="2795">
        <f t="shared" si="319"/>
        <v>0</v>
      </c>
      <c r="F488" s="2796"/>
      <c r="G488" s="2797">
        <f t="shared" si="294"/>
        <v>0</v>
      </c>
      <c r="H488" s="2798">
        <f t="shared" si="295"/>
        <v>0</v>
      </c>
      <c r="I488" s="2803"/>
      <c r="J488" s="2816"/>
      <c r="K488" s="2803"/>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3"/>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c r="A489" s="2792"/>
      <c r="B489" s="2802"/>
      <c r="C489" s="2803"/>
      <c r="D489" s="2804"/>
      <c r="E489" s="2795">
        <f t="shared" si="319"/>
        <v>0</v>
      </c>
      <c r="F489" s="2796"/>
      <c r="G489" s="2797">
        <f t="shared" si="294"/>
        <v>0</v>
      </c>
      <c r="H489" s="2798">
        <f t="shared" si="295"/>
        <v>0</v>
      </c>
      <c r="I489" s="2803"/>
      <c r="J489" s="2816"/>
      <c r="K489" s="2803"/>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3"/>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c r="A490" s="2792"/>
      <c r="B490" s="2801"/>
      <c r="C490" s="2800"/>
      <c r="D490" s="2804"/>
      <c r="E490" s="2795">
        <f t="shared" si="319"/>
        <v>0</v>
      </c>
      <c r="F490" s="2796"/>
      <c r="G490" s="2797">
        <f t="shared" si="294"/>
        <v>0</v>
      </c>
      <c r="H490" s="2798">
        <f t="shared" si="295"/>
        <v>0</v>
      </c>
      <c r="I490" s="2803"/>
      <c r="J490" s="2816"/>
      <c r="K490" s="2803"/>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3"/>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c r="A491" s="2792"/>
      <c r="B491" s="2801"/>
      <c r="C491" s="2800"/>
      <c r="D491" s="2804"/>
      <c r="E491" s="2795">
        <f t="shared" si="319"/>
        <v>0</v>
      </c>
      <c r="F491" s="2796"/>
      <c r="G491" s="2797">
        <f t="shared" si="294"/>
        <v>0</v>
      </c>
      <c r="H491" s="2798">
        <f t="shared" si="295"/>
        <v>0</v>
      </c>
      <c r="I491" s="2803"/>
      <c r="J491" s="2816"/>
      <c r="K491" s="2803"/>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3"/>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c r="A492" s="2792"/>
      <c r="B492" s="2801"/>
      <c r="C492" s="2800"/>
      <c r="D492" s="2804"/>
      <c r="E492" s="2795">
        <f t="shared" si="319"/>
        <v>0</v>
      </c>
      <c r="F492" s="2796"/>
      <c r="G492" s="2797">
        <f t="shared" si="294"/>
        <v>0</v>
      </c>
      <c r="H492" s="2798">
        <f t="shared" si="295"/>
        <v>0</v>
      </c>
      <c r="I492" s="2803"/>
      <c r="J492" s="2816"/>
      <c r="K492" s="2803"/>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3"/>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c r="A493" s="2792"/>
      <c r="B493" s="2801"/>
      <c r="C493" s="2800"/>
      <c r="D493" s="2804"/>
      <c r="E493" s="2795">
        <f t="shared" si="319"/>
        <v>0</v>
      </c>
      <c r="F493" s="2796"/>
      <c r="G493" s="2797">
        <f t="shared" si="294"/>
        <v>0</v>
      </c>
      <c r="H493" s="2798">
        <f t="shared" si="295"/>
        <v>0</v>
      </c>
      <c r="I493" s="2803"/>
      <c r="J493" s="2816"/>
      <c r="K493" s="2803"/>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3"/>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c r="A494" s="2792"/>
      <c r="B494" s="2801"/>
      <c r="C494" s="2800"/>
      <c r="D494" s="2804"/>
      <c r="E494" s="2795">
        <f t="shared" si="319"/>
        <v>0</v>
      </c>
      <c r="F494" s="2796"/>
      <c r="G494" s="2797">
        <f t="shared" si="294"/>
        <v>0</v>
      </c>
      <c r="H494" s="2798">
        <f t="shared" si="295"/>
        <v>0</v>
      </c>
      <c r="I494" s="2803"/>
      <c r="J494" s="2816"/>
      <c r="K494" s="2803"/>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3"/>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c r="A495" s="2792"/>
      <c r="B495" s="2801"/>
      <c r="C495" s="2800"/>
      <c r="D495" s="2804"/>
      <c r="E495" s="2795">
        <f t="shared" si="319"/>
        <v>0</v>
      </c>
      <c r="F495" s="2796"/>
      <c r="G495" s="2797">
        <f t="shared" si="294"/>
        <v>0</v>
      </c>
      <c r="H495" s="2798">
        <f t="shared" si="295"/>
        <v>0</v>
      </c>
      <c r="I495" s="2803"/>
      <c r="J495" s="2816"/>
      <c r="K495" s="2803"/>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3"/>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c r="A496" s="2792"/>
      <c r="B496" s="2801"/>
      <c r="C496" s="2800"/>
      <c r="D496" s="2804"/>
      <c r="E496" s="2795">
        <f t="shared" si="319"/>
        <v>0</v>
      </c>
      <c r="F496" s="2796"/>
      <c r="G496" s="2797">
        <f t="shared" si="294"/>
        <v>0</v>
      </c>
      <c r="H496" s="2798">
        <f t="shared" si="295"/>
        <v>0</v>
      </c>
      <c r="I496" s="2803"/>
      <c r="J496" s="2816"/>
      <c r="K496" s="2803"/>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3"/>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c r="A497" s="2792"/>
      <c r="B497" s="2801"/>
      <c r="C497" s="2800"/>
      <c r="D497" s="2804"/>
      <c r="E497" s="2795">
        <f t="shared" si="319"/>
        <v>0</v>
      </c>
      <c r="F497" s="2796"/>
      <c r="G497" s="2797">
        <f t="shared" si="294"/>
        <v>0</v>
      </c>
      <c r="H497" s="2798">
        <f t="shared" si="295"/>
        <v>0</v>
      </c>
      <c r="I497" s="2803"/>
      <c r="J497" s="2816"/>
      <c r="K497" s="2803"/>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3"/>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c r="A498" s="2792"/>
      <c r="B498" s="2801"/>
      <c r="C498" s="2800"/>
      <c r="D498" s="2804"/>
      <c r="E498" s="2795">
        <f t="shared" si="319"/>
        <v>0</v>
      </c>
      <c r="F498" s="2796"/>
      <c r="G498" s="2797">
        <f t="shared" si="294"/>
        <v>0</v>
      </c>
      <c r="H498" s="2798">
        <f t="shared" si="295"/>
        <v>0</v>
      </c>
      <c r="I498" s="2803"/>
      <c r="J498" s="2816"/>
      <c r="K498" s="2803"/>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3"/>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c r="A499" s="2792"/>
      <c r="B499" s="2801"/>
      <c r="C499" s="2800"/>
      <c r="D499" s="2804"/>
      <c r="E499" s="2795">
        <f t="shared" si="319"/>
        <v>0</v>
      </c>
      <c r="F499" s="2796"/>
      <c r="G499" s="2797">
        <f t="shared" si="294"/>
        <v>0</v>
      </c>
      <c r="H499" s="2798">
        <f t="shared" si="295"/>
        <v>0</v>
      </c>
      <c r="I499" s="2803"/>
      <c r="J499" s="2816"/>
      <c r="K499" s="2803"/>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3"/>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c r="A500" s="2792"/>
      <c r="B500" s="2801"/>
      <c r="C500" s="2800"/>
      <c r="D500" s="2804"/>
      <c r="E500" s="2795">
        <f t="shared" si="319"/>
        <v>0</v>
      </c>
      <c r="F500" s="2796"/>
      <c r="G500" s="2797">
        <f t="shared" si="294"/>
        <v>0</v>
      </c>
      <c r="H500" s="2798">
        <f t="shared" si="295"/>
        <v>0</v>
      </c>
      <c r="I500" s="2803"/>
      <c r="J500" s="2816"/>
      <c r="K500" s="2803"/>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3"/>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c r="A501" s="2792"/>
      <c r="B501" s="2801"/>
      <c r="C501" s="2800"/>
      <c r="D501" s="2804"/>
      <c r="E501" s="2795">
        <f t="shared" si="319"/>
        <v>0</v>
      </c>
      <c r="F501" s="2796"/>
      <c r="G501" s="2797">
        <f t="shared" si="294"/>
        <v>0</v>
      </c>
      <c r="H501" s="2798">
        <f t="shared" si="295"/>
        <v>0</v>
      </c>
      <c r="I501" s="2803"/>
      <c r="J501" s="2816"/>
      <c r="K501" s="2803"/>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3"/>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c r="A502" s="2792"/>
      <c r="B502" s="2801"/>
      <c r="C502" s="2800"/>
      <c r="D502" s="2804"/>
      <c r="E502" s="2795">
        <f t="shared" si="319"/>
        <v>0</v>
      </c>
      <c r="F502" s="2796"/>
      <c r="G502" s="2797">
        <f t="shared" si="294"/>
        <v>0</v>
      </c>
      <c r="H502" s="2798">
        <f t="shared" si="295"/>
        <v>0</v>
      </c>
      <c r="I502" s="2803"/>
      <c r="J502" s="2816"/>
      <c r="K502" s="2803"/>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3"/>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c r="A503" s="2792"/>
      <c r="B503" s="2801"/>
      <c r="C503" s="2800"/>
      <c r="D503" s="2804"/>
      <c r="E503" s="2795">
        <f t="shared" si="319"/>
        <v>0</v>
      </c>
      <c r="F503" s="2796"/>
      <c r="G503" s="2797">
        <f t="shared" si="294"/>
        <v>0</v>
      </c>
      <c r="H503" s="2798">
        <f t="shared" si="295"/>
        <v>0</v>
      </c>
      <c r="I503" s="2803"/>
      <c r="J503" s="2816"/>
      <c r="K503" s="2803"/>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3"/>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c r="A504" s="2792"/>
      <c r="B504" s="2801"/>
      <c r="C504" s="2800"/>
      <c r="D504" s="2804"/>
      <c r="E504" s="2795">
        <f t="shared" si="319"/>
        <v>0</v>
      </c>
      <c r="F504" s="2796"/>
      <c r="G504" s="2797">
        <f t="shared" si="294"/>
        <v>0</v>
      </c>
      <c r="H504" s="2798">
        <f t="shared" si="295"/>
        <v>0</v>
      </c>
      <c r="I504" s="2803"/>
      <c r="J504" s="2816"/>
      <c r="K504" s="2803"/>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3"/>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c r="A505" s="2792"/>
      <c r="B505" s="2801"/>
      <c r="C505" s="2800"/>
      <c r="D505" s="2804"/>
      <c r="E505" s="2795">
        <f t="shared" ref="E505:E536" si="323">IF($C$3="是",ROUND($A$3*G505/$B$3,2),ROUND($A$3*(G505-AT505)/$B$3,2))</f>
        <v>0</v>
      </c>
      <c r="F505" s="2796"/>
      <c r="G505" s="2797">
        <f t="shared" si="294"/>
        <v>0</v>
      </c>
      <c r="H505" s="2798">
        <f t="shared" si="295"/>
        <v>0</v>
      </c>
      <c r="I505" s="2803"/>
      <c r="J505" s="2816"/>
      <c r="K505" s="2803"/>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3"/>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c r="A506" s="2792"/>
      <c r="B506" s="2801"/>
      <c r="C506" s="2800"/>
      <c r="D506" s="2804"/>
      <c r="E506" s="2795">
        <f t="shared" si="323"/>
        <v>0</v>
      </c>
      <c r="F506" s="2796"/>
      <c r="G506" s="2797">
        <f t="shared" si="294"/>
        <v>0</v>
      </c>
      <c r="H506" s="2798">
        <f t="shared" si="295"/>
        <v>0</v>
      </c>
      <c r="I506" s="2803"/>
      <c r="J506" s="2816"/>
      <c r="K506" s="2803"/>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3"/>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c r="A507" s="2792"/>
      <c r="B507" s="2801"/>
      <c r="C507" s="2800"/>
      <c r="D507" s="2804"/>
      <c r="E507" s="2795">
        <f t="shared" si="323"/>
        <v>0</v>
      </c>
      <c r="F507" s="2796"/>
      <c r="G507" s="2797">
        <f t="shared" si="294"/>
        <v>0</v>
      </c>
      <c r="H507" s="2798">
        <f t="shared" si="295"/>
        <v>0</v>
      </c>
      <c r="I507" s="2803"/>
      <c r="J507" s="2816"/>
      <c r="K507" s="2803"/>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c r="A508" s="2792"/>
      <c r="B508" s="2801"/>
      <c r="C508" s="2800"/>
      <c r="D508" s="2804"/>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c r="A509" s="2792"/>
      <c r="B509" s="2801"/>
      <c r="C509" s="2800"/>
      <c r="D509" s="2804"/>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c r="A510" s="2792"/>
      <c r="B510" s="2801"/>
      <c r="C510" s="2800"/>
      <c r="D510" s="2804"/>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c r="A511" s="2792"/>
      <c r="B511" s="2801"/>
      <c r="C511" s="2800"/>
      <c r="D511" s="2804"/>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c r="A512" s="2792"/>
      <c r="B512" s="2801"/>
      <c r="C512" s="2800"/>
      <c r="D512" s="2804"/>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c r="A513" s="2792"/>
      <c r="B513" s="2801"/>
      <c r="C513" s="2800"/>
      <c r="D513" s="2804"/>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c r="A514" s="2792"/>
      <c r="B514" s="2801"/>
      <c r="C514" s="2800"/>
      <c r="D514" s="2804"/>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c r="A515" s="2792"/>
      <c r="B515" s="2802"/>
      <c r="C515" s="2803"/>
      <c r="D515" s="2804"/>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6" type="noConversion"/>
  <dataValidations disablePrompts="1"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6" customWidth="1"/>
    <col min="2" max="2" width="10.625" style="2756" customWidth="1"/>
    <col min="3" max="3" width="15.75" style="2756" customWidth="1"/>
    <col min="4" max="7" width="9.5" style="2756" customWidth="1"/>
    <col min="8" max="13" width="9.125" style="2756" customWidth="1"/>
    <col min="14" max="16384" width="9" style="2756"/>
  </cols>
  <sheetData>
    <row r="1" spans="1:13" ht="14.25">
      <c r="A1" s="3254" t="s">
        <v>503</v>
      </c>
      <c r="B1" s="3254" t="s">
        <v>504</v>
      </c>
      <c r="C1" s="3254" t="s">
        <v>425</v>
      </c>
      <c r="D1" s="3253" t="s">
        <v>505</v>
      </c>
      <c r="E1" s="3253" t="s">
        <v>385</v>
      </c>
      <c r="F1" s="3253"/>
      <c r="G1" s="3253"/>
      <c r="H1" s="3253"/>
      <c r="I1" s="3253"/>
      <c r="J1" s="3253"/>
      <c r="K1" s="3253"/>
      <c r="L1" s="3253"/>
      <c r="M1" s="3253"/>
    </row>
    <row r="2" spans="1:13" ht="27" customHeight="1">
      <c r="A2" s="3254"/>
      <c r="B2" s="3254"/>
      <c r="C2" s="3254"/>
      <c r="D2" s="3253"/>
      <c r="E2" s="3253" t="s">
        <v>506</v>
      </c>
      <c r="F2" s="3253" t="s">
        <v>507</v>
      </c>
      <c r="G2" s="3253"/>
      <c r="H2" s="3253"/>
      <c r="I2" s="3253"/>
      <c r="J2" s="3253" t="s">
        <v>508</v>
      </c>
      <c r="K2" s="3253"/>
      <c r="L2" s="3253"/>
      <c r="M2" s="3253"/>
    </row>
    <row r="3" spans="1:13" ht="28.5">
      <c r="A3" s="3254"/>
      <c r="B3" s="3254"/>
      <c r="C3" s="3254"/>
      <c r="D3" s="3253"/>
      <c r="E3" s="3253"/>
      <c r="F3" s="2758" t="s">
        <v>509</v>
      </c>
      <c r="G3" s="2758" t="s">
        <v>510</v>
      </c>
      <c r="H3" s="2758" t="s">
        <v>511</v>
      </c>
      <c r="I3" s="2758" t="s">
        <v>379</v>
      </c>
      <c r="J3" s="2758" t="s">
        <v>509</v>
      </c>
      <c r="K3" s="2758" t="s">
        <v>512</v>
      </c>
      <c r="L3" s="2758" t="s">
        <v>513</v>
      </c>
      <c r="M3" s="2758" t="s">
        <v>514</v>
      </c>
    </row>
    <row r="4" spans="1:13" ht="42.75">
      <c r="A4" s="2758" t="s">
        <v>515</v>
      </c>
      <c r="B4" s="2758" t="s">
        <v>516</v>
      </c>
      <c r="C4" s="2758" t="s">
        <v>517</v>
      </c>
      <c r="D4" s="2757">
        <v>3807.94</v>
      </c>
      <c r="E4" s="2757">
        <v>20666.91</v>
      </c>
      <c r="F4" s="2757">
        <v>19673</v>
      </c>
      <c r="G4" s="2757">
        <v>0</v>
      </c>
      <c r="H4" s="2757">
        <v>19673</v>
      </c>
      <c r="I4" s="2757">
        <v>0</v>
      </c>
      <c r="J4" s="2757">
        <v>993.91</v>
      </c>
      <c r="K4" s="2757">
        <v>0</v>
      </c>
      <c r="L4" s="2757">
        <v>0</v>
      </c>
      <c r="M4" s="2757">
        <v>993.91</v>
      </c>
    </row>
    <row r="5" spans="1:13" ht="42.75">
      <c r="A5" s="2758" t="s">
        <v>515</v>
      </c>
      <c r="B5" s="2758" t="s">
        <v>518</v>
      </c>
      <c r="C5" s="2758" t="s">
        <v>519</v>
      </c>
      <c r="D5" s="2757">
        <v>3667.86</v>
      </c>
      <c r="E5" s="2757">
        <v>19906.61</v>
      </c>
      <c r="F5" s="2757">
        <v>18792.87</v>
      </c>
      <c r="G5" s="2757">
        <v>18792.87</v>
      </c>
      <c r="H5" s="2757">
        <v>0</v>
      </c>
      <c r="I5" s="2757">
        <v>0</v>
      </c>
      <c r="J5" s="2757">
        <v>1113.74</v>
      </c>
      <c r="K5" s="2757">
        <v>55.59</v>
      </c>
      <c r="L5" s="2757">
        <v>0</v>
      </c>
      <c r="M5" s="2757">
        <v>1058.1500000000001</v>
      </c>
    </row>
    <row r="6" spans="1:13" ht="42.75">
      <c r="A6" s="2758" t="s">
        <v>515</v>
      </c>
      <c r="B6" s="2758" t="s">
        <v>518</v>
      </c>
      <c r="C6" s="2758" t="s">
        <v>520</v>
      </c>
      <c r="D6" s="2757">
        <v>2067.52</v>
      </c>
      <c r="E6" s="2757">
        <v>11221.06</v>
      </c>
      <c r="F6" s="2757">
        <v>9934.1299999999992</v>
      </c>
      <c r="G6" s="2757">
        <v>9934.1299999999992</v>
      </c>
      <c r="H6" s="2757">
        <v>0</v>
      </c>
      <c r="I6" s="2757">
        <v>0</v>
      </c>
      <c r="J6" s="2757">
        <v>1286.93</v>
      </c>
      <c r="K6" s="2757">
        <v>0</v>
      </c>
      <c r="L6" s="2757">
        <v>0</v>
      </c>
      <c r="M6" s="2757">
        <v>1286.93</v>
      </c>
    </row>
    <row r="7" spans="1:13" ht="42.75">
      <c r="A7" s="2758" t="s">
        <v>515</v>
      </c>
      <c r="B7" s="2758" t="s">
        <v>518</v>
      </c>
      <c r="C7" s="2758" t="s">
        <v>521</v>
      </c>
      <c r="D7" s="2757">
        <v>8.18</v>
      </c>
      <c r="E7" s="2757">
        <v>44.41</v>
      </c>
      <c r="F7" s="2757">
        <v>0</v>
      </c>
      <c r="G7" s="2757">
        <v>0</v>
      </c>
      <c r="H7" s="2757">
        <v>0</v>
      </c>
      <c r="I7" s="2757">
        <v>0</v>
      </c>
      <c r="J7" s="2757">
        <v>44.41</v>
      </c>
      <c r="K7" s="2757">
        <v>44.41</v>
      </c>
      <c r="L7" s="2757">
        <v>0</v>
      </c>
      <c r="M7" s="2757">
        <v>0</v>
      </c>
    </row>
    <row r="8" spans="1:13" ht="42.75">
      <c r="A8" s="2758" t="s">
        <v>515</v>
      </c>
      <c r="B8" s="2758" t="s">
        <v>518</v>
      </c>
      <c r="C8" s="2758" t="s">
        <v>379</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53" t="s">
        <v>522</v>
      </c>
      <c r="B9" s="3253"/>
      <c r="C9" s="3253"/>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U22"/>
  <sheetViews>
    <sheetView topLeftCell="F1" workbookViewId="0">
      <selection activeCell="H3" sqref="H3:N14"/>
    </sheetView>
  </sheetViews>
  <sheetFormatPr defaultRowHeight="13.5"/>
  <cols>
    <col min="4" max="4" width="15.75" customWidth="1"/>
    <col min="5" max="5" width="0" hidden="1" customWidth="1"/>
    <col min="8" max="8" width="5" customWidth="1"/>
    <col min="9" max="9" width="9.25" customWidth="1"/>
    <col min="10" max="10" width="12" customWidth="1"/>
    <col min="11" max="11" width="9.5" bestFit="1" customWidth="1"/>
    <col min="12" max="12" width="11" bestFit="1" customWidth="1"/>
    <col min="13" max="13" width="11.875" customWidth="1"/>
    <col min="14" max="14" width="13.25" customWidth="1"/>
  </cols>
  <sheetData>
    <row r="3" spans="5:21" ht="27">
      <c r="H3" s="3175" t="s">
        <v>2491</v>
      </c>
      <c r="I3" s="3175" t="s">
        <v>2489</v>
      </c>
      <c r="J3" s="3175" t="s">
        <v>2483</v>
      </c>
      <c r="K3" s="3175" t="s">
        <v>2482</v>
      </c>
      <c r="L3" s="3487" t="s">
        <v>2480</v>
      </c>
      <c r="M3" s="3487"/>
      <c r="N3" s="3176" t="s">
        <v>2481</v>
      </c>
      <c r="O3" s="3484"/>
    </row>
    <row r="4" spans="5:21">
      <c r="H4" s="3177">
        <v>1</v>
      </c>
      <c r="I4" s="3488" t="s">
        <v>2490</v>
      </c>
      <c r="J4" s="3487" t="s">
        <v>2488</v>
      </c>
      <c r="K4" s="3489">
        <v>40000.22</v>
      </c>
      <c r="L4" s="3487" t="s">
        <v>2484</v>
      </c>
      <c r="M4" s="3178" t="s">
        <v>372</v>
      </c>
      <c r="N4" s="3178">
        <v>85247.46</v>
      </c>
      <c r="O4" s="3484"/>
    </row>
    <row r="5" spans="5:21">
      <c r="H5" s="3177">
        <v>2</v>
      </c>
      <c r="I5" s="3488"/>
      <c r="J5" s="3487"/>
      <c r="K5" s="3489"/>
      <c r="L5" s="3487"/>
      <c r="M5" s="3178" t="s">
        <v>373</v>
      </c>
      <c r="N5" s="3178">
        <v>9008.43</v>
      </c>
      <c r="O5" s="3484"/>
    </row>
    <row r="6" spans="5:21">
      <c r="H6" s="3177">
        <v>3</v>
      </c>
      <c r="I6" s="3488"/>
      <c r="J6" s="3487"/>
      <c r="K6" s="3489"/>
      <c r="L6" s="3487"/>
      <c r="M6" s="3178" t="s">
        <v>485</v>
      </c>
      <c r="N6" s="3178">
        <v>1000.24</v>
      </c>
      <c r="O6" s="3484"/>
    </row>
    <row r="7" spans="5:21" ht="27">
      <c r="H7" s="3177">
        <v>4</v>
      </c>
      <c r="I7" s="3488"/>
      <c r="J7" s="3487"/>
      <c r="K7" s="3489"/>
      <c r="L7" s="3487"/>
      <c r="M7" s="3176" t="s">
        <v>2510</v>
      </c>
      <c r="N7" s="3178">
        <v>3763.58</v>
      </c>
      <c r="O7" s="3485"/>
    </row>
    <row r="8" spans="5:21">
      <c r="H8" s="3177">
        <v>5</v>
      </c>
      <c r="I8" s="3488"/>
      <c r="J8" s="3487"/>
      <c r="K8" s="3489"/>
      <c r="L8" s="3487"/>
      <c r="M8" s="3176" t="s">
        <v>2509</v>
      </c>
      <c r="N8" s="3178">
        <v>971.2299999999999</v>
      </c>
      <c r="O8" s="3486"/>
    </row>
    <row r="9" spans="5:21">
      <c r="H9" s="3177">
        <v>6</v>
      </c>
      <c r="I9" s="3488"/>
      <c r="J9" s="3487"/>
      <c r="K9" s="3489"/>
      <c r="L9" s="3490" t="s">
        <v>2485</v>
      </c>
      <c r="M9" s="3490"/>
      <c r="N9" s="3178">
        <f>SUM(N4:N8)</f>
        <v>99990.940000000017</v>
      </c>
      <c r="O9" s="3484"/>
    </row>
    <row r="10" spans="5:21">
      <c r="H10" s="3177">
        <v>7</v>
      </c>
      <c r="I10" s="3488"/>
      <c r="J10" s="3487"/>
      <c r="K10" s="3489"/>
      <c r="L10" s="3487" t="s">
        <v>2486</v>
      </c>
      <c r="M10" s="3178" t="s">
        <v>498</v>
      </c>
      <c r="N10" s="3178">
        <v>6911.06</v>
      </c>
      <c r="O10" s="3484"/>
    </row>
    <row r="11" spans="5:21">
      <c r="H11" s="3177">
        <v>8</v>
      </c>
      <c r="I11" s="3488"/>
      <c r="J11" s="3487"/>
      <c r="K11" s="3489"/>
      <c r="L11" s="3487"/>
      <c r="M11" s="3176" t="s">
        <v>2509</v>
      </c>
      <c r="N11" s="3178">
        <v>2235.4299999999998</v>
      </c>
      <c r="O11" s="3483"/>
      <c r="U11">
        <v>1727.02</v>
      </c>
    </row>
    <row r="12" spans="5:21">
      <c r="H12" s="3177">
        <v>9</v>
      </c>
      <c r="I12" s="3488"/>
      <c r="J12" s="3487"/>
      <c r="K12" s="3489"/>
      <c r="L12" s="3487"/>
      <c r="M12" s="3176" t="s">
        <v>2508</v>
      </c>
      <c r="N12" s="3178">
        <v>421.14</v>
      </c>
      <c r="O12" s="3484"/>
    </row>
    <row r="13" spans="5:21">
      <c r="E13">
        <v>0</v>
      </c>
      <c r="H13" s="3177">
        <v>10</v>
      </c>
      <c r="I13" s="3488"/>
      <c r="J13" s="3487"/>
      <c r="K13" s="3489"/>
      <c r="L13" s="3490" t="s">
        <v>2485</v>
      </c>
      <c r="M13" s="3490"/>
      <c r="N13" s="3178">
        <f>SUM(N10:N12)</f>
        <v>9567.6299999999992</v>
      </c>
      <c r="O13" s="3484"/>
    </row>
    <row r="14" spans="5:21">
      <c r="E14">
        <v>0</v>
      </c>
      <c r="H14" s="3175" t="s">
        <v>2487</v>
      </c>
      <c r="I14" s="3487"/>
      <c r="J14" s="3487"/>
      <c r="K14" s="3177">
        <v>40000.22</v>
      </c>
      <c r="L14" s="3489"/>
      <c r="M14" s="3489"/>
      <c r="N14" s="3178">
        <f>N13+N9</f>
        <v>109558.57000000002</v>
      </c>
      <c r="O14" s="3484"/>
    </row>
    <row r="15" spans="5:21">
      <c r="E15">
        <v>0</v>
      </c>
    </row>
    <row r="16" spans="5:21">
      <c r="E16">
        <v>0</v>
      </c>
    </row>
    <row r="17" spans="5:5">
      <c r="E17">
        <v>0</v>
      </c>
    </row>
    <row r="18" spans="5:5">
      <c r="E18">
        <v>0</v>
      </c>
    </row>
    <row r="19" spans="5:5">
      <c r="E19">
        <v>0</v>
      </c>
    </row>
    <row r="20" spans="5:5">
      <c r="E20">
        <v>0</v>
      </c>
    </row>
    <row r="21" spans="5:5">
      <c r="E21">
        <v>0</v>
      </c>
    </row>
    <row r="22" spans="5:5">
      <c r="E22">
        <v>0</v>
      </c>
    </row>
  </sheetData>
  <mergeCells count="10">
    <mergeCell ref="K4:K13"/>
    <mergeCell ref="J4:J13"/>
    <mergeCell ref="I4:I13"/>
    <mergeCell ref="L3:M3"/>
    <mergeCell ref="I14:J14"/>
    <mergeCell ref="L4:L8"/>
    <mergeCell ref="L10:L12"/>
    <mergeCell ref="L9:M9"/>
    <mergeCell ref="L13:M13"/>
    <mergeCell ref="L14:M14"/>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7" t="s">
        <v>523</v>
      </c>
      <c r="B1" s="2669"/>
      <c r="C1" s="2669"/>
      <c r="D1" s="2669"/>
      <c r="E1" s="2669"/>
      <c r="F1" s="2669"/>
      <c r="G1" s="2669"/>
      <c r="H1" s="2669"/>
      <c r="I1" s="2669"/>
      <c r="J1" s="2669"/>
      <c r="K1" s="2669"/>
      <c r="L1" s="2669"/>
    </row>
    <row r="2" spans="1:16" ht="15">
      <c r="A2" s="3264" t="s">
        <v>524</v>
      </c>
      <c r="B2" s="3264"/>
      <c r="C2" s="3264"/>
      <c r="D2" s="1962" t="s">
        <v>525</v>
      </c>
      <c r="E2" s="2670" t="s">
        <v>526</v>
      </c>
      <c r="F2" s="2669"/>
      <c r="G2" s="2671"/>
      <c r="H2" s="2672"/>
      <c r="I2" s="2730" t="s">
        <v>527</v>
      </c>
      <c r="J2" s="2669"/>
      <c r="K2" s="2669"/>
      <c r="L2" s="2669"/>
    </row>
    <row r="3" spans="1:16" ht="15">
      <c r="A3" s="3265" t="s">
        <v>528</v>
      </c>
      <c r="B3" s="3265"/>
      <c r="C3" s="3265"/>
      <c r="D3" s="2673">
        <f>'数据-基础表'!AY6</f>
        <v>40000.22</v>
      </c>
      <c r="E3" s="2673">
        <f>'数据-基础表'!AZ5</f>
        <v>109558.57000000002</v>
      </c>
      <c r="F3" s="2669"/>
      <c r="G3" s="2095" t="s">
        <v>529</v>
      </c>
      <c r="H3" s="2091" t="s">
        <v>530</v>
      </c>
      <c r="I3" s="464">
        <f>ROUND('数据-基础表'!B3/'数据-基础表'!A3,2)</f>
        <v>2.74</v>
      </c>
      <c r="J3" s="2669"/>
      <c r="K3" s="2669"/>
      <c r="L3" s="2669"/>
    </row>
    <row r="4" spans="1:16" ht="15">
      <c r="A4" s="3266"/>
      <c r="B4" s="3267"/>
      <c r="C4" s="3268"/>
      <c r="D4" s="2674" t="s">
        <v>525</v>
      </c>
      <c r="E4" s="2675" t="s">
        <v>526</v>
      </c>
      <c r="F4" s="2669"/>
      <c r="G4" s="2676"/>
      <c r="H4" s="2091" t="s">
        <v>531</v>
      </c>
      <c r="I4" s="464">
        <f>ROUND(SUMIF('数据-基础表'!I9:AS9,"地上",'数据-基础表'!I5:AS5)/'数据-基础表'!A3,2)</f>
        <v>2.5</v>
      </c>
      <c r="J4" s="2669"/>
      <c r="K4" s="2669"/>
      <c r="L4" s="2669"/>
    </row>
    <row r="5" spans="1:16">
      <c r="A5" s="2677" t="s">
        <v>532</v>
      </c>
      <c r="B5" s="3269" t="s">
        <v>245</v>
      </c>
      <c r="C5" s="3269"/>
      <c r="D5" s="2678">
        <f>ROUND($D$3*E5/$E$3,2)</f>
        <v>31124.15</v>
      </c>
      <c r="E5" s="2679">
        <f>SUMIF('数据-基础表'!$11:$11,"住宅",'数据-基础表'!$5:$5)</f>
        <v>85247.46</v>
      </c>
      <c r="F5" s="2669"/>
      <c r="G5" s="2095" t="s">
        <v>533</v>
      </c>
      <c r="H5" s="2091" t="s">
        <v>530</v>
      </c>
      <c r="I5" s="464">
        <f>ROUND(E31/D31,2)</f>
        <v>2.74</v>
      </c>
      <c r="J5" s="2669"/>
      <c r="K5" s="2669"/>
      <c r="L5" s="2669"/>
    </row>
    <row r="6" spans="1:16">
      <c r="A6" s="2680"/>
      <c r="B6" s="3269" t="s">
        <v>534</v>
      </c>
      <c r="C6" s="3269"/>
      <c r="D6" s="2678">
        <f>ROUND($D$3*E6/$E$3,2)</f>
        <v>8876.07</v>
      </c>
      <c r="E6" s="2679">
        <f>E3-E5</f>
        <v>24311.110000000015</v>
      </c>
      <c r="F6" s="2669"/>
      <c r="G6" s="2676"/>
      <c r="H6" s="2091" t="s">
        <v>531</v>
      </c>
      <c r="I6" s="464">
        <f>ROUND(F31/D31,2)</f>
        <v>2.5</v>
      </c>
      <c r="J6" s="2669"/>
      <c r="K6" s="2669"/>
      <c r="L6" s="2669"/>
    </row>
    <row r="7" spans="1:16" ht="15">
      <c r="A7" s="3255"/>
      <c r="B7" s="3256"/>
      <c r="C7" s="3257"/>
      <c r="D7" s="2674" t="s">
        <v>525</v>
      </c>
      <c r="E7" s="2681" t="s">
        <v>535</v>
      </c>
      <c r="F7" s="2669"/>
      <c r="G7" s="2682" t="s">
        <v>536</v>
      </c>
      <c r="H7" s="2683"/>
      <c r="I7" s="2731">
        <v>4</v>
      </c>
      <c r="J7" s="2669"/>
      <c r="K7" s="2669"/>
      <c r="L7" s="2669"/>
    </row>
    <row r="8" spans="1:16">
      <c r="A8" s="2677" t="s">
        <v>537</v>
      </c>
      <c r="B8" s="2684" t="s">
        <v>538</v>
      </c>
      <c r="C8" s="2678" t="s">
        <v>539</v>
      </c>
      <c r="D8" s="2678">
        <f t="shared" ref="D8:D15" si="0">ROUND($D$3*E8/$E$3,2)</f>
        <v>34778.35</v>
      </c>
      <c r="E8" s="2685">
        <f>SUMIF('数据-基础表'!BB10:BK10,"地上",'数据-基础表'!BB5:BK5)</f>
        <v>95256.13</v>
      </c>
      <c r="F8" s="2669"/>
      <c r="G8" s="2686"/>
      <c r="H8" s="2686"/>
      <c r="I8" s="2669"/>
      <c r="J8" s="2669"/>
      <c r="K8" s="2669"/>
      <c r="L8" s="2669"/>
    </row>
    <row r="9" spans="1:16">
      <c r="A9" s="2687"/>
      <c r="B9" s="2688"/>
      <c r="C9" s="2678" t="s">
        <v>540</v>
      </c>
      <c r="D9" s="2678">
        <f t="shared" si="0"/>
        <v>0</v>
      </c>
      <c r="E9" s="2689">
        <v>0</v>
      </c>
      <c r="F9" s="2669"/>
      <c r="G9" s="2686"/>
      <c r="H9" s="2686"/>
      <c r="I9" s="2669"/>
      <c r="J9" s="2669"/>
      <c r="K9" s="2669"/>
      <c r="L9" s="2669"/>
    </row>
    <row r="10" spans="1:16">
      <c r="A10" s="2687"/>
      <c r="B10" s="2688"/>
      <c r="C10" s="2678" t="s">
        <v>541</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542</v>
      </c>
      <c r="D11" s="2678">
        <f t="shared" si="0"/>
        <v>153.76</v>
      </c>
      <c r="E11" s="2685">
        <f>SUMPRODUCT(('数据-基础表'!BB10:BK10="地下")*('数据-基础表'!BB11:BK11="办公")*('数据-基础表'!BB5:BK5))+'数据-基础表'!AJ5</f>
        <v>421.14</v>
      </c>
      <c r="F11" s="2669"/>
      <c r="G11" s="2686"/>
      <c r="H11" s="2686"/>
      <c r="I11" s="2669"/>
      <c r="J11" s="2669"/>
      <c r="K11" s="2669"/>
      <c r="L11" s="2669"/>
    </row>
    <row r="12" spans="1:16">
      <c r="A12" s="2687"/>
      <c r="B12" s="2688"/>
      <c r="C12" s="2678" t="s">
        <v>543</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544</v>
      </c>
      <c r="D13" s="2678">
        <f t="shared" si="0"/>
        <v>2523.25</v>
      </c>
      <c r="E13" s="2685">
        <f>SUMPRODUCT(('数据-基础表'!BB10:BK10="地下")*('数据-基础表'!BB11:BK11="车库")*('数据-基础表'!BB5:BK5))</f>
        <v>6911.06</v>
      </c>
      <c r="F13" s="2669"/>
      <c r="G13" s="2686"/>
      <c r="H13" s="2686"/>
      <c r="I13" s="2669"/>
      <c r="J13" s="2669"/>
      <c r="K13" s="2669"/>
      <c r="L13" s="2669"/>
    </row>
    <row r="14" spans="1:16">
      <c r="A14" s="2687"/>
      <c r="B14" s="2688"/>
      <c r="C14" s="2678" t="s">
        <v>545</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546</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547</v>
      </c>
      <c r="D16" s="2684">
        <f>SUM(D8:D15)</f>
        <v>37455.360000000001</v>
      </c>
      <c r="E16" s="2691">
        <f>SUM(E8:E15)</f>
        <v>102588.33</v>
      </c>
      <c r="F16" s="2669"/>
      <c r="G16" s="2686"/>
      <c r="H16" s="2692" t="s">
        <v>548</v>
      </c>
      <c r="I16" s="2732"/>
      <c r="J16" s="2669"/>
      <c r="K16" s="3258" t="s">
        <v>549</v>
      </c>
      <c r="L16" s="3259"/>
      <c r="M16" s="3259"/>
      <c r="N16" s="3259"/>
      <c r="O16" s="3259"/>
      <c r="P16" s="3260"/>
    </row>
    <row r="17" spans="1:19" ht="15">
      <c r="A17" s="2635" t="s">
        <v>550</v>
      </c>
      <c r="B17" s="2693" t="s">
        <v>226</v>
      </c>
      <c r="C17" s="2694" t="s">
        <v>405</v>
      </c>
      <c r="D17" s="2674" t="s">
        <v>525</v>
      </c>
      <c r="E17" s="2695" t="s">
        <v>526</v>
      </c>
      <c r="F17" s="2696"/>
      <c r="G17" s="2697"/>
      <c r="H17" s="2698" t="s">
        <v>551</v>
      </c>
      <c r="I17" s="2733" t="s">
        <v>552</v>
      </c>
      <c r="J17" s="2669"/>
      <c r="K17" s="3261" t="s">
        <v>553</v>
      </c>
      <c r="L17" s="3262"/>
      <c r="M17" s="3263"/>
      <c r="N17" s="3261" t="s">
        <v>554</v>
      </c>
      <c r="O17" s="3262"/>
      <c r="P17" s="3263"/>
      <c r="R17" s="2752" t="s">
        <v>555</v>
      </c>
      <c r="S17" s="2079"/>
    </row>
    <row r="18" spans="1:19" ht="15">
      <c r="A18" s="2687"/>
      <c r="B18" s="2699"/>
      <c r="C18" s="2700"/>
      <c r="D18" s="1962"/>
      <c r="E18" s="2701" t="s">
        <v>556</v>
      </c>
      <c r="F18" s="2702" t="s">
        <v>244</v>
      </c>
      <c r="G18" s="2703" t="s">
        <v>268</v>
      </c>
      <c r="H18" s="2642" t="s">
        <v>557</v>
      </c>
      <c r="I18" s="2734" t="s">
        <v>558</v>
      </c>
      <c r="J18" s="2669"/>
      <c r="K18" s="2735" t="s">
        <v>559</v>
      </c>
      <c r="L18" s="2736" t="s">
        <v>560</v>
      </c>
      <c r="M18" s="2737" t="s">
        <v>561</v>
      </c>
      <c r="N18" s="2735" t="s">
        <v>559</v>
      </c>
      <c r="O18" s="2736" t="s">
        <v>560</v>
      </c>
      <c r="P18" s="2737" t="s">
        <v>561</v>
      </c>
      <c r="R18" s="2753" t="s">
        <v>388</v>
      </c>
      <c r="S18" s="2753" t="s">
        <v>385</v>
      </c>
    </row>
    <row r="19" spans="1:19">
      <c r="A19" s="2704"/>
      <c r="B19" s="2684" t="s">
        <v>247</v>
      </c>
      <c r="C19" s="2705" t="s">
        <v>372</v>
      </c>
      <c r="D19" s="2678">
        <f t="shared" ref="D19:D26" si="1">ROUND($D$3*E19/$E$3,2)</f>
        <v>31124.15</v>
      </c>
      <c r="E19" s="2706">
        <f t="shared" ref="E19:E26" si="2">SUM(F19:G19)</f>
        <v>85247.46</v>
      </c>
      <c r="F19" s="2707">
        <f>'数据-基础表'!I13</f>
        <v>85247.46</v>
      </c>
      <c r="G19" s="2708"/>
      <c r="H19" s="2625">
        <f>ROUND($D$3*I19/$E$3,2)</f>
        <v>2504.73</v>
      </c>
      <c r="I19" s="2685">
        <f>IF($I$17="自定义",P19,M19)</f>
        <v>6860.33</v>
      </c>
      <c r="J19" s="2669"/>
      <c r="K19" s="2738">
        <f t="shared" ref="K19:K26" si="3">ROUND(E$28*E19/E$27,2)</f>
        <v>2675.61</v>
      </c>
      <c r="L19" s="2091">
        <f t="shared" ref="L19:L26" si="4">ROUND(IF(COUNTIF(C19,"*住宅*")&gt;0,E$29*E19/E$32,0),2)</f>
        <v>4184.72</v>
      </c>
      <c r="M19" s="2739">
        <f>K19+L19</f>
        <v>6860.33</v>
      </c>
      <c r="N19" s="2740"/>
      <c r="O19" s="2741"/>
      <c r="P19" s="2742">
        <f>N19+O19</f>
        <v>0</v>
      </c>
      <c r="R19" s="2091">
        <f t="shared" ref="R19:S26" si="5">D19+H19</f>
        <v>33628.880000000005</v>
      </c>
      <c r="S19" s="2754">
        <f t="shared" si="5"/>
        <v>92107.790000000008</v>
      </c>
    </row>
    <row r="20" spans="1:19">
      <c r="A20" s="2709"/>
      <c r="B20" s="2684" t="s">
        <v>247</v>
      </c>
      <c r="C20" s="2705" t="s">
        <v>373</v>
      </c>
      <c r="D20" s="2678">
        <f t="shared" si="1"/>
        <v>3289.01</v>
      </c>
      <c r="E20" s="2706">
        <f t="shared" si="2"/>
        <v>9008.43</v>
      </c>
      <c r="F20" s="2707">
        <f>'数据-基础表'!H14</f>
        <v>9008.43</v>
      </c>
      <c r="G20" s="2708"/>
      <c r="H20" s="2625">
        <f t="shared" ref="H20:H26" si="6">ROUND($D$3*I20/$E$3,2)</f>
        <v>103.23</v>
      </c>
      <c r="I20" s="2685">
        <f t="shared" ref="I20:I26" si="7">IF($I$17="自定义",P20,M20)</f>
        <v>282.74</v>
      </c>
      <c r="J20" s="2669"/>
      <c r="K20" s="2738">
        <f t="shared" si="3"/>
        <v>282.74</v>
      </c>
      <c r="L20" s="2091">
        <f t="shared" si="4"/>
        <v>0</v>
      </c>
      <c r="M20" s="2739">
        <f t="shared" ref="M20:M26" si="8">K20+L20</f>
        <v>282.74</v>
      </c>
      <c r="N20" s="2740"/>
      <c r="O20" s="2741"/>
      <c r="P20" s="2742">
        <f t="shared" ref="P20:P26" si="9">N20+O20</f>
        <v>0</v>
      </c>
      <c r="R20" s="2091">
        <f t="shared" si="5"/>
        <v>3392.2400000000002</v>
      </c>
      <c r="S20" s="2754">
        <f t="shared" si="5"/>
        <v>9291.17</v>
      </c>
    </row>
    <row r="21" spans="1:19">
      <c r="A21" s="2709"/>
      <c r="B21" s="2684" t="s">
        <v>247</v>
      </c>
      <c r="C21" s="2705" t="s">
        <v>2473</v>
      </c>
      <c r="D21" s="2678">
        <f t="shared" si="1"/>
        <v>365.19</v>
      </c>
      <c r="E21" s="2706">
        <f t="shared" si="2"/>
        <v>1000.24</v>
      </c>
      <c r="F21" s="2707">
        <f>'数据-基础表'!H15</f>
        <v>1000.24</v>
      </c>
      <c r="G21" s="3169"/>
      <c r="H21" s="2625">
        <f t="shared" si="6"/>
        <v>11.46</v>
      </c>
      <c r="I21" s="2685">
        <f t="shared" si="7"/>
        <v>31.39</v>
      </c>
      <c r="J21" s="2669"/>
      <c r="K21" s="2738">
        <f t="shared" si="3"/>
        <v>31.39</v>
      </c>
      <c r="L21" s="2091">
        <f t="shared" si="4"/>
        <v>0</v>
      </c>
      <c r="M21" s="2739">
        <f t="shared" si="8"/>
        <v>31.39</v>
      </c>
      <c r="N21" s="2740"/>
      <c r="O21" s="2741"/>
      <c r="P21" s="2742">
        <f t="shared" si="9"/>
        <v>0</v>
      </c>
      <c r="R21" s="2091">
        <f t="shared" si="5"/>
        <v>376.65</v>
      </c>
      <c r="S21" s="2754">
        <f t="shared" si="5"/>
        <v>1031.6300000000001</v>
      </c>
    </row>
    <row r="22" spans="1:19">
      <c r="A22" s="2709"/>
      <c r="B22" s="2684" t="s">
        <v>247</v>
      </c>
      <c r="C22" s="2710" t="s">
        <v>2474</v>
      </c>
      <c r="D22" s="2678">
        <f t="shared" si="1"/>
        <v>2523.25</v>
      </c>
      <c r="E22" s="2706">
        <f t="shared" si="2"/>
        <v>6911.06</v>
      </c>
      <c r="F22" s="2711"/>
      <c r="G22" s="3173">
        <f>'数据-基础表'!M28</f>
        <v>6911.06</v>
      </c>
      <c r="H22" s="2625">
        <f t="shared" si="6"/>
        <v>79.19</v>
      </c>
      <c r="I22" s="2685">
        <f t="shared" si="7"/>
        <v>216.91</v>
      </c>
      <c r="J22" s="2669"/>
      <c r="K22" s="2738">
        <f t="shared" si="3"/>
        <v>216.91</v>
      </c>
      <c r="L22" s="2091">
        <f t="shared" si="4"/>
        <v>0</v>
      </c>
      <c r="M22" s="2739">
        <f t="shared" si="8"/>
        <v>216.91</v>
      </c>
      <c r="N22" s="2740"/>
      <c r="O22" s="2741"/>
      <c r="P22" s="2742">
        <f t="shared" si="9"/>
        <v>0</v>
      </c>
      <c r="R22" s="2091">
        <f t="shared" si="5"/>
        <v>2602.44</v>
      </c>
      <c r="S22" s="2754">
        <f t="shared" si="5"/>
        <v>7127.97</v>
      </c>
    </row>
    <row r="23" spans="1:19">
      <c r="A23" s="2709"/>
      <c r="B23" s="2684" t="s">
        <v>247</v>
      </c>
      <c r="C23" s="2713"/>
      <c r="D23" s="2678">
        <f t="shared" si="1"/>
        <v>0</v>
      </c>
      <c r="E23" s="2706">
        <f t="shared" si="2"/>
        <v>0</v>
      </c>
      <c r="F23" s="2711"/>
      <c r="G23" s="2712"/>
      <c r="H23" s="2625">
        <f t="shared" si="6"/>
        <v>0</v>
      </c>
      <c r="I23" s="2685">
        <f t="shared" si="7"/>
        <v>0</v>
      </c>
      <c r="J23" s="2669"/>
      <c r="K23" s="2738">
        <f t="shared" si="3"/>
        <v>0</v>
      </c>
      <c r="L23" s="2091">
        <f t="shared" si="4"/>
        <v>0</v>
      </c>
      <c r="M23" s="2739">
        <f t="shared" si="8"/>
        <v>0</v>
      </c>
      <c r="N23" s="2740"/>
      <c r="O23" s="2741"/>
      <c r="P23" s="2742">
        <f t="shared" si="9"/>
        <v>0</v>
      </c>
      <c r="R23" s="2091">
        <f t="shared" si="5"/>
        <v>0</v>
      </c>
      <c r="S23" s="2754">
        <f t="shared" si="5"/>
        <v>0</v>
      </c>
    </row>
    <row r="24" spans="1:19">
      <c r="A24" s="2709"/>
      <c r="B24" s="2684" t="s">
        <v>247</v>
      </c>
      <c r="C24" s="2713"/>
      <c r="D24" s="2678">
        <f t="shared" si="1"/>
        <v>0</v>
      </c>
      <c r="E24" s="2706">
        <f t="shared" si="2"/>
        <v>0</v>
      </c>
      <c r="F24" s="2711"/>
      <c r="G24" s="2712"/>
      <c r="H24" s="2625">
        <f t="shared" si="6"/>
        <v>0</v>
      </c>
      <c r="I24" s="2685">
        <f t="shared" si="7"/>
        <v>0</v>
      </c>
      <c r="J24" s="2669"/>
      <c r="K24" s="2738">
        <f t="shared" si="3"/>
        <v>0</v>
      </c>
      <c r="L24" s="2091">
        <f t="shared" si="4"/>
        <v>0</v>
      </c>
      <c r="M24" s="2739">
        <f t="shared" si="8"/>
        <v>0</v>
      </c>
      <c r="N24" s="2740"/>
      <c r="O24" s="2741"/>
      <c r="P24" s="2742">
        <f t="shared" si="9"/>
        <v>0</v>
      </c>
      <c r="R24" s="2091">
        <f t="shared" si="5"/>
        <v>0</v>
      </c>
      <c r="S24" s="2754">
        <f t="shared" si="5"/>
        <v>0</v>
      </c>
    </row>
    <row r="25" spans="1:19">
      <c r="A25" s="2709"/>
      <c r="B25" s="2684" t="s">
        <v>247</v>
      </c>
      <c r="C25" s="2713"/>
      <c r="D25" s="2678">
        <f t="shared" si="1"/>
        <v>0</v>
      </c>
      <c r="E25" s="2706">
        <f t="shared" si="2"/>
        <v>0</v>
      </c>
      <c r="F25" s="2711"/>
      <c r="G25" s="2712"/>
      <c r="H25" s="2677">
        <f t="shared" si="6"/>
        <v>0</v>
      </c>
      <c r="I25" s="2685">
        <f t="shared" si="7"/>
        <v>0</v>
      </c>
      <c r="J25" s="2669"/>
      <c r="K25" s="2738">
        <f t="shared" si="3"/>
        <v>0</v>
      </c>
      <c r="L25" s="2091">
        <f t="shared" si="4"/>
        <v>0</v>
      </c>
      <c r="M25" s="2739">
        <f t="shared" si="8"/>
        <v>0</v>
      </c>
      <c r="N25" s="2740"/>
      <c r="O25" s="2741"/>
      <c r="P25" s="2742">
        <f t="shared" si="9"/>
        <v>0</v>
      </c>
      <c r="R25" s="2091">
        <f t="shared" si="5"/>
        <v>0</v>
      </c>
      <c r="S25" s="2754">
        <f t="shared" si="5"/>
        <v>0</v>
      </c>
    </row>
    <row r="26" spans="1:19">
      <c r="A26" s="2709"/>
      <c r="B26" s="2684" t="s">
        <v>247</v>
      </c>
      <c r="C26" s="2714"/>
      <c r="D26" s="2678">
        <f t="shared" si="1"/>
        <v>0</v>
      </c>
      <c r="E26" s="2706">
        <f t="shared" si="2"/>
        <v>0</v>
      </c>
      <c r="F26" s="2711"/>
      <c r="G26" s="2712"/>
      <c r="H26" s="2677">
        <f t="shared" si="6"/>
        <v>0</v>
      </c>
      <c r="I26" s="2685">
        <f t="shared" si="7"/>
        <v>0</v>
      </c>
      <c r="J26" s="2669"/>
      <c r="K26" s="2743">
        <f t="shared" si="3"/>
        <v>0</v>
      </c>
      <c r="L26" s="2095">
        <f t="shared" si="4"/>
        <v>0</v>
      </c>
      <c r="M26" s="2719">
        <f t="shared" si="8"/>
        <v>0</v>
      </c>
      <c r="N26" s="2744"/>
      <c r="O26" s="2745"/>
      <c r="P26" s="2746">
        <f t="shared" si="9"/>
        <v>0</v>
      </c>
      <c r="R26" s="2091">
        <f t="shared" si="5"/>
        <v>0</v>
      </c>
      <c r="S26" s="2754">
        <f t="shared" si="5"/>
        <v>0</v>
      </c>
    </row>
    <row r="27" spans="1:19" ht="28.5">
      <c r="A27" s="2709"/>
      <c r="B27" s="2678"/>
      <c r="C27" s="2131" t="s">
        <v>547</v>
      </c>
      <c r="D27" s="2706">
        <f>SUM(D19:D26)</f>
        <v>37301.600000000006</v>
      </c>
      <c r="E27" s="2715">
        <f>IF(SUM(E19:E26)='数据-基础表'!BA5,SUM(E19:E26),IF(F27="地上面积有误","面积有误","地下面积有误"))</f>
        <v>102167.19000000002</v>
      </c>
      <c r="F27" s="2706">
        <f>IF(SUM(F19:F26)=E8,SUM(F19:F26),"地上面积有误")</f>
        <v>95256.130000000019</v>
      </c>
      <c r="G27" s="2679">
        <f>SUM(G19:G26)</f>
        <v>6911.06</v>
      </c>
      <c r="H27" s="2716">
        <f>SUM(H19:H26)</f>
        <v>2698.61</v>
      </c>
      <c r="I27" s="2747">
        <f>SUM(I19:I26)</f>
        <v>7391.37</v>
      </c>
      <c r="J27" s="2669"/>
      <c r="K27" s="2748">
        <f>SUM(K19:K26)</f>
        <v>3206.65</v>
      </c>
      <c r="L27" s="2749">
        <f>SUM(L19:L26)</f>
        <v>4184.72</v>
      </c>
      <c r="M27" s="2750">
        <f>SUM(M19:M26)</f>
        <v>7391.37</v>
      </c>
      <c r="N27" s="2748">
        <f t="shared" ref="N27:P27" si="10">SUM(N19:N26)</f>
        <v>0</v>
      </c>
      <c r="O27" s="2749">
        <f t="shared" si="10"/>
        <v>0</v>
      </c>
      <c r="P27" s="2751">
        <f t="shared" si="10"/>
        <v>0</v>
      </c>
      <c r="R27" s="2755" t="str">
        <f>IF(SUM(R19:R26)=$D$3,SUM(R19:R26),SUM(R19:R26)&amp;"误差"&amp;ROUND(SUM(R19:R26)-$D$3,2))</f>
        <v>40000.21误差-0.01</v>
      </c>
      <c r="S27" s="2091" t="str">
        <f>IF(SUM(S19:S26)=$E$3,SUM(S19:S26),SUM(S19:S26)&amp;"误差"&amp;ROUND(SUM(S19:S26)-E3,2))</f>
        <v>109558.56误差-0.01</v>
      </c>
    </row>
    <row r="28" spans="1:19">
      <c r="A28" s="2709"/>
      <c r="B28" s="2684" t="s">
        <v>259</v>
      </c>
      <c r="C28" s="2645" t="s">
        <v>562</v>
      </c>
      <c r="D28" s="2678">
        <f>ROUND($D$3*E28/$E$3,2)</f>
        <v>1170.76</v>
      </c>
      <c r="E28" s="2706">
        <f>SUM(F28:G28)</f>
        <v>3206.66</v>
      </c>
      <c r="F28" s="2079">
        <f>'数据-基础表'!BQ5+'数据-基础表'!BS5</f>
        <v>971.2299999999999</v>
      </c>
      <c r="G28" s="2717">
        <f>'数据-基础表'!BR5+'数据-基础表'!BT5</f>
        <v>2235.4299999999998</v>
      </c>
      <c r="H28" s="2669"/>
      <c r="I28" s="2669"/>
      <c r="J28" s="2669"/>
      <c r="K28" s="2669"/>
      <c r="L28" s="2669"/>
    </row>
    <row r="29" spans="1:19">
      <c r="A29" s="2709"/>
      <c r="B29" s="2684" t="s">
        <v>259</v>
      </c>
      <c r="C29" s="2718" t="s">
        <v>563</v>
      </c>
      <c r="D29" s="2678">
        <f>ROUND($D$3*E29/$E$3,2)</f>
        <v>1527.86</v>
      </c>
      <c r="E29" s="2706">
        <f>SUM(F29:G29)</f>
        <v>4184.72</v>
      </c>
      <c r="F29" s="2079">
        <f>'数据-基础表'!BM5+'数据-基础表'!BO5</f>
        <v>3763.58</v>
      </c>
      <c r="G29" s="2719">
        <f>'数据-基础表'!BN5+'数据-基础表'!BP5</f>
        <v>421.14</v>
      </c>
      <c r="H29" s="2669"/>
      <c r="I29" s="2669"/>
      <c r="J29" s="2669"/>
      <c r="K29" s="2669"/>
      <c r="L29" s="2669"/>
    </row>
    <row r="30" spans="1:19">
      <c r="A30" s="2709"/>
      <c r="B30" s="2678"/>
      <c r="C30" s="2720" t="s">
        <v>547</v>
      </c>
      <c r="D30" s="2706">
        <f>SUM(D28:D29)</f>
        <v>2698.62</v>
      </c>
      <c r="E30" s="2706">
        <f>SUM(E28:E29)</f>
        <v>7391.38</v>
      </c>
      <c r="F30" s="2706">
        <f>SUM(F28:F29)</f>
        <v>4734.8099999999995</v>
      </c>
      <c r="G30" s="2679">
        <f>SUM(G28:G29)</f>
        <v>2656.5699999999997</v>
      </c>
      <c r="H30" s="2669"/>
      <c r="I30" s="2669"/>
      <c r="J30" s="2669"/>
      <c r="K30" s="2669"/>
      <c r="L30" s="2669"/>
    </row>
    <row r="31" spans="1:19" ht="32.25" customHeight="1">
      <c r="A31" s="2721"/>
      <c r="B31" s="2722" t="s">
        <v>564</v>
      </c>
      <c r="C31" s="2723" t="s">
        <v>565</v>
      </c>
      <c r="D31" s="2724">
        <f>D27+D30</f>
        <v>40000.220000000008</v>
      </c>
      <c r="E31" s="2724">
        <f>E27+E30</f>
        <v>109558.57000000002</v>
      </c>
      <c r="F31" s="2725">
        <f>F27+F30</f>
        <v>99990.940000000017</v>
      </c>
      <c r="G31" s="2726">
        <f>G27+G30</f>
        <v>9567.630000000001</v>
      </c>
      <c r="H31" s="2669"/>
      <c r="I31" s="2669"/>
      <c r="J31" s="2669"/>
      <c r="K31" s="2669"/>
      <c r="L31" s="2669"/>
    </row>
    <row r="32" spans="1:19">
      <c r="A32" s="2669"/>
      <c r="B32" s="2727" t="s">
        <v>566</v>
      </c>
      <c r="C32" s="2728"/>
      <c r="D32" s="2676"/>
      <c r="E32" s="2676">
        <f>SUMIF(C19:C26,"*住宅*",E19:E26)</f>
        <v>85247.46</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567</v>
      </c>
      <c r="B1" s="2486"/>
      <c r="C1" s="735"/>
      <c r="D1" s="2487"/>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78" customFormat="1" ht="15">
      <c r="A2" s="2488" t="s">
        <v>568</v>
      </c>
      <c r="B2" s="2489">
        <f>项目基本情况!D3</f>
        <v>43768</v>
      </c>
      <c r="C2" s="2490"/>
      <c r="D2" s="2491"/>
      <c r="E2" s="2490"/>
      <c r="F2" s="2490"/>
      <c r="G2" s="2490"/>
      <c r="H2" s="2490"/>
      <c r="I2" s="2490"/>
      <c r="J2" s="2490"/>
      <c r="K2" s="456"/>
      <c r="L2" s="456"/>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4.25">
      <c r="A3" s="2492"/>
      <c r="B3" s="2493"/>
      <c r="C3" s="2490"/>
      <c r="D3" s="2491"/>
      <c r="E3" s="2490"/>
      <c r="F3" s="2490"/>
      <c r="G3" s="2490"/>
      <c r="H3" s="2490"/>
      <c r="I3" s="2490"/>
      <c r="J3" s="2490"/>
      <c r="K3" s="456"/>
      <c r="L3" s="456"/>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25">
      <c r="A4" s="2494" t="s">
        <v>569</v>
      </c>
      <c r="B4" s="2495"/>
      <c r="C4" s="2496"/>
      <c r="D4" s="2497"/>
      <c r="E4" s="2498" t="s">
        <v>570</v>
      </c>
      <c r="F4" s="2496"/>
      <c r="G4" s="2496"/>
      <c r="H4" s="2496"/>
      <c r="I4" s="2496"/>
      <c r="J4" s="2585"/>
      <c r="K4" s="2586"/>
      <c r="L4" s="2587"/>
      <c r="M4" s="2496"/>
      <c r="N4" s="2498" t="s">
        <v>571</v>
      </c>
      <c r="O4" s="2496"/>
      <c r="P4" s="2496"/>
      <c r="Q4" s="2496"/>
      <c r="R4" s="2496"/>
      <c r="S4" s="2585"/>
      <c r="T4" s="2608" t="str">
        <f>'数据-汇总表'!I17</f>
        <v>按面积比例</v>
      </c>
      <c r="U4" s="2495" t="s">
        <v>572</v>
      </c>
      <c r="V4" s="2496"/>
      <c r="W4" s="2496"/>
      <c r="X4" s="2496"/>
      <c r="Y4" s="2585"/>
      <c r="Z4" s="2634" t="s">
        <v>573</v>
      </c>
      <c r="AA4" s="2634"/>
      <c r="AB4" s="2634"/>
      <c r="AC4" s="2634"/>
      <c r="AD4" s="2634"/>
      <c r="AE4" s="2635" t="s">
        <v>574</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4">
      <c r="A5" s="2499" t="s">
        <v>405</v>
      </c>
      <c r="B5" s="2500" t="s">
        <v>575</v>
      </c>
      <c r="C5" s="2501" t="s">
        <v>576</v>
      </c>
      <c r="D5" s="2502" t="s">
        <v>577</v>
      </c>
      <c r="E5" s="2503" t="s">
        <v>578</v>
      </c>
      <c r="F5" s="2504" t="s">
        <v>579</v>
      </c>
      <c r="G5" s="2503" t="s">
        <v>580</v>
      </c>
      <c r="H5" s="2503" t="s">
        <v>581</v>
      </c>
      <c r="I5" s="2503" t="s">
        <v>582</v>
      </c>
      <c r="J5" s="2588" t="s">
        <v>583</v>
      </c>
      <c r="K5" s="2589" t="s">
        <v>584</v>
      </c>
      <c r="L5" s="2590" t="s">
        <v>585</v>
      </c>
      <c r="M5" s="2591" t="s">
        <v>586</v>
      </c>
      <c r="N5" s="2592" t="s">
        <v>587</v>
      </c>
      <c r="O5" s="2590" t="s">
        <v>588</v>
      </c>
      <c r="P5" s="2593" t="s">
        <v>589</v>
      </c>
      <c r="Q5" s="249" t="s">
        <v>590</v>
      </c>
      <c r="R5" s="2609" t="s">
        <v>591</v>
      </c>
      <c r="S5" s="2610" t="s">
        <v>592</v>
      </c>
      <c r="T5" s="2611" t="s">
        <v>593</v>
      </c>
      <c r="U5" s="2612" t="s">
        <v>594</v>
      </c>
      <c r="V5" s="2503" t="s">
        <v>595</v>
      </c>
      <c r="W5" s="2503" t="s">
        <v>596</v>
      </c>
      <c r="X5" s="2613"/>
      <c r="Y5" s="509" t="s">
        <v>597</v>
      </c>
      <c r="Z5" s="2636" t="s">
        <v>594</v>
      </c>
      <c r="AA5" s="2503" t="s">
        <v>595</v>
      </c>
      <c r="AB5" s="2503" t="s">
        <v>596</v>
      </c>
      <c r="AC5" s="2637"/>
      <c r="AD5" s="284" t="s">
        <v>597</v>
      </c>
      <c r="AE5" s="2638" t="s">
        <v>598</v>
      </c>
      <c r="AF5" s="2503" t="s">
        <v>599</v>
      </c>
      <c r="AG5" s="509" t="s">
        <v>600</v>
      </c>
      <c r="AH5" s="2637" t="s">
        <v>601</v>
      </c>
      <c r="AI5" s="2636" t="s">
        <v>602</v>
      </c>
      <c r="AJ5" s="2636" t="s">
        <v>603</v>
      </c>
      <c r="AK5" s="2503" t="s">
        <v>604</v>
      </c>
      <c r="AL5" s="2503" t="s">
        <v>605</v>
      </c>
      <c r="AM5" s="284" t="s">
        <v>606</v>
      </c>
      <c r="AN5" s="2651" t="s">
        <v>607</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25">
      <c r="A6" s="2505" t="str">
        <f>'数据-汇总表'!C19</f>
        <v>住宅</v>
      </c>
      <c r="B6" s="2506" t="str">
        <f>IF(A6=0,"","经营性")</f>
        <v>经营性</v>
      </c>
      <c r="C6" s="2507" t="s">
        <v>372</v>
      </c>
      <c r="D6" s="2508">
        <f>SUMIF(项目基本情况!D$15:I$15,C6,项目基本情况!D$18:I$18)</f>
        <v>70</v>
      </c>
      <c r="E6" s="2509">
        <f>IF(B6="","",SUMIF(项目基本情况!D$15:I$15,C6,项目基本情况!D$17:I$17))</f>
        <v>69247</v>
      </c>
      <c r="F6" s="2510">
        <f>SUMIF(项目基本情况!D$15:I$15,C6,项目基本情况!D$19:I$19)</f>
        <v>69.8</v>
      </c>
      <c r="G6" s="2511">
        <f>IF(ISERROR(ROUND(POWER(1+H6,D6-F6)*(POWER(1+H6,F6)-1)/(POWER(1+H6,D6)-1),3)),0,ROUND(POWER(1+H6,D6-F6)*(POWER(1+H6,F6)-1)/(POWER(1+H6,D6)-1),3))</f>
        <v>1</v>
      </c>
      <c r="H6" s="2512">
        <v>4.4999999999999998E-2</v>
      </c>
      <c r="I6" s="2512">
        <v>0.05</v>
      </c>
      <c r="J6" s="2513">
        <v>8.5000000000000006E-2</v>
      </c>
      <c r="K6" s="2594">
        <f>SUMIF('数据-汇总表'!C$19:C$33,'数据-取费表'!A6,'数据-汇总表'!E$19:E$33)</f>
        <v>85247.46</v>
      </c>
      <c r="L6" s="2595">
        <v>2200</v>
      </c>
      <c r="M6" s="2596">
        <f t="shared" ref="M6:M14" si="0">ROUND(K6*L6/10000,0)</f>
        <v>18754</v>
      </c>
      <c r="N6" s="2597">
        <v>0</v>
      </c>
      <c r="O6" s="2596">
        <f>IF($N$5="成新度","——",ROUND(M6*N6,0))</f>
        <v>0</v>
      </c>
      <c r="P6" s="2598">
        <f>IF($N$5="成新度","——",M6-O6)</f>
        <v>18754</v>
      </c>
      <c r="Q6" s="2614">
        <v>0.15</v>
      </c>
      <c r="R6" s="2594">
        <f>SUMIF('数据-汇总表'!C$19:C$33,A6,'数据-汇总表'!R$19:R$33)</f>
        <v>33628.880000000005</v>
      </c>
      <c r="S6" s="2615">
        <f>IF('数据-汇总表'!$I$17="按面积比例",SUMIF('数据-汇总表'!C$19:C$33,A6,'数据-汇总表'!K$19:K$33),SUMIF('数据-汇总表'!C$19:C$33,A6,'数据-汇总表'!N$19:N$33))</f>
        <v>2675.61</v>
      </c>
      <c r="T6" s="2616">
        <f>IF($T$4="按面积比例",IF(ISERROR(ROUND($M$14*S6/S$16,0)),"0",ROUND($M$14*S6/S$16,0)),"需自行计算录入")</f>
        <v>481</v>
      </c>
      <c r="U6" s="2617"/>
      <c r="V6" s="2618">
        <v>0.02</v>
      </c>
      <c r="W6" s="2618">
        <v>0.1</v>
      </c>
      <c r="X6" s="2619"/>
      <c r="Y6" s="2639">
        <v>1</v>
      </c>
      <c r="Z6" s="2640"/>
      <c r="AA6" s="2513"/>
      <c r="AB6" s="2513"/>
      <c r="AC6" s="2622"/>
      <c r="AD6" s="2641"/>
      <c r="AE6" s="2642">
        <f ca="1">IF(AN6="",0,SUMIF(INDIRECT("'"&amp;AN6&amp;"'"&amp;"!E:E"),$AE$5,INDIRECT("'"&amp;AN6&amp;"'"&amp;"!F:F")))</f>
        <v>0</v>
      </c>
      <c r="AF6" s="2076"/>
      <c r="AG6" s="2652">
        <f>IF(AF6="",0,AE6-AF6)</f>
        <v>0</v>
      </c>
      <c r="AH6" s="2076"/>
      <c r="AI6" s="2653">
        <v>365</v>
      </c>
      <c r="AJ6" s="2654"/>
      <c r="AK6" s="2655"/>
      <c r="AL6" s="2656"/>
      <c r="AM6" s="2657"/>
      <c r="AN6" s="2658"/>
      <c r="AO6" s="2649"/>
      <c r="AP6" s="2493">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25">
      <c r="A7" s="2505" t="str">
        <f>'数据-汇总表'!C20</f>
        <v>商业</v>
      </c>
      <c r="B7" s="2506" t="str">
        <f t="shared" ref="B7:B13" si="1">IF(A7=0,"","经营性")</f>
        <v>经营性</v>
      </c>
      <c r="C7" s="2507" t="s">
        <v>373</v>
      </c>
      <c r="D7" s="2508">
        <f>SUMIF(项目基本情况!D$15:I$15,C7,项目基本情况!D$18:I$18)</f>
        <v>40</v>
      </c>
      <c r="E7" s="2509">
        <f>IF(B7="","",SUMIF(项目基本情况!D$15:I$15,C7,项目基本情况!D$17:I$17))</f>
        <v>58289</v>
      </c>
      <c r="F7" s="2510">
        <f>SUMIF(项目基本情况!D$15:I$15,C7,项目基本情况!D$19:I$19)</f>
        <v>39.78</v>
      </c>
      <c r="G7" s="2511">
        <f t="shared" ref="G7:G13" si="2">IF(ISERROR(ROUND(POWER(1+H7,D7-F7)*(POWER(1+H7,F7)-1)/(POWER(1+H7,D7)-1),3)),0,ROUND(POWER(1+H7,D7-F7)*(POWER(1+H7,F7)-1)/(POWER(1+H7,D7)-1),3))</f>
        <v>0.998</v>
      </c>
      <c r="H7" s="2512">
        <v>0.05</v>
      </c>
      <c r="I7" s="2512">
        <v>5.5E-2</v>
      </c>
      <c r="J7" s="2513">
        <v>8.5000000000000006E-2</v>
      </c>
      <c r="K7" s="2594">
        <f>SUMIF('数据-汇总表'!C$19:C$33,'数据-取费表'!A7,'数据-汇总表'!E$19:E$33)</f>
        <v>9008.43</v>
      </c>
      <c r="L7" s="2595">
        <v>2500</v>
      </c>
      <c r="M7" s="2596">
        <f t="shared" si="0"/>
        <v>2252</v>
      </c>
      <c r="N7" s="2597">
        <v>0</v>
      </c>
      <c r="O7" s="2596">
        <f t="shared" ref="O7:O14" si="3">IF($N$5="成新度","——",ROUND(M7*N7,0))</f>
        <v>0</v>
      </c>
      <c r="P7" s="2598">
        <f t="shared" ref="P7:P14" si="4">IF($N$5="成新度","——",M7-O7)</f>
        <v>2252</v>
      </c>
      <c r="Q7" s="2614">
        <f>Q6</f>
        <v>0.15</v>
      </c>
      <c r="R7" s="2594">
        <f>SUMIF('数据-汇总表'!C$19:C$33,A7,'数据-汇总表'!R$19:R$33)</f>
        <v>3392.2400000000002</v>
      </c>
      <c r="S7" s="2615">
        <f>IF('数据-汇总表'!$I$17="按面积比例",SUMIF('数据-汇总表'!C$19:C$33,A7,'数据-汇总表'!K$19:K$33),SUMIF('数据-汇总表'!C$19:C$33,A7,'数据-汇总表'!N$19:N$33))</f>
        <v>282.74</v>
      </c>
      <c r="T7" s="2616">
        <f t="shared" ref="T7:T13" si="5">IF($T$4="按面积比例",IF(ISERROR(ROUND($M$14*S7/S$16,0)),"0",ROUND($M$14*S7/S$16,0)),"需自行计算录入")</f>
        <v>51</v>
      </c>
      <c r="U7" s="2617">
        <v>1.3</v>
      </c>
      <c r="V7" s="2618">
        <v>2.5000000000000001E-2</v>
      </c>
      <c r="W7" s="2618">
        <v>0.1</v>
      </c>
      <c r="X7" s="2619"/>
      <c r="Y7" s="2639">
        <f>Y6</f>
        <v>1</v>
      </c>
      <c r="Z7" s="2640"/>
      <c r="AA7" s="2513"/>
      <c r="AB7" s="2513"/>
      <c r="AC7" s="2622"/>
      <c r="AD7" s="2641"/>
      <c r="AE7" s="2642">
        <f t="shared" ref="AE7:AE13" ca="1" si="6">IF(AN7="",0,SUMIF(INDIRECT("'"&amp;AN7&amp;"'"&amp;"!E:E"),$AE$5,INDIRECT("'"&amp;AN7&amp;"'"&amp;"!F:F")))</f>
        <v>37.78</v>
      </c>
      <c r="AF7" s="2076"/>
      <c r="AG7" s="2652">
        <f t="shared" ref="AG7:AG13" si="7">IF(AF7="",0,AE7-AF7)</f>
        <v>0</v>
      </c>
      <c r="AH7" s="2076"/>
      <c r="AI7" s="2653">
        <v>365</v>
      </c>
      <c r="AJ7" s="2654"/>
      <c r="AK7" s="2655">
        <v>1.4999999999999999E-2</v>
      </c>
      <c r="AL7" s="2656">
        <v>1.5E-3</v>
      </c>
      <c r="AM7" s="2659">
        <v>1.4999999999999999E-2</v>
      </c>
      <c r="AN7" s="2658" t="s">
        <v>608</v>
      </c>
      <c r="AO7" s="2649"/>
      <c r="AP7" s="2493">
        <f t="shared" ref="AP7:AP13" si="8">ROUND(1-1/(1+H7)^F7,3)</f>
        <v>0.85599999999999998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25">
      <c r="A8" s="2505" t="str">
        <f>'数据-汇总表'!C21</f>
        <v>农贸市场</v>
      </c>
      <c r="B8" s="2506" t="str">
        <f t="shared" si="1"/>
        <v>经营性</v>
      </c>
      <c r="C8" s="2507" t="s">
        <v>373</v>
      </c>
      <c r="D8" s="2508">
        <f>SUMIF(项目基本情况!D$15:I$15,C8,项目基本情况!D$18:I$18)</f>
        <v>40</v>
      </c>
      <c r="E8" s="2509">
        <f>IF(B8="","",SUMIF(项目基本情况!D$15:I$15,C8,项目基本情况!D$17:I$17))</f>
        <v>58289</v>
      </c>
      <c r="F8" s="2510">
        <f>SUMIF(项目基本情况!D$15:I$15,C8,项目基本情况!D$19:I$19)</f>
        <v>39.78</v>
      </c>
      <c r="G8" s="2511">
        <f t="shared" si="2"/>
        <v>0.998</v>
      </c>
      <c r="H8" s="2512">
        <v>0.05</v>
      </c>
      <c r="I8" s="2512">
        <v>5.5E-2</v>
      </c>
      <c r="J8" s="2513">
        <v>8.5000000000000006E-2</v>
      </c>
      <c r="K8" s="2594">
        <f>SUMIF('数据-汇总表'!C$19:C$33,'数据-取费表'!A8,'数据-汇总表'!E$19:E$33)</f>
        <v>1000.24</v>
      </c>
      <c r="L8" s="2595">
        <v>1600</v>
      </c>
      <c r="M8" s="2596">
        <f t="shared" si="0"/>
        <v>160</v>
      </c>
      <c r="N8" s="2597">
        <v>0</v>
      </c>
      <c r="O8" s="2596">
        <f t="shared" si="3"/>
        <v>0</v>
      </c>
      <c r="P8" s="2598">
        <f t="shared" si="4"/>
        <v>160</v>
      </c>
      <c r="Q8" s="2614"/>
      <c r="R8" s="2594">
        <f>SUMIF('数据-汇总表'!C$19:C$33,A8,'数据-汇总表'!R$19:R$33)</f>
        <v>376.65</v>
      </c>
      <c r="S8" s="2615">
        <f>IF('数据-汇总表'!$I$17="按面积比例",SUMIF('数据-汇总表'!C$19:C$33,A8,'数据-汇总表'!K$19:K$33),SUMIF('数据-汇总表'!C$19:C$33,A8,'数据-汇总表'!N$19:N$33))</f>
        <v>31.39</v>
      </c>
      <c r="T8" s="2616">
        <f t="shared" si="5"/>
        <v>6</v>
      </c>
      <c r="U8" s="2617"/>
      <c r="V8" s="2618"/>
      <c r="W8" s="2618"/>
      <c r="X8" s="2619"/>
      <c r="Y8" s="2639">
        <v>1</v>
      </c>
      <c r="Z8" s="2640"/>
      <c r="AA8" s="2513"/>
      <c r="AB8" s="2513"/>
      <c r="AC8" s="2622"/>
      <c r="AD8" s="2641"/>
      <c r="AE8" s="2642">
        <f t="shared" ca="1" si="6"/>
        <v>0</v>
      </c>
      <c r="AF8" s="2076"/>
      <c r="AG8" s="2652">
        <f t="shared" si="7"/>
        <v>0</v>
      </c>
      <c r="AH8" s="2076"/>
      <c r="AI8" s="2653">
        <v>365</v>
      </c>
      <c r="AJ8" s="2654"/>
      <c r="AK8" s="2655"/>
      <c r="AL8" s="2656"/>
      <c r="AM8" s="2659"/>
      <c r="AN8" s="2658"/>
      <c r="AO8" s="2649"/>
      <c r="AP8" s="2493">
        <f t="shared" si="8"/>
        <v>0.85599999999999998</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25">
      <c r="A9" s="2505" t="str">
        <f>'数据-汇总表'!C22</f>
        <v>地下车位</v>
      </c>
      <c r="B9" s="2506" t="str">
        <f t="shared" si="1"/>
        <v>经营性</v>
      </c>
      <c r="C9" s="2507" t="s">
        <v>375</v>
      </c>
      <c r="D9" s="2508">
        <f>SUMIF(项目基本情况!D$15:I$15,C9,项目基本情况!D$18:I$18)</f>
        <v>40</v>
      </c>
      <c r="E9" s="2509">
        <f>IF(B9="","",SUMIF(项目基本情况!D$15:I$15,C9,项目基本情况!D$17:I$17))</f>
        <v>58289</v>
      </c>
      <c r="F9" s="2510">
        <f>SUMIF(项目基本情况!D$15:I$15,C9,项目基本情况!D$19:I$19)</f>
        <v>39.78</v>
      </c>
      <c r="G9" s="2511">
        <f t="shared" si="2"/>
        <v>0.998</v>
      </c>
      <c r="H9" s="2513">
        <v>0.04</v>
      </c>
      <c r="I9" s="2513">
        <v>4.4999999999999998E-2</v>
      </c>
      <c r="J9" s="2513">
        <v>8.5000000000000006E-2</v>
      </c>
      <c r="K9" s="2594">
        <f>SUMIF('数据-汇总表'!C$19:C$33,'数据-取费表'!A9,'数据-汇总表'!E$19:E$33)</f>
        <v>6911.06</v>
      </c>
      <c r="L9" s="2599">
        <v>1800</v>
      </c>
      <c r="M9" s="2596">
        <f t="shared" si="0"/>
        <v>1244</v>
      </c>
      <c r="N9" s="2600">
        <v>0</v>
      </c>
      <c r="O9" s="2596">
        <f t="shared" si="3"/>
        <v>0</v>
      </c>
      <c r="P9" s="2598">
        <f t="shared" si="4"/>
        <v>1244</v>
      </c>
      <c r="Q9" s="2620">
        <v>0.03</v>
      </c>
      <c r="R9" s="2594">
        <f>SUMIF('数据-汇总表'!C$19:C$33,A9,'数据-汇总表'!R$19:R$33)</f>
        <v>2602.44</v>
      </c>
      <c r="S9" s="2615">
        <f>IF('数据-汇总表'!$I$17="按面积比例",SUMIF('数据-汇总表'!C$19:C$33,A9,'数据-汇总表'!K$19:K$33),SUMIF('数据-汇总表'!C$19:C$33,A9,'数据-汇总表'!N$19:N$33))</f>
        <v>216.91</v>
      </c>
      <c r="T9" s="2616">
        <f t="shared" si="5"/>
        <v>39</v>
      </c>
      <c r="U9" s="2617"/>
      <c r="V9" s="2618"/>
      <c r="W9" s="2618"/>
      <c r="X9" s="2619"/>
      <c r="Y9" s="2639">
        <v>1</v>
      </c>
      <c r="Z9" s="2640"/>
      <c r="AA9" s="2513"/>
      <c r="AB9" s="2513"/>
      <c r="AC9" s="2622"/>
      <c r="AD9" s="2641"/>
      <c r="AE9" s="2642">
        <f t="shared" ca="1" si="6"/>
        <v>0</v>
      </c>
      <c r="AF9" s="2076"/>
      <c r="AG9" s="2652">
        <f t="shared" si="7"/>
        <v>0</v>
      </c>
      <c r="AH9" s="2076">
        <v>204</v>
      </c>
      <c r="AI9" s="2653">
        <v>365</v>
      </c>
      <c r="AJ9" s="2654"/>
      <c r="AK9" s="2655"/>
      <c r="AL9" s="2656"/>
      <c r="AM9" s="2659"/>
      <c r="AN9" s="2658"/>
      <c r="AO9" s="2649"/>
      <c r="AP9" s="2493">
        <f t="shared" si="8"/>
        <v>0.79</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25">
      <c r="A10" s="2505">
        <f>'数据-汇总表'!C23</f>
        <v>0</v>
      </c>
      <c r="B10" s="2506" t="str">
        <f t="shared" si="1"/>
        <v/>
      </c>
      <c r="C10" s="2507"/>
      <c r="D10" s="2508">
        <f>SUMIF(项目基本情况!D$15:I$15,C10,项目基本情况!D$18:I$18)</f>
        <v>0</v>
      </c>
      <c r="E10" s="2509" t="str">
        <f>IF(B10="","",SUMIF(项目基本情况!D$15:I$15,C10,项目基本情况!D$17:I$17))</f>
        <v/>
      </c>
      <c r="F10" s="2510">
        <f>SUMIF(项目基本情况!D$15:I$15,C10,项目基本情况!D$19:I$19)</f>
        <v>0</v>
      </c>
      <c r="G10" s="2511">
        <f t="shared" si="2"/>
        <v>0</v>
      </c>
      <c r="H10" s="2513"/>
      <c r="I10" s="2513"/>
      <c r="J10" s="2513"/>
      <c r="K10" s="2594">
        <f>SUMIF('数据-汇总表'!C$19:C$33,'数据-取费表'!A10,'数据-汇总表'!E$19:E$33)</f>
        <v>0</v>
      </c>
      <c r="L10" s="2599"/>
      <c r="M10" s="2596">
        <f t="shared" si="0"/>
        <v>0</v>
      </c>
      <c r="N10" s="2600"/>
      <c r="O10" s="2596">
        <f t="shared" si="3"/>
        <v>0</v>
      </c>
      <c r="P10" s="2598">
        <f t="shared" si="4"/>
        <v>0</v>
      </c>
      <c r="Q10" s="2620"/>
      <c r="R10" s="2594">
        <f>SUMIF('数据-汇总表'!C$19:C$33,A10,'数据-汇总表'!R$19:R$33)</f>
        <v>0</v>
      </c>
      <c r="S10" s="2615">
        <f>IF('数据-汇总表'!$I$17="按面积比例",SUMIF('数据-汇总表'!C$19:C$33,A10,'数据-汇总表'!K$19:K$33),SUMIF('数据-汇总表'!C$19:C$33,A10,'数据-汇总表'!N$19:N$33))</f>
        <v>0</v>
      </c>
      <c r="T10" s="2616">
        <f t="shared" si="5"/>
        <v>0</v>
      </c>
      <c r="U10" s="2617"/>
      <c r="V10" s="2618"/>
      <c r="W10" s="2618"/>
      <c r="X10" s="2619"/>
      <c r="Y10" s="2639"/>
      <c r="Z10" s="2640"/>
      <c r="AA10" s="2513"/>
      <c r="AB10" s="2513"/>
      <c r="AC10" s="2622"/>
      <c r="AD10" s="2641"/>
      <c r="AE10" s="2642">
        <f t="shared" ca="1" si="6"/>
        <v>0</v>
      </c>
      <c r="AF10" s="2076"/>
      <c r="AG10" s="2652">
        <f t="shared" si="7"/>
        <v>0</v>
      </c>
      <c r="AH10" s="2076"/>
      <c r="AI10" s="2653"/>
      <c r="AJ10" s="2654"/>
      <c r="AK10" s="2655"/>
      <c r="AL10" s="2656"/>
      <c r="AM10" s="2659"/>
      <c r="AN10" s="2658"/>
      <c r="AO10" s="2649"/>
      <c r="AP10" s="2493">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6"/>
      <c r="AG11" s="2652">
        <f t="shared" si="7"/>
        <v>0</v>
      </c>
      <c r="AH11" s="2076"/>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6"/>
      <c r="AG12" s="2652">
        <f t="shared" si="7"/>
        <v>0</v>
      </c>
      <c r="AH12" s="2076"/>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6"/>
      <c r="AG13" s="2652">
        <f t="shared" si="7"/>
        <v>0</v>
      </c>
      <c r="AH13" s="2076"/>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4.25">
      <c r="A14" s="2514" t="s">
        <v>475</v>
      </c>
      <c r="B14" s="2515" t="s">
        <v>609</v>
      </c>
      <c r="C14" s="2516" t="s">
        <v>475</v>
      </c>
      <c r="D14" s="2508"/>
      <c r="E14" s="2509"/>
      <c r="F14" s="2510"/>
      <c r="G14" s="2511"/>
      <c r="H14" s="2517"/>
      <c r="I14" s="2517"/>
      <c r="J14" s="2517"/>
      <c r="K14" s="2594">
        <f>SUMIF('数据-汇总表'!C$19:C$33,'数据-取费表'!A14,'数据-汇总表'!E$19:E$33)</f>
        <v>3206.66</v>
      </c>
      <c r="L14" s="2599">
        <f>L9</f>
        <v>1800</v>
      </c>
      <c r="M14" s="2596">
        <f t="shared" si="0"/>
        <v>577</v>
      </c>
      <c r="N14" s="2600">
        <v>0</v>
      </c>
      <c r="O14" s="2596">
        <f t="shared" si="3"/>
        <v>0</v>
      </c>
      <c r="P14" s="2598">
        <f t="shared" si="4"/>
        <v>577</v>
      </c>
      <c r="Q14" s="2623"/>
      <c r="R14" s="2594"/>
      <c r="S14" s="2615"/>
      <c r="T14" s="2624"/>
      <c r="U14" s="2625"/>
      <c r="V14" s="2626"/>
      <c r="W14" s="2626"/>
      <c r="X14" s="2619"/>
      <c r="Y14" s="2644"/>
      <c r="Z14" s="2645"/>
      <c r="AA14" s="2646"/>
      <c r="AB14" s="2646"/>
      <c r="AC14" s="2622"/>
      <c r="AD14" s="2619"/>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7">
      <c r="A15" s="2518" t="s">
        <v>563</v>
      </c>
      <c r="B15" s="2515" t="s">
        <v>609</v>
      </c>
      <c r="C15" s="2516" t="s">
        <v>610</v>
      </c>
      <c r="D15" s="2508"/>
      <c r="E15" s="2509"/>
      <c r="F15" s="2510"/>
      <c r="G15" s="2511"/>
      <c r="H15" s="2517"/>
      <c r="I15" s="2517"/>
      <c r="J15" s="2517"/>
      <c r="K15" s="2594">
        <f>SUMIF('数据-汇总表'!C$19:C$33,'数据-取费表'!A15,'数据-汇总表'!E$19:E$33)</f>
        <v>4184.72</v>
      </c>
      <c r="L15" s="2601"/>
      <c r="M15" s="2596"/>
      <c r="N15" s="2602"/>
      <c r="O15" s="2596"/>
      <c r="P15" s="2598"/>
      <c r="Q15" s="2623"/>
      <c r="R15" s="2594"/>
      <c r="S15" s="2615"/>
      <c r="T15" s="2624"/>
      <c r="U15" s="2625"/>
      <c r="V15" s="2626"/>
      <c r="W15" s="2626"/>
      <c r="X15" s="2619"/>
      <c r="Y15" s="2644"/>
      <c r="Z15" s="2645"/>
      <c r="AA15" s="2646"/>
      <c r="AB15" s="2646"/>
      <c r="AC15" s="2622"/>
      <c r="AD15" s="2619"/>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5">
      <c r="A16" s="2519" t="s">
        <v>611</v>
      </c>
      <c r="B16" s="2520"/>
      <c r="C16" s="2521"/>
      <c r="D16" s="2522"/>
      <c r="E16" s="2520"/>
      <c r="F16" s="2520"/>
      <c r="G16" s="2523">
        <f>ROUND(SUMPRODUCT(G6:G13,K6:K13)/SUMPRODUCT((G6:G13&gt;0)*(K6:K13)),3)</f>
        <v>1</v>
      </c>
      <c r="H16" s="2524">
        <f>ROUND(SUMPRODUCT(H6:H13,K6:K13)/SUMPRODUCT((H6:H13&gt;0)*(K6:K13)),3)</f>
        <v>4.4999999999999998E-2</v>
      </c>
      <c r="I16" s="2603"/>
      <c r="J16" s="2603"/>
      <c r="K16" s="2604">
        <f>SUM(K6:K15)</f>
        <v>109558.57000000002</v>
      </c>
      <c r="L16" s="2605">
        <f>ROUND(M16*10000/SUM(K6:K14),0)</f>
        <v>2181</v>
      </c>
      <c r="M16" s="2605">
        <f>SUM(M6:M14)</f>
        <v>22987</v>
      </c>
      <c r="N16" s="2606">
        <f>ROUND(SUMPRODUCT(M6:M14,N6:N14)/M16,3)</f>
        <v>0</v>
      </c>
      <c r="O16" s="2605">
        <f>SUM(O6:O14)</f>
        <v>0</v>
      </c>
      <c r="P16" s="2605">
        <f>SUM(P6:P14)</f>
        <v>22987</v>
      </c>
      <c r="Q16" s="2627">
        <f>ROUND(SUMPRODUCT(Q6:Q13,K6:K13)/SUMPRODUCT((Q6:Q13&gt;0)*(K6:K13)),2)</f>
        <v>0.14000000000000001</v>
      </c>
      <c r="R16" s="2628">
        <f>SUM(R6:R13)</f>
        <v>40000.210000000006</v>
      </c>
      <c r="S16" s="2629">
        <f>SUM(S6:S13)</f>
        <v>3206.65</v>
      </c>
      <c r="T16" s="2630">
        <f>IF(SUMIF(T6:T13,"&lt;9E307")=M14,SUMIF(T6:T13,"&lt;9E307"),"有误，请检查")</f>
        <v>577</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0.93300000000000005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735"/>
      <c r="D17" s="2487"/>
      <c r="E17" s="2487"/>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4" t="s">
        <v>612</v>
      </c>
      <c r="B18" s="2493"/>
      <c r="C18" s="2490"/>
      <c r="D18" s="2491"/>
      <c r="E18" s="2490"/>
      <c r="F18" s="2490"/>
      <c r="G18" s="2490"/>
      <c r="H18" s="2490"/>
      <c r="I18" s="2490"/>
      <c r="J18" s="2490"/>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6" t="s">
        <v>613</v>
      </c>
      <c r="B19" s="2527">
        <v>0</v>
      </c>
      <c r="C19" s="2528" t="s">
        <v>614</v>
      </c>
      <c r="D19" s="2491"/>
      <c r="E19" s="2490"/>
      <c r="F19" s="2490"/>
      <c r="G19" s="2490"/>
      <c r="H19" s="2490"/>
      <c r="I19" s="2490"/>
      <c r="J19" s="2490"/>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29" t="s">
        <v>615</v>
      </c>
      <c r="B20" s="2530">
        <v>2</v>
      </c>
      <c r="C20" s="2528" t="s">
        <v>616</v>
      </c>
      <c r="D20" s="2491"/>
      <c r="E20" s="2490"/>
      <c r="F20" s="2490"/>
      <c r="G20" s="2490"/>
      <c r="H20" s="2490"/>
      <c r="I20" s="2490"/>
      <c r="J20" s="2490"/>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1" t="s">
        <v>617</v>
      </c>
      <c r="B21" s="2530">
        <v>0</v>
      </c>
      <c r="C21" s="2490"/>
      <c r="D21" s="2491"/>
      <c r="E21" s="2490"/>
      <c r="F21" s="2490"/>
      <c r="G21" s="2490"/>
      <c r="H21" s="2490"/>
      <c r="I21" s="2490"/>
      <c r="J21" s="2490"/>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29" t="s">
        <v>618</v>
      </c>
      <c r="B22" s="2532">
        <f>B19+B20</f>
        <v>2</v>
      </c>
      <c r="C22" s="2490"/>
      <c r="D22" s="2491"/>
      <c r="E22" s="2490"/>
      <c r="F22" s="2490"/>
      <c r="G22" s="2490"/>
      <c r="H22" s="2490"/>
      <c r="I22" s="2490"/>
      <c r="J22" s="2490"/>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1" t="s">
        <v>619</v>
      </c>
      <c r="B23" s="2532">
        <f>B19+B21</f>
        <v>0</v>
      </c>
      <c r="C23" s="2490"/>
      <c r="D23" s="2491"/>
      <c r="E23" s="2490"/>
      <c r="F23" s="2490"/>
      <c r="G23" s="2490"/>
      <c r="H23" s="2490"/>
      <c r="I23" s="2490"/>
      <c r="J23" s="2490"/>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3" t="s">
        <v>620</v>
      </c>
      <c r="B24" s="2534">
        <f>B20-B21</f>
        <v>2</v>
      </c>
      <c r="C24" s="2490"/>
      <c r="D24" s="2491"/>
      <c r="E24" s="2490"/>
      <c r="F24" s="2490"/>
      <c r="G24" s="2490"/>
      <c r="H24" s="2490"/>
      <c r="I24" s="2490"/>
      <c r="J24" s="2490"/>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2"/>
      <c r="B25" s="2493"/>
      <c r="C25" s="2490"/>
      <c r="D25" s="2491"/>
      <c r="E25" s="2490"/>
      <c r="F25" s="2490"/>
      <c r="G25" s="2490"/>
      <c r="H25" s="2490"/>
      <c r="I25" s="2490"/>
      <c r="J25" s="2490"/>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88" t="s">
        <v>621</v>
      </c>
      <c r="B26" s="2535" t="s">
        <v>622</v>
      </c>
      <c r="C26" s="2536" t="s">
        <v>623</v>
      </c>
      <c r="D26" s="2491"/>
      <c r="E26" s="2490"/>
      <c r="F26" s="2490"/>
      <c r="G26" s="2490"/>
      <c r="H26" s="2490"/>
      <c r="I26" s="2490"/>
      <c r="J26" s="2490"/>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0" customFormat="1" ht="27.75">
      <c r="A27" s="2537" t="s">
        <v>624</v>
      </c>
      <c r="B27" s="2538">
        <v>60</v>
      </c>
      <c r="C27" s="2539" t="s">
        <v>625</v>
      </c>
      <c r="D27" s="2540"/>
      <c r="E27" s="456"/>
      <c r="F27" s="456"/>
      <c r="G27" s="2490"/>
      <c r="H27" s="2490"/>
      <c r="I27" s="2490"/>
      <c r="J27" s="2490"/>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7.75">
      <c r="A28" s="2541" t="s">
        <v>626</v>
      </c>
      <c r="B28" s="2542">
        <v>80</v>
      </c>
      <c r="C28" s="2543"/>
      <c r="D28" s="2540"/>
      <c r="E28" s="456"/>
      <c r="F28" s="456"/>
      <c r="G28" s="2490"/>
      <c r="H28" s="2490"/>
      <c r="I28" s="2490"/>
      <c r="J28" s="2490"/>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7.75">
      <c r="A29" s="2544" t="s">
        <v>627</v>
      </c>
      <c r="B29" s="2545">
        <v>705</v>
      </c>
      <c r="C29" s="2546" t="s">
        <v>628</v>
      </c>
      <c r="D29" s="2540"/>
      <c r="E29" s="456"/>
      <c r="F29" s="456"/>
      <c r="G29" s="2490"/>
      <c r="H29" s="2490"/>
      <c r="I29" s="2490"/>
      <c r="J29" s="2490"/>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7">
      <c r="A30" s="2547" t="s">
        <v>629</v>
      </c>
      <c r="B30" s="2548">
        <v>200</v>
      </c>
      <c r="C30" s="2543"/>
      <c r="D30" s="2540"/>
      <c r="E30" s="456"/>
      <c r="F30" s="456"/>
      <c r="G30" s="2490"/>
      <c r="H30" s="2490"/>
      <c r="I30" s="2490"/>
      <c r="J30" s="2490"/>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7">
      <c r="A31" s="2541" t="s">
        <v>630</v>
      </c>
      <c r="B31" s="2549">
        <f>B30-B32</f>
        <v>100</v>
      </c>
      <c r="C31" s="2539"/>
      <c r="D31" s="2540"/>
      <c r="E31" s="456"/>
      <c r="F31" s="456"/>
      <c r="G31" s="2490"/>
      <c r="H31" s="2490"/>
      <c r="I31" s="2490"/>
      <c r="J31" s="2490"/>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7">
      <c r="A32" s="2550" t="s">
        <v>631</v>
      </c>
      <c r="B32" s="2551">
        <v>100</v>
      </c>
      <c r="C32" s="2543"/>
      <c r="D32" s="2491"/>
      <c r="E32" s="2490"/>
      <c r="F32" s="2490"/>
      <c r="G32" s="2490"/>
      <c r="H32" s="2490"/>
      <c r="I32" s="2490"/>
      <c r="J32" s="2490"/>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25">
      <c r="A33" s="2537" t="s">
        <v>632</v>
      </c>
      <c r="B33" s="2552">
        <v>0.03</v>
      </c>
      <c r="C33" s="2553" t="s">
        <v>633</v>
      </c>
      <c r="D33" s="2540"/>
      <c r="E33" s="456"/>
      <c r="F33" s="456"/>
      <c r="G33" s="2490"/>
      <c r="H33" s="2490"/>
      <c r="I33" s="2490"/>
      <c r="J33" s="2490"/>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1" t="s">
        <v>634</v>
      </c>
      <c r="B34" s="2554">
        <v>0.05</v>
      </c>
      <c r="C34" s="2553" t="s">
        <v>635</v>
      </c>
      <c r="D34" s="2491" t="s">
        <v>636</v>
      </c>
      <c r="E34" s="735"/>
      <c r="F34" s="2490"/>
      <c r="G34" s="2490"/>
      <c r="H34" s="2490"/>
      <c r="I34" s="2490"/>
      <c r="J34" s="2490"/>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1" t="s">
        <v>637</v>
      </c>
      <c r="B35" s="2542">
        <v>200</v>
      </c>
      <c r="C35" s="2553" t="s">
        <v>638</v>
      </c>
      <c r="D35" s="2491"/>
      <c r="E35" s="2490"/>
      <c r="F35" s="2490"/>
      <c r="G35" s="2490"/>
      <c r="H35" s="2490"/>
      <c r="I35" s="2490"/>
      <c r="J35" s="2490"/>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4" t="s">
        <v>639</v>
      </c>
      <c r="B36" s="2555">
        <v>1.4999999999999999E-2</v>
      </c>
      <c r="C36" s="2553" t="s">
        <v>640</v>
      </c>
      <c r="D36" s="2487"/>
      <c r="E36" s="2486"/>
      <c r="F36" s="2490"/>
      <c r="G36" s="2490"/>
      <c r="H36" s="2490"/>
      <c r="I36" s="2490"/>
      <c r="J36" s="2490"/>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7" t="s">
        <v>641</v>
      </c>
      <c r="B37" s="2556">
        <v>0.02</v>
      </c>
      <c r="C37" s="2553" t="s">
        <v>642</v>
      </c>
      <c r="D37" s="2491"/>
      <c r="E37" s="2490"/>
      <c r="F37" s="2490"/>
      <c r="G37" s="2490"/>
      <c r="H37" s="2490"/>
      <c r="I37" s="2490"/>
      <c r="J37" s="2490"/>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1" t="s">
        <v>643</v>
      </c>
      <c r="B38" s="2554">
        <v>0.02</v>
      </c>
      <c r="C38" s="2553" t="s">
        <v>642</v>
      </c>
      <c r="D38" s="2491"/>
      <c r="E38" s="2490"/>
      <c r="F38" s="2490"/>
      <c r="G38" s="2490"/>
      <c r="H38" s="2490"/>
      <c r="I38" s="2490"/>
      <c r="J38" s="2490"/>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7" t="s">
        <v>644</v>
      </c>
      <c r="B39" s="758">
        <f ca="1">存贷款利率!C4</f>
        <v>1.4999999999999999E-2</v>
      </c>
      <c r="C39" s="2553"/>
      <c r="D39" s="2491"/>
      <c r="E39" s="2490"/>
      <c r="F39" s="2490"/>
      <c r="G39" s="2490"/>
      <c r="H39" s="2490"/>
      <c r="I39" s="2490"/>
      <c r="J39" s="2490"/>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7" t="s">
        <v>645</v>
      </c>
      <c r="B40" s="2558">
        <f ca="1">存贷款利率!E2</f>
        <v>4.7500000000000001E-2</v>
      </c>
      <c r="C40" s="2553" t="s">
        <v>646</v>
      </c>
      <c r="D40" s="2491"/>
      <c r="E40" s="2490"/>
      <c r="F40" s="2490"/>
      <c r="G40" s="2490"/>
      <c r="H40" s="2490"/>
      <c r="I40" s="2490"/>
      <c r="J40" s="2490"/>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7" t="s">
        <v>647</v>
      </c>
      <c r="B41" s="2559">
        <f>B42+B43</f>
        <v>5.5000000000000007E-2</v>
      </c>
      <c r="C41" s="2539"/>
      <c r="D41" s="2491"/>
      <c r="E41" s="2490"/>
      <c r="F41" s="2490"/>
      <c r="G41" s="2490"/>
      <c r="H41" s="2490"/>
      <c r="I41" s="2490"/>
      <c r="J41" s="2490"/>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0" t="s">
        <v>648</v>
      </c>
      <c r="B42" s="2561">
        <v>0.05</v>
      </c>
      <c r="C42" s="2562">
        <f>IF(B2&lt;DATE(2016,5,1),0,B42)</f>
        <v>0.05</v>
      </c>
      <c r="D42" s="2491"/>
      <c r="E42" s="2490"/>
      <c r="F42" s="2490"/>
      <c r="G42" s="2490"/>
      <c r="H42" s="2490"/>
      <c r="I42" s="2490"/>
      <c r="J42" s="2490"/>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0" t="s">
        <v>649</v>
      </c>
      <c r="B43" s="2563">
        <f>B42*(B44+B45+B46)+B47</f>
        <v>5.000000000000001E-3</v>
      </c>
      <c r="C43" s="2539"/>
      <c r="D43" s="2491"/>
      <c r="E43" s="2490"/>
      <c r="F43" s="2490"/>
      <c r="G43" s="2490"/>
      <c r="H43" s="2490"/>
      <c r="I43" s="2490"/>
      <c r="J43" s="2490"/>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4" t="s">
        <v>650</v>
      </c>
      <c r="B44" s="2565">
        <v>0.05</v>
      </c>
      <c r="C44" s="2553" t="s">
        <v>651</v>
      </c>
      <c r="D44" s="2491"/>
      <c r="E44" s="2490"/>
      <c r="F44" s="2490"/>
      <c r="G44" s="2490"/>
      <c r="H44" s="2490"/>
      <c r="I44" s="2490"/>
      <c r="J44" s="2490"/>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4" t="s">
        <v>652</v>
      </c>
      <c r="B45" s="2561">
        <v>0.03</v>
      </c>
      <c r="C45" s="2539" t="s">
        <v>653</v>
      </c>
      <c r="D45" s="2491"/>
      <c r="E45" s="2490"/>
      <c r="F45" s="2490"/>
      <c r="G45" s="2490"/>
      <c r="H45" s="2490"/>
      <c r="I45" s="2490"/>
      <c r="J45" s="2490"/>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4" t="s">
        <v>654</v>
      </c>
      <c r="B46" s="2561">
        <v>0.02</v>
      </c>
      <c r="C46" s="2539" t="s">
        <v>655</v>
      </c>
      <c r="D46" s="2491"/>
      <c r="E46" s="2490"/>
      <c r="F46" s="2490"/>
      <c r="G46" s="2490"/>
      <c r="H46" s="2490"/>
      <c r="I46" s="2490"/>
      <c r="J46" s="2490"/>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6" t="s">
        <v>656</v>
      </c>
      <c r="B47" s="2567"/>
      <c r="C47" s="2568" t="s">
        <v>657</v>
      </c>
      <c r="D47" s="2491"/>
      <c r="E47" s="2490"/>
      <c r="F47" s="2490"/>
      <c r="G47" s="2490"/>
      <c r="H47" s="2490"/>
      <c r="I47" s="2490"/>
      <c r="J47" s="2490"/>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69" t="s">
        <v>658</v>
      </c>
      <c r="B48" s="2570">
        <v>0.03</v>
      </c>
      <c r="C48" s="2571" t="s">
        <v>659</v>
      </c>
      <c r="D48" s="2491"/>
      <c r="E48" s="2490"/>
      <c r="F48" s="2490"/>
      <c r="G48" s="2490"/>
      <c r="H48" s="2490"/>
      <c r="I48" s="2490"/>
      <c r="J48" s="2490"/>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0" t="s">
        <v>660</v>
      </c>
      <c r="B49" s="2561">
        <v>5.0000000000000001E-4</v>
      </c>
      <c r="C49" s="2571" t="s">
        <v>661</v>
      </c>
      <c r="D49" s="2491"/>
      <c r="E49" s="2490"/>
      <c r="F49" s="2490"/>
      <c r="G49" s="2490"/>
      <c r="H49" s="2490"/>
      <c r="I49" s="2490"/>
      <c r="J49" s="2490"/>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2" t="s">
        <v>662</v>
      </c>
      <c r="B50" s="2573">
        <v>1.2E-2</v>
      </c>
      <c r="C50" s="2543"/>
      <c r="D50" s="2491"/>
      <c r="E50" s="2490"/>
      <c r="F50" s="2490"/>
      <c r="G50" s="2490"/>
      <c r="H50" s="2490"/>
      <c r="I50" s="2490"/>
      <c r="J50" s="2490"/>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4" t="s">
        <v>663</v>
      </c>
      <c r="B51" s="2574">
        <v>0.12</v>
      </c>
      <c r="C51" s="2543"/>
      <c r="D51" s="2491"/>
      <c r="E51" s="2490"/>
      <c r="F51" s="2490"/>
      <c r="G51" s="2490"/>
      <c r="H51" s="2490"/>
      <c r="I51" s="2490"/>
      <c r="J51" s="2490"/>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2" t="s">
        <v>664</v>
      </c>
      <c r="B52" s="2575">
        <f>SUMIF(A54:A63,B53,B54:B63)</f>
        <v>5</v>
      </c>
      <c r="C52" s="2543"/>
      <c r="D52" s="2491"/>
      <c r="E52" s="2490"/>
      <c r="F52" s="2490"/>
      <c r="G52" s="2490"/>
      <c r="H52" s="2490"/>
      <c r="I52" s="2490"/>
      <c r="J52" s="2490"/>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1" t="s">
        <v>665</v>
      </c>
      <c r="B53" s="2576" t="s">
        <v>242</v>
      </c>
      <c r="C53" s="2577" t="s">
        <v>666</v>
      </c>
      <c r="D53" s="2578" t="s">
        <v>667</v>
      </c>
      <c r="E53" s="2490"/>
      <c r="F53" s="2490"/>
      <c r="G53" s="2490"/>
      <c r="H53" s="2490"/>
      <c r="I53" s="2490"/>
      <c r="J53" s="2490"/>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79" t="s">
        <v>242</v>
      </c>
      <c r="B54" s="2580">
        <v>5</v>
      </c>
      <c r="C54" s="456">
        <v>30</v>
      </c>
      <c r="D54" s="2581"/>
      <c r="E54" s="2490"/>
      <c r="F54" s="2490"/>
      <c r="G54" s="2490"/>
      <c r="H54" s="2490"/>
      <c r="I54" s="2490"/>
      <c r="J54" s="2490"/>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79" t="s">
        <v>255</v>
      </c>
      <c r="B55" s="2580">
        <v>3</v>
      </c>
      <c r="C55" s="456">
        <v>24</v>
      </c>
      <c r="D55" s="2581"/>
      <c r="E55" s="2490"/>
      <c r="F55" s="2490"/>
      <c r="G55" s="2490"/>
      <c r="H55" s="2490"/>
      <c r="I55" s="2607"/>
      <c r="J55" s="2490"/>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79" t="s">
        <v>267</v>
      </c>
      <c r="B56" s="2580">
        <v>2</v>
      </c>
      <c r="C56" s="456">
        <v>18</v>
      </c>
      <c r="D56" s="2581"/>
      <c r="E56" s="2490"/>
      <c r="F56" s="2490"/>
      <c r="G56" s="2490"/>
      <c r="H56" s="2490"/>
      <c r="I56" s="2490"/>
      <c r="J56" s="2490"/>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79" t="s">
        <v>277</v>
      </c>
      <c r="B57" s="2580"/>
      <c r="C57" s="456">
        <v>12</v>
      </c>
      <c r="D57" s="2581"/>
      <c r="E57" s="2490"/>
      <c r="F57" s="2490"/>
      <c r="G57" s="2490"/>
      <c r="H57" s="2490"/>
      <c r="I57" s="2490"/>
      <c r="J57" s="2490"/>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79" t="s">
        <v>286</v>
      </c>
      <c r="B58" s="2580"/>
      <c r="C58" s="456">
        <v>3</v>
      </c>
      <c r="D58" s="2581"/>
      <c r="E58" s="2490"/>
      <c r="F58" s="2490"/>
      <c r="G58" s="2490"/>
      <c r="H58" s="2490"/>
      <c r="I58" s="2490"/>
      <c r="J58" s="2490"/>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79" t="s">
        <v>294</v>
      </c>
      <c r="B59" s="2580"/>
      <c r="C59" s="456">
        <v>1.5</v>
      </c>
      <c r="D59" s="2581"/>
      <c r="E59" s="2490"/>
      <c r="F59" s="2490"/>
      <c r="G59" s="2490"/>
      <c r="H59" s="2490"/>
      <c r="I59" s="2490"/>
      <c r="J59" s="2490"/>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79" t="s">
        <v>299</v>
      </c>
      <c r="B60" s="2580"/>
      <c r="C60" s="2490"/>
      <c r="D60" s="2491"/>
      <c r="E60" s="2490"/>
      <c r="F60" s="2490"/>
      <c r="G60" s="2490"/>
      <c r="H60" s="2490"/>
      <c r="I60" s="2490"/>
      <c r="J60" s="2490"/>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79" t="s">
        <v>304</v>
      </c>
      <c r="B61" s="2580"/>
      <c r="C61" s="2490"/>
      <c r="D61" s="2491"/>
      <c r="E61" s="2490"/>
      <c r="F61" s="2490"/>
      <c r="G61" s="2490"/>
      <c r="H61" s="2490"/>
      <c r="I61" s="2490"/>
      <c r="J61" s="2490"/>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79" t="s">
        <v>307</v>
      </c>
      <c r="B62" s="2580"/>
      <c r="C62" s="2490"/>
      <c r="D62" s="2491"/>
      <c r="E62" s="2490"/>
      <c r="F62" s="2490"/>
      <c r="G62" s="2490"/>
      <c r="H62" s="2490"/>
      <c r="I62" s="2490"/>
      <c r="J62" s="2490"/>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2" t="s">
        <v>310</v>
      </c>
      <c r="B63" s="2583"/>
      <c r="C63" s="2490"/>
      <c r="D63" s="2491"/>
      <c r="E63" s="2490"/>
      <c r="F63" s="2490"/>
      <c r="G63" s="2490"/>
      <c r="H63" s="2490"/>
      <c r="I63" s="2490"/>
      <c r="J63" s="2490"/>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1" customFormat="1">
      <c r="A64" s="2176"/>
      <c r="D64" s="2584"/>
      <c r="K64" s="187"/>
      <c r="L64" s="187"/>
    </row>
    <row r="65" spans="1:12" s="2481" customFormat="1">
      <c r="A65" s="2176"/>
      <c r="D65" s="2584"/>
      <c r="K65" s="187"/>
      <c r="L65" s="187"/>
    </row>
    <row r="66" spans="1:12" s="2481" customFormat="1">
      <c r="A66" s="2176"/>
      <c r="D66" s="2584"/>
      <c r="K66" s="187"/>
      <c r="L66" s="187"/>
    </row>
    <row r="67" spans="1:12" s="2481" customFormat="1">
      <c r="A67" s="2176"/>
      <c r="D67" s="2584"/>
      <c r="K67" s="187"/>
      <c r="L67" s="187"/>
    </row>
    <row r="68" spans="1:12" s="2481" customFormat="1">
      <c r="A68" s="2176"/>
      <c r="D68" s="2584"/>
      <c r="K68" s="187"/>
      <c r="L68" s="187"/>
    </row>
    <row r="69" spans="1:12" s="2481" customFormat="1">
      <c r="A69" s="2176"/>
      <c r="D69" s="2584"/>
      <c r="K69" s="187"/>
      <c r="L69" s="187"/>
    </row>
    <row r="70" spans="1:12" s="2481" customFormat="1">
      <c r="A70" s="2176"/>
      <c r="D70" s="2584"/>
      <c r="K70" s="187"/>
      <c r="L70" s="187"/>
    </row>
    <row r="71" spans="1:12" s="2481" customFormat="1">
      <c r="A71" s="2176"/>
      <c r="D71" s="2584"/>
      <c r="K71" s="187"/>
      <c r="L71" s="187"/>
    </row>
    <row r="72" spans="1:12" s="2481" customFormat="1">
      <c r="A72" s="2176"/>
      <c r="D72" s="2584"/>
      <c r="K72" s="187"/>
      <c r="L72" s="187"/>
    </row>
    <row r="73" spans="1:12" s="2481" customFormat="1">
      <c r="A73" s="2176"/>
      <c r="D73" s="2584"/>
      <c r="K73" s="187"/>
      <c r="L73" s="187"/>
    </row>
    <row r="74" spans="1:12" s="2481" customFormat="1">
      <c r="A74" s="2176"/>
      <c r="D74" s="2584"/>
      <c r="K74" s="187"/>
      <c r="L74" s="187"/>
    </row>
    <row r="75" spans="1:12" s="2481" customFormat="1">
      <c r="A75" s="2176"/>
      <c r="D75" s="2584"/>
      <c r="K75" s="187"/>
      <c r="L75" s="187"/>
    </row>
    <row r="76" spans="1:12" s="2481" customFormat="1">
      <c r="A76" s="2176"/>
      <c r="D76" s="2584"/>
      <c r="K76" s="187"/>
      <c r="L76" s="187"/>
    </row>
    <row r="77" spans="1:12" s="2481" customFormat="1">
      <c r="A77" s="2176"/>
      <c r="D77" s="2584"/>
      <c r="K77" s="187"/>
      <c r="L77" s="187"/>
    </row>
    <row r="78" spans="1:12" s="2481" customFormat="1">
      <c r="A78" s="2176"/>
      <c r="D78" s="2584"/>
      <c r="K78" s="187"/>
      <c r="L78" s="187"/>
    </row>
    <row r="79" spans="1:12" s="2481" customFormat="1">
      <c r="A79" s="2176"/>
      <c r="D79" s="2584"/>
      <c r="K79" s="187"/>
      <c r="L79" s="187"/>
    </row>
    <row r="80" spans="1:12" s="2481" customFormat="1">
      <c r="A80" s="2176"/>
      <c r="D80" s="2584"/>
      <c r="K80" s="187"/>
      <c r="L80" s="187"/>
    </row>
    <row r="81" spans="1:12" s="2481" customFormat="1">
      <c r="A81" s="2176"/>
      <c r="D81" s="2584"/>
      <c r="K81" s="187"/>
      <c r="L81" s="187"/>
    </row>
    <row r="82" spans="1:12" s="2481" customFormat="1">
      <c r="A82" s="2176"/>
      <c r="D82" s="2584"/>
      <c r="K82" s="187"/>
      <c r="L82" s="187"/>
    </row>
    <row r="83" spans="1:12" s="2481" customFormat="1">
      <c r="A83" s="2176"/>
      <c r="D83" s="2584"/>
      <c r="K83" s="187"/>
      <c r="L83" s="187"/>
    </row>
    <row r="84" spans="1:12" s="2481" customFormat="1">
      <c r="A84" s="2176"/>
      <c r="D84" s="2584"/>
      <c r="K84" s="187"/>
      <c r="L84" s="187"/>
    </row>
    <row r="85" spans="1:12" s="2481" customFormat="1">
      <c r="A85" s="2176"/>
      <c r="D85" s="2584"/>
      <c r="K85" s="187"/>
      <c r="L85" s="187"/>
    </row>
    <row r="86" spans="1:12" s="2481" customFormat="1">
      <c r="A86" s="2176"/>
      <c r="D86" s="2584"/>
      <c r="K86" s="187"/>
      <c r="L86" s="187"/>
    </row>
    <row r="87" spans="1:12" s="2481" customFormat="1">
      <c r="A87" s="2176"/>
      <c r="D87" s="2584"/>
      <c r="K87" s="187"/>
      <c r="L87" s="187"/>
    </row>
    <row r="88" spans="1:12" s="2481" customFormat="1">
      <c r="A88" s="2176"/>
      <c r="D88" s="2584"/>
      <c r="K88" s="187"/>
      <c r="L88" s="187"/>
    </row>
    <row r="89" spans="1:12" s="2481" customFormat="1">
      <c r="A89" s="2176"/>
      <c r="D89" s="2584"/>
      <c r="K89" s="187"/>
      <c r="L89" s="187"/>
    </row>
    <row r="90" spans="1:12" s="2481" customFormat="1">
      <c r="A90" s="2176"/>
      <c r="D90" s="2584"/>
      <c r="K90" s="187"/>
      <c r="L90" s="187"/>
    </row>
    <row r="91" spans="1:12" s="2481" customFormat="1">
      <c r="A91" s="2176"/>
      <c r="D91" s="2584"/>
      <c r="K91" s="187"/>
      <c r="L91" s="187"/>
    </row>
    <row r="92" spans="1:12" s="2481" customFormat="1">
      <c r="A92" s="2176"/>
      <c r="D92" s="2584"/>
      <c r="K92" s="187"/>
      <c r="L92" s="187"/>
    </row>
    <row r="93" spans="1:12" s="2481" customFormat="1">
      <c r="A93" s="2176"/>
      <c r="D93" s="2584"/>
      <c r="K93" s="187"/>
      <c r="L93" s="187"/>
    </row>
    <row r="94" spans="1:12" s="2481" customFormat="1">
      <c r="A94" s="2176"/>
      <c r="D94" s="2584"/>
      <c r="K94" s="187"/>
      <c r="L94" s="187"/>
    </row>
    <row r="95" spans="1:12" s="2481" customFormat="1">
      <c r="A95" s="2176"/>
      <c r="D95" s="2584"/>
      <c r="K95" s="187"/>
      <c r="L95" s="187"/>
    </row>
    <row r="96" spans="1:12" s="2481" customFormat="1">
      <c r="A96" s="2176"/>
      <c r="D96" s="2584"/>
      <c r="K96" s="187"/>
      <c r="L96" s="187"/>
    </row>
    <row r="97" spans="1:12" s="2481" customFormat="1">
      <c r="A97" s="2176"/>
      <c r="D97" s="2584"/>
      <c r="K97" s="187"/>
      <c r="L97" s="187"/>
    </row>
    <row r="98" spans="1:12" s="2481" customFormat="1">
      <c r="A98" s="2176"/>
      <c r="D98" s="2584"/>
      <c r="K98" s="187"/>
      <c r="L98" s="187"/>
    </row>
    <row r="99" spans="1:12" s="2481" customFormat="1">
      <c r="A99" s="2176"/>
      <c r="D99" s="2584"/>
      <c r="K99" s="187"/>
      <c r="L99" s="187"/>
    </row>
    <row r="100" spans="1:12" s="2481" customFormat="1">
      <c r="A100" s="2176"/>
      <c r="D100" s="2584"/>
      <c r="K100" s="187"/>
      <c r="L100" s="187"/>
    </row>
    <row r="101" spans="1:12" s="2481" customFormat="1">
      <c r="A101" s="2176"/>
      <c r="D101" s="2584"/>
      <c r="K101" s="187"/>
      <c r="L101" s="187"/>
    </row>
    <row r="102" spans="1:12" s="2481" customFormat="1">
      <c r="A102" s="2176"/>
      <c r="D102" s="2584"/>
      <c r="K102" s="187"/>
      <c r="L102" s="187"/>
    </row>
    <row r="103" spans="1:12" s="2481" customFormat="1">
      <c r="A103" s="2176"/>
      <c r="D103" s="2584"/>
      <c r="K103" s="187"/>
      <c r="L103" s="187"/>
    </row>
    <row r="104" spans="1:12" s="2481" customFormat="1">
      <c r="A104" s="2176"/>
      <c r="D104" s="2584"/>
      <c r="K104" s="187"/>
      <c r="L104" s="187"/>
    </row>
    <row r="105" spans="1:12" s="2481" customFormat="1">
      <c r="A105" s="2176"/>
      <c r="D105" s="2584"/>
      <c r="K105" s="187"/>
      <c r="L105" s="187"/>
    </row>
    <row r="106" spans="1:12" s="2481" customFormat="1">
      <c r="A106" s="2176"/>
      <c r="D106" s="2584"/>
      <c r="K106" s="187"/>
      <c r="L106" s="187"/>
    </row>
    <row r="107" spans="1:12" s="2481" customFormat="1">
      <c r="A107" s="2176"/>
      <c r="D107" s="2584"/>
      <c r="K107" s="187"/>
      <c r="L107" s="187"/>
    </row>
    <row r="108" spans="1:12" s="2481" customFormat="1">
      <c r="A108" s="2176"/>
      <c r="D108" s="2584"/>
      <c r="K108" s="187"/>
      <c r="L108" s="187"/>
    </row>
    <row r="109" spans="1:12" s="2481" customFormat="1">
      <c r="A109" s="2176"/>
      <c r="D109" s="2584"/>
      <c r="K109" s="187"/>
      <c r="L109" s="187"/>
    </row>
    <row r="110" spans="1:12" s="2481" customFormat="1">
      <c r="A110" s="2176"/>
      <c r="D110" s="2584"/>
      <c r="K110" s="187"/>
      <c r="L110" s="187"/>
    </row>
    <row r="111" spans="1:12" s="2481" customFormat="1">
      <c r="A111" s="2176"/>
      <c r="D111" s="2584"/>
      <c r="K111" s="187"/>
      <c r="L111" s="187"/>
    </row>
    <row r="112" spans="1:12" s="2481" customFormat="1">
      <c r="A112" s="2176"/>
      <c r="D112" s="2584"/>
      <c r="K112" s="187"/>
      <c r="L112" s="187"/>
    </row>
    <row r="113" spans="1:12" s="2481" customFormat="1">
      <c r="A113" s="2176"/>
      <c r="D113" s="2584"/>
      <c r="K113" s="187"/>
      <c r="L113" s="187"/>
    </row>
    <row r="114" spans="1:12" s="2481" customFormat="1">
      <c r="A114" s="2176"/>
      <c r="D114" s="2584"/>
      <c r="K114" s="187"/>
      <c r="L114" s="187"/>
    </row>
    <row r="115" spans="1:12" s="2481" customFormat="1">
      <c r="A115" s="2176"/>
      <c r="D115" s="2584"/>
      <c r="K115" s="187"/>
      <c r="L115" s="187"/>
    </row>
    <row r="116" spans="1:12" s="2481" customFormat="1">
      <c r="A116" s="2176"/>
      <c r="D116" s="2584"/>
      <c r="K116" s="187"/>
      <c r="L116" s="187"/>
    </row>
    <row r="117" spans="1:12" s="2481" customFormat="1">
      <c r="A117" s="2176"/>
      <c r="D117" s="2584"/>
      <c r="K117" s="187"/>
      <c r="L117" s="187"/>
    </row>
    <row r="118" spans="1:12" s="2481" customFormat="1">
      <c r="A118" s="2176"/>
      <c r="D118" s="2584"/>
      <c r="K118" s="187"/>
      <c r="L118" s="187"/>
    </row>
    <row r="119" spans="1:12" s="2481" customFormat="1">
      <c r="A119" s="2176"/>
      <c r="D119" s="2584"/>
      <c r="K119" s="187"/>
      <c r="L119" s="187"/>
    </row>
    <row r="120" spans="1:12" s="2481" customFormat="1">
      <c r="A120" s="2176"/>
      <c r="D120" s="2584"/>
      <c r="K120" s="187"/>
      <c r="L120" s="187"/>
    </row>
    <row r="121" spans="1:12" s="2481" customFormat="1">
      <c r="A121" s="2176"/>
      <c r="D121" s="2584"/>
      <c r="K121" s="187"/>
      <c r="L121" s="187"/>
    </row>
    <row r="122" spans="1:12" s="2481" customFormat="1">
      <c r="A122" s="2176"/>
      <c r="D122" s="2584"/>
      <c r="K122" s="187"/>
      <c r="L122" s="187"/>
    </row>
    <row r="123" spans="1:12" s="2481" customFormat="1">
      <c r="A123" s="2176"/>
      <c r="D123" s="2584"/>
      <c r="K123" s="187"/>
      <c r="L123" s="187"/>
    </row>
    <row r="124" spans="1:12" s="2481" customFormat="1">
      <c r="A124" s="2176"/>
      <c r="D124" s="2584"/>
      <c r="K124" s="187"/>
      <c r="L124" s="187"/>
    </row>
    <row r="125" spans="1:12" s="2481" customFormat="1">
      <c r="A125" s="2176"/>
      <c r="D125" s="2584"/>
      <c r="K125" s="187"/>
      <c r="L125" s="187"/>
    </row>
    <row r="126" spans="1:12" s="2481" customFormat="1">
      <c r="A126" s="2176"/>
      <c r="D126" s="2584"/>
      <c r="K126" s="187"/>
      <c r="L126" s="187"/>
    </row>
    <row r="127" spans="1:12" s="2481" customFormat="1">
      <c r="A127" s="2176"/>
      <c r="D127" s="2584"/>
      <c r="K127" s="187"/>
      <c r="L127" s="187"/>
    </row>
    <row r="128" spans="1:12" s="2481" customFormat="1">
      <c r="A128" s="2176"/>
      <c r="D128" s="2584"/>
      <c r="K128" s="187"/>
      <c r="L128" s="187"/>
    </row>
    <row r="129" spans="1:12" s="2481" customFormat="1">
      <c r="A129" s="2176"/>
      <c r="D129" s="2584"/>
      <c r="K129" s="187"/>
      <c r="L129" s="187"/>
    </row>
    <row r="130" spans="1:12" s="2481" customFormat="1">
      <c r="A130" s="2176"/>
      <c r="D130" s="2584"/>
      <c r="K130" s="187"/>
      <c r="L130" s="187"/>
    </row>
    <row r="131" spans="1:12" s="2481" customFormat="1">
      <c r="A131" s="2176"/>
      <c r="D131" s="2584"/>
      <c r="K131" s="187"/>
      <c r="L131" s="187"/>
    </row>
    <row r="132" spans="1:12" s="2481" customFormat="1">
      <c r="A132" s="2176"/>
      <c r="D132" s="2584"/>
      <c r="K132" s="187"/>
      <c r="L132" s="187"/>
    </row>
    <row r="133" spans="1:12" s="2481" customFormat="1">
      <c r="A133" s="2176"/>
      <c r="D133" s="2584"/>
      <c r="K133" s="187"/>
      <c r="L133" s="187"/>
    </row>
    <row r="134" spans="1:12" s="2481" customFormat="1">
      <c r="A134" s="2176"/>
      <c r="D134" s="2584"/>
      <c r="K134" s="187"/>
      <c r="L134" s="187"/>
    </row>
    <row r="135" spans="1:12" s="2481" customFormat="1">
      <c r="A135" s="2176"/>
      <c r="D135" s="2584"/>
      <c r="K135" s="187"/>
      <c r="L135" s="187"/>
    </row>
    <row r="136" spans="1:12" s="2481" customFormat="1">
      <c r="A136" s="2176"/>
      <c r="D136" s="2584"/>
      <c r="K136" s="187"/>
      <c r="L136" s="187"/>
    </row>
    <row r="137" spans="1:12" s="2481" customFormat="1">
      <c r="A137" s="2176"/>
      <c r="D137" s="2584"/>
      <c r="K137" s="187"/>
      <c r="L137" s="187"/>
    </row>
    <row r="138" spans="1:12" s="2481" customFormat="1">
      <c r="A138" s="2176"/>
      <c r="D138" s="2584"/>
      <c r="K138" s="187"/>
      <c r="L138" s="187"/>
    </row>
    <row r="139" spans="1:12" s="2481" customFormat="1">
      <c r="A139" s="2176"/>
      <c r="D139" s="2584"/>
      <c r="K139" s="187"/>
      <c r="L139" s="187"/>
    </row>
    <row r="140" spans="1:12" s="2481" customFormat="1">
      <c r="A140" s="2176"/>
      <c r="D140" s="2584"/>
      <c r="K140" s="187"/>
      <c r="L140" s="187"/>
    </row>
    <row r="141" spans="1:12" s="2481" customFormat="1">
      <c r="A141" s="2176"/>
      <c r="D141" s="2584"/>
      <c r="K141" s="187"/>
      <c r="L141" s="187"/>
    </row>
    <row r="142" spans="1:12" s="2481" customFormat="1">
      <c r="A142" s="2176"/>
      <c r="D142" s="2584"/>
      <c r="K142" s="187"/>
      <c r="L142" s="187"/>
    </row>
    <row r="143" spans="1:12" s="2481" customFormat="1">
      <c r="A143" s="2176"/>
      <c r="D143" s="2584"/>
      <c r="K143" s="187"/>
      <c r="L143" s="187"/>
    </row>
    <row r="144" spans="1:12" s="2481" customFormat="1">
      <c r="A144" s="2176"/>
      <c r="D144" s="2584"/>
      <c r="K144" s="187"/>
      <c r="L144" s="187"/>
    </row>
    <row r="145" spans="1:12" s="2481" customFormat="1">
      <c r="A145" s="2176"/>
      <c r="D145" s="2584"/>
      <c r="K145" s="187"/>
      <c r="L145" s="187"/>
    </row>
    <row r="146" spans="1:12" s="2481" customFormat="1">
      <c r="A146" s="2176"/>
      <c r="D146" s="2584"/>
      <c r="K146" s="187"/>
      <c r="L146" s="187"/>
    </row>
    <row r="147" spans="1:12" s="2481" customFormat="1">
      <c r="A147" s="2176"/>
      <c r="D147" s="2584"/>
      <c r="K147" s="187"/>
      <c r="L147" s="187"/>
    </row>
    <row r="148" spans="1:12" s="2481" customFormat="1">
      <c r="A148" s="2176"/>
      <c r="D148" s="2584"/>
      <c r="K148" s="187"/>
      <c r="L148" s="187"/>
    </row>
    <row r="149" spans="1:12" s="2481" customFormat="1">
      <c r="A149" s="2176"/>
      <c r="D149" s="2584"/>
      <c r="K149" s="187"/>
      <c r="L149" s="187"/>
    </row>
    <row r="150" spans="1:12" s="2481" customFormat="1">
      <c r="A150" s="2176"/>
      <c r="D150" s="2584"/>
      <c r="K150" s="187"/>
      <c r="L150" s="187"/>
    </row>
    <row r="151" spans="1:12" s="2481" customFormat="1">
      <c r="A151" s="2176"/>
      <c r="D151" s="2584"/>
      <c r="K151" s="187"/>
      <c r="L151" s="187"/>
    </row>
    <row r="152" spans="1:12" s="2481" customFormat="1">
      <c r="A152" s="2176"/>
      <c r="D152" s="2584"/>
      <c r="K152" s="187"/>
      <c r="L152" s="187"/>
    </row>
    <row r="153" spans="1:12" s="2481" customFormat="1">
      <c r="A153" s="2176"/>
      <c r="D153" s="2584"/>
      <c r="K153" s="187"/>
      <c r="L153" s="187"/>
    </row>
    <row r="154" spans="1:12" s="2481" customFormat="1">
      <c r="A154" s="2176"/>
      <c r="D154" s="2584"/>
      <c r="K154" s="187"/>
      <c r="L154" s="187"/>
    </row>
    <row r="155" spans="1:12" s="2481" customFormat="1">
      <c r="A155" s="2176"/>
      <c r="D155" s="2584"/>
      <c r="K155" s="187"/>
      <c r="L155" s="187"/>
    </row>
    <row r="156" spans="1:12" s="2481" customFormat="1">
      <c r="A156" s="2176"/>
      <c r="D156" s="2584"/>
      <c r="K156" s="187"/>
      <c r="L156" s="187"/>
    </row>
    <row r="157" spans="1:12" s="2481" customFormat="1">
      <c r="A157" s="2176"/>
      <c r="D157" s="2584"/>
      <c r="K157" s="187"/>
      <c r="L157" s="187"/>
    </row>
    <row r="158" spans="1:12" s="2481" customFormat="1">
      <c r="A158" s="2176"/>
      <c r="D158" s="2584"/>
      <c r="K158" s="187"/>
      <c r="L158" s="187"/>
    </row>
    <row r="159" spans="1:12" s="2481" customFormat="1">
      <c r="A159" s="2176"/>
      <c r="D159" s="2584"/>
      <c r="K159" s="187"/>
      <c r="L159" s="187"/>
    </row>
    <row r="160" spans="1:12" s="2481" customFormat="1">
      <c r="A160" s="2176"/>
      <c r="D160" s="2584"/>
      <c r="K160" s="187"/>
      <c r="L160" s="187"/>
    </row>
    <row r="161" spans="1:12" s="2481" customFormat="1">
      <c r="A161" s="2176"/>
      <c r="D161" s="2584"/>
      <c r="K161" s="187"/>
      <c r="L161" s="187"/>
    </row>
    <row r="162" spans="1:12" s="2481" customFormat="1">
      <c r="A162" s="2176"/>
      <c r="D162" s="2584"/>
      <c r="K162" s="187"/>
      <c r="L162" s="187"/>
    </row>
    <row r="163" spans="1:12" s="2481" customFormat="1">
      <c r="A163" s="2176"/>
      <c r="D163" s="2584"/>
      <c r="K163" s="187"/>
      <c r="L163" s="187"/>
    </row>
    <row r="164" spans="1:12" s="2481" customFormat="1">
      <c r="A164" s="2176"/>
      <c r="D164" s="2584"/>
      <c r="K164" s="187"/>
      <c r="L164" s="187"/>
    </row>
    <row r="165" spans="1:12" s="2481" customFormat="1">
      <c r="A165" s="2176"/>
      <c r="D165" s="2584"/>
      <c r="K165" s="187"/>
      <c r="L165" s="187"/>
    </row>
    <row r="166" spans="1:12" s="2481" customFormat="1">
      <c r="A166" s="2176"/>
      <c r="D166" s="2584"/>
      <c r="K166" s="187"/>
      <c r="L166" s="187"/>
    </row>
    <row r="167" spans="1:12" s="2481" customFormat="1">
      <c r="A167" s="2176"/>
      <c r="D167" s="2584"/>
      <c r="K167" s="187"/>
      <c r="L167" s="187"/>
    </row>
    <row r="168" spans="1:12" s="2481" customFormat="1">
      <c r="A168" s="2176"/>
      <c r="D168" s="2584"/>
      <c r="K168" s="187"/>
      <c r="L168" s="187"/>
    </row>
    <row r="169" spans="1:12" s="2481" customFormat="1">
      <c r="A169" s="2176"/>
      <c r="D169" s="2584"/>
      <c r="K169" s="187"/>
      <c r="L169" s="187"/>
    </row>
    <row r="170" spans="1:12" s="2481" customFormat="1">
      <c r="A170" s="2176"/>
      <c r="D170" s="2584"/>
      <c r="K170" s="187"/>
      <c r="L170" s="187"/>
    </row>
    <row r="171" spans="1:12" s="2481" customFormat="1">
      <c r="A171" s="2176"/>
      <c r="D171" s="2584"/>
      <c r="K171" s="187"/>
      <c r="L171" s="187"/>
    </row>
    <row r="172" spans="1:12" s="2481" customFormat="1">
      <c r="A172" s="2176"/>
      <c r="D172" s="2584"/>
      <c r="K172" s="187"/>
      <c r="L172" s="187"/>
    </row>
    <row r="173" spans="1:12" s="2481" customFormat="1">
      <c r="A173" s="2176"/>
      <c r="D173" s="2584"/>
      <c r="K173" s="187"/>
      <c r="L173" s="187"/>
    </row>
    <row r="174" spans="1:12" s="2481" customFormat="1">
      <c r="A174" s="2176"/>
      <c r="D174" s="2584"/>
      <c r="K174" s="187"/>
      <c r="L174" s="187"/>
    </row>
    <row r="175" spans="1:12" s="2481" customFormat="1">
      <c r="A175" s="2176"/>
      <c r="D175" s="2584"/>
      <c r="K175" s="187"/>
      <c r="L175" s="187"/>
    </row>
    <row r="176" spans="1:12" s="2481" customFormat="1">
      <c r="A176" s="2176"/>
      <c r="D176" s="2584"/>
      <c r="K176" s="187"/>
      <c r="L176" s="187"/>
    </row>
    <row r="177" spans="1:12" s="2481" customFormat="1">
      <c r="A177" s="2176"/>
      <c r="D177" s="2584"/>
      <c r="K177" s="187"/>
      <c r="L177" s="187"/>
    </row>
    <row r="178" spans="1:12" s="2481" customFormat="1">
      <c r="A178" s="2176"/>
      <c r="D178" s="2584"/>
      <c r="K178" s="187"/>
      <c r="L178" s="187"/>
    </row>
    <row r="179" spans="1:12" s="2481" customFormat="1">
      <c r="A179" s="2176"/>
      <c r="D179" s="2584"/>
      <c r="K179" s="187"/>
      <c r="L179" s="187"/>
    </row>
    <row r="180" spans="1:12" s="2481" customFormat="1">
      <c r="A180" s="2176"/>
      <c r="D180" s="2584"/>
      <c r="K180" s="187"/>
      <c r="L180" s="187"/>
    </row>
    <row r="181" spans="1:12" s="2481" customFormat="1">
      <c r="A181" s="2176"/>
      <c r="D181" s="2584"/>
      <c r="K181" s="187"/>
      <c r="L181" s="187"/>
    </row>
    <row r="182" spans="1:12" s="2481" customFormat="1">
      <c r="A182" s="2176"/>
      <c r="D182" s="2584"/>
      <c r="K182" s="187"/>
      <c r="L182" s="187"/>
    </row>
    <row r="183" spans="1:12" s="2481" customFormat="1">
      <c r="A183" s="2176"/>
      <c r="D183" s="2584"/>
      <c r="K183" s="187"/>
      <c r="L183" s="187"/>
    </row>
    <row r="184" spans="1:12" s="2481" customFormat="1">
      <c r="A184" s="2176"/>
      <c r="D184" s="2584"/>
      <c r="K184" s="187"/>
      <c r="L184" s="187"/>
    </row>
    <row r="185" spans="1:12" s="2481" customFormat="1">
      <c r="A185" s="2176"/>
      <c r="D185" s="2584"/>
      <c r="K185" s="187"/>
      <c r="L185" s="187"/>
    </row>
    <row r="186" spans="1:12" s="2481" customFormat="1">
      <c r="A186" s="2176"/>
      <c r="D186" s="2584"/>
      <c r="K186" s="187"/>
      <c r="L186" s="187"/>
    </row>
    <row r="187" spans="1:12" s="2481" customFormat="1">
      <c r="A187" s="2176"/>
      <c r="D187" s="2584"/>
      <c r="K187" s="187"/>
      <c r="L187" s="187"/>
    </row>
    <row r="188" spans="1:12" s="2481" customFormat="1">
      <c r="A188" s="2176"/>
      <c r="D188" s="2584"/>
      <c r="K188" s="187"/>
      <c r="L188" s="187"/>
    </row>
    <row r="189" spans="1:12" s="2481" customFormat="1">
      <c r="A189" s="2176"/>
      <c r="D189" s="2584"/>
      <c r="K189" s="187"/>
      <c r="L189" s="187"/>
    </row>
    <row r="190" spans="1:12" s="2481" customFormat="1">
      <c r="A190" s="2176"/>
      <c r="D190" s="2584"/>
      <c r="K190" s="187"/>
      <c r="L190" s="187"/>
    </row>
    <row r="191" spans="1:12" s="2481" customFormat="1">
      <c r="A191" s="2176"/>
      <c r="D191" s="2584"/>
      <c r="K191" s="187"/>
      <c r="L191" s="187"/>
    </row>
    <row r="192" spans="1:12" s="2481" customFormat="1">
      <c r="A192" s="2176"/>
      <c r="D192" s="2584"/>
      <c r="K192" s="187"/>
      <c r="L192" s="187"/>
    </row>
  </sheetData>
  <sheetProtection password="C66D" sheet="1" objects="1" scenarios="1" formatCells="0" formatColumns="0" formatRows="0"/>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2" sqref="E12"/>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70" t="s">
        <v>668</v>
      </c>
      <c r="B1" s="3271"/>
      <c r="C1" s="3271"/>
      <c r="D1" s="3271"/>
      <c r="E1" s="3271"/>
      <c r="F1" s="3271"/>
      <c r="G1" s="3271"/>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4">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1.25">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1.25">
      <c r="A5" s="2422"/>
      <c r="B5" s="2425" t="s">
        <v>679</v>
      </c>
      <c r="C5" s="2426" t="s">
        <v>680</v>
      </c>
      <c r="D5" s="2421"/>
      <c r="E5" s="2427"/>
      <c r="F5" s="2425" t="s">
        <v>233</v>
      </c>
      <c r="G5" s="2429" t="s">
        <v>681</v>
      </c>
      <c r="H5" s="2406"/>
      <c r="I5" s="2406"/>
      <c r="J5" s="2406"/>
      <c r="K5" s="2406"/>
      <c r="L5" s="2406"/>
      <c r="M5" s="2406"/>
      <c r="N5" s="2406"/>
      <c r="O5" s="2406"/>
      <c r="P5" s="2406"/>
      <c r="Q5" s="2406"/>
      <c r="R5" s="2406"/>
    </row>
    <row r="6" spans="1:18" ht="54">
      <c r="A6" s="2422"/>
      <c r="B6" s="2425" t="s">
        <v>677</v>
      </c>
      <c r="C6" s="2429" t="s">
        <v>678</v>
      </c>
      <c r="D6" s="2421"/>
      <c r="E6" s="2427"/>
      <c r="F6" s="2425" t="s">
        <v>234</v>
      </c>
      <c r="G6" s="2429" t="s">
        <v>682</v>
      </c>
      <c r="H6" s="2406"/>
      <c r="I6" s="2406"/>
      <c r="J6" s="2406"/>
      <c r="K6" s="2406"/>
      <c r="L6" s="2406"/>
      <c r="M6" s="2406"/>
      <c r="N6" s="2406"/>
      <c r="O6" s="2406"/>
      <c r="P6" s="2406"/>
      <c r="Q6" s="2406"/>
      <c r="R6" s="2406"/>
    </row>
    <row r="7" spans="1:18" ht="40.5">
      <c r="A7" s="2422"/>
      <c r="B7" s="2425" t="s">
        <v>233</v>
      </c>
      <c r="C7" s="2429" t="s">
        <v>681</v>
      </c>
      <c r="D7" s="2430"/>
      <c r="E7" s="2431"/>
      <c r="F7" s="2432" t="s">
        <v>683</v>
      </c>
      <c r="G7" s="2433" t="s">
        <v>684</v>
      </c>
      <c r="H7" s="2406"/>
      <c r="I7" s="2406"/>
      <c r="J7" s="2406"/>
      <c r="K7" s="2406"/>
      <c r="L7" s="2406"/>
      <c r="M7" s="2406"/>
      <c r="N7" s="2406"/>
      <c r="O7" s="2406"/>
      <c r="P7" s="2406"/>
      <c r="Q7" s="2406"/>
      <c r="R7" s="2406"/>
    </row>
    <row r="8" spans="1:18" ht="27">
      <c r="A8" s="2422"/>
      <c r="B8" s="2425" t="s">
        <v>234</v>
      </c>
      <c r="C8" s="2429" t="s">
        <v>682</v>
      </c>
      <c r="D8" s="2430"/>
      <c r="E8" s="2430"/>
      <c r="F8" s="2434"/>
      <c r="G8" s="2434"/>
      <c r="H8" s="2406"/>
      <c r="I8" s="2406"/>
      <c r="J8" s="2406"/>
      <c r="K8" s="2406"/>
      <c r="L8" s="2406"/>
      <c r="M8" s="2406"/>
      <c r="N8" s="2406"/>
      <c r="O8" s="2406"/>
      <c r="P8" s="2406"/>
      <c r="Q8" s="2406"/>
      <c r="R8" s="2406"/>
    </row>
    <row r="9" spans="1:18" ht="40.5">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ht="14.25">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688</v>
      </c>
      <c r="B13" s="2441"/>
      <c r="C13" s="2441"/>
      <c r="D13" s="2415"/>
      <c r="E13" s="2441"/>
      <c r="F13" s="2441"/>
      <c r="G13" s="2441"/>
    </row>
    <row r="14" spans="1:18">
      <c r="A14" s="2444"/>
      <c r="B14" s="2445"/>
      <c r="C14" s="2446" t="s">
        <v>669</v>
      </c>
      <c r="D14" s="2421"/>
      <c r="E14" s="2447"/>
      <c r="F14" s="2447"/>
      <c r="G14" s="2414" t="s">
        <v>164</v>
      </c>
    </row>
    <row r="15" spans="1:18" ht="54">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0.5">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0.5">
      <c r="A17" s="2453"/>
      <c r="B17" s="2454" t="s">
        <v>679</v>
      </c>
      <c r="C17" s="2455" t="str">
        <f>C5</f>
        <v>估价对象位于XX商圈，周边办公楼项目较多，入驻率高，办公集聚程度较好</v>
      </c>
      <c r="D17" s="2430"/>
      <c r="E17" s="2456"/>
      <c r="F17" s="2457" t="s">
        <v>689</v>
      </c>
      <c r="G17" s="1823"/>
    </row>
    <row r="18" spans="1:7" ht="54">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7">
      <c r="A19" s="2453"/>
      <c r="B19" s="2457" t="s">
        <v>689</v>
      </c>
      <c r="C19" s="1823"/>
      <c r="D19" s="2421"/>
      <c r="E19" s="2456"/>
      <c r="F19" s="2425" t="s">
        <v>233</v>
      </c>
      <c r="G19" s="2458" t="str">
        <f>G5</f>
        <v>估价对象所在区域公共配套设施齐备情况</v>
      </c>
    </row>
    <row r="20" spans="1:7" ht="40.5">
      <c r="A20" s="2453"/>
      <c r="B20" s="2457" t="s">
        <v>690</v>
      </c>
      <c r="C20" s="2455" t="str">
        <f>C9</f>
        <v>区域自然环境：；人文环境；综合评价环境状况一般</v>
      </c>
      <c r="D20" s="2430"/>
      <c r="E20" s="2456"/>
      <c r="F20" s="2425" t="s">
        <v>234</v>
      </c>
      <c r="G20" s="2458" t="str">
        <f>G6</f>
        <v>估价对象所在区域基础设施水平</v>
      </c>
    </row>
    <row r="21" spans="1:7" ht="27">
      <c r="A21" s="2453"/>
      <c r="B21" s="2425" t="s">
        <v>233</v>
      </c>
      <c r="C21" s="2458" t="str">
        <f>C7</f>
        <v>估价对象所在区域公共配套设施齐备情况</v>
      </c>
      <c r="D21" s="2421"/>
      <c r="E21" s="2456"/>
      <c r="F21" s="2457" t="s">
        <v>691</v>
      </c>
      <c r="G21" s="2459"/>
    </row>
    <row r="22" spans="1:7" ht="27">
      <c r="A22" s="2453"/>
      <c r="B22" s="2425" t="s">
        <v>234</v>
      </c>
      <c r="C22" s="2458" t="str">
        <f>C8</f>
        <v>估价对象所在区域基础设施水平</v>
      </c>
      <c r="D22" s="2421"/>
      <c r="E22" s="2456"/>
      <c r="F22" s="2457" t="s">
        <v>687</v>
      </c>
      <c r="G22" s="1823"/>
    </row>
    <row r="23" spans="1:7" ht="14.25">
      <c r="A23" s="2453"/>
      <c r="B23" s="2457" t="s">
        <v>691</v>
      </c>
      <c r="C23" s="2459"/>
      <c r="E23" s="2460"/>
      <c r="F23" s="2461" t="s">
        <v>219</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2395" t="s">
        <v>692</v>
      </c>
      <c r="B1" s="2395">
        <f>SUM(B14:B23)</f>
        <v>373062.57</v>
      </c>
      <c r="C1" s="2396"/>
      <c r="D1" s="2396"/>
      <c r="E1" s="2396"/>
      <c r="F1" s="2396"/>
    </row>
    <row r="2" spans="1:9" ht="16.5">
      <c r="A2" s="2395" t="s">
        <v>693</v>
      </c>
      <c r="B2" s="2395">
        <f>SUM(C14:C23)</f>
        <v>134549.87</v>
      </c>
      <c r="C2" s="2396"/>
      <c r="D2" s="2396"/>
      <c r="E2" s="2396"/>
      <c r="F2" s="2396"/>
    </row>
    <row r="3" spans="1:9" ht="16.5">
      <c r="A3" s="2395" t="s">
        <v>694</v>
      </c>
      <c r="B3" s="2397">
        <f>项目基本情况!D3</f>
        <v>43768</v>
      </c>
      <c r="C3" s="2396"/>
      <c r="D3" s="2396"/>
      <c r="E3" s="2396"/>
      <c r="F3" s="2396"/>
    </row>
    <row r="4" spans="1:9" ht="33">
      <c r="A4" s="2395" t="s">
        <v>360</v>
      </c>
      <c r="B4" s="2395" t="s">
        <v>695</v>
      </c>
      <c r="C4" s="2395" t="s">
        <v>696</v>
      </c>
      <c r="D4" s="2395" t="s">
        <v>697</v>
      </c>
      <c r="E4" s="2396"/>
      <c r="F4" s="2396"/>
    </row>
    <row r="5" spans="1:9" ht="16.5">
      <c r="A5" s="2395" t="s">
        <v>698</v>
      </c>
      <c r="B5" s="2395">
        <f ca="1">SUM(D14:D23)</f>
        <v>32632</v>
      </c>
      <c r="C5" s="2395">
        <f ca="1">ROUND(B5*10000/$B$1,0)</f>
        <v>875</v>
      </c>
      <c r="D5" s="2395">
        <f ca="1">ROUND(B5*10000/$B$2,0)</f>
        <v>2425</v>
      </c>
      <c r="E5" s="2396"/>
      <c r="F5" s="2396"/>
    </row>
    <row r="6" spans="1:9" ht="16.5">
      <c r="A6" s="2395" t="s">
        <v>699</v>
      </c>
      <c r="B6" s="2395">
        <f ca="1">SUM(G14:G23)</f>
        <v>32632</v>
      </c>
      <c r="C6" s="2395">
        <f t="shared" ref="C6:C8" ca="1" si="0">ROUND(B6*10000/$B$1,0)</f>
        <v>875</v>
      </c>
      <c r="D6" s="2395">
        <f t="shared" ref="D6:D8" ca="1" si="1">ROUND(B6*10000/$B$2,0)</f>
        <v>2425</v>
      </c>
      <c r="E6" s="2396"/>
      <c r="F6" s="2396"/>
    </row>
    <row r="7" spans="1:9" ht="16.5">
      <c r="A7" s="2395" t="s">
        <v>700</v>
      </c>
      <c r="B7" s="2395">
        <f>SUM(H14:H23)</f>
        <v>0</v>
      </c>
      <c r="C7" s="2395">
        <f t="shared" si="0"/>
        <v>0</v>
      </c>
      <c r="D7" s="2395">
        <f t="shared" si="1"/>
        <v>0</v>
      </c>
      <c r="E7" s="2396"/>
      <c r="F7" s="2396"/>
    </row>
    <row r="8" spans="1:9" ht="16.5">
      <c r="A8" s="2395" t="s">
        <v>346</v>
      </c>
      <c r="B8" s="2395">
        <f>SUM(I14:I23)</f>
        <v>0</v>
      </c>
      <c r="C8" s="2395">
        <f t="shared" si="0"/>
        <v>0</v>
      </c>
      <c r="D8" s="2395">
        <f t="shared" si="1"/>
        <v>0</v>
      </c>
      <c r="E8" s="2396"/>
      <c r="F8" s="2396"/>
    </row>
    <row r="9" spans="1:9" ht="16.5">
      <c r="A9" s="2395" t="s">
        <v>701</v>
      </c>
      <c r="B9" s="2398"/>
      <c r="C9" s="2396"/>
      <c r="D9" s="2396"/>
      <c r="E9" s="2396"/>
      <c r="F9" s="2396"/>
    </row>
    <row r="10" spans="1:9" ht="16.5">
      <c r="A10" s="2395" t="s">
        <v>702</v>
      </c>
      <c r="B10" s="2398"/>
      <c r="C10" s="2396"/>
      <c r="D10" s="2396"/>
      <c r="E10" s="2396"/>
      <c r="F10" s="2396"/>
    </row>
    <row r="11" spans="1:9" ht="16.5">
      <c r="A11" s="2395" t="s">
        <v>703</v>
      </c>
      <c r="B11" s="2398"/>
      <c r="C11" s="2396"/>
      <c r="D11" s="2396"/>
      <c r="E11" s="2396"/>
      <c r="F11" s="2396"/>
    </row>
    <row r="12" spans="1:9" ht="16.5">
      <c r="A12" s="2396"/>
      <c r="B12" s="2396"/>
      <c r="C12" s="2396"/>
      <c r="D12" s="2396"/>
      <c r="E12" s="2396"/>
      <c r="F12" s="2396"/>
    </row>
    <row r="13" spans="1:9" ht="33">
      <c r="A13" s="2399" t="s">
        <v>704</v>
      </c>
      <c r="B13" s="2400" t="s">
        <v>692</v>
      </c>
      <c r="C13" s="2400" t="s">
        <v>693</v>
      </c>
      <c r="D13" s="2400" t="s">
        <v>705</v>
      </c>
      <c r="E13" s="2395" t="s">
        <v>696</v>
      </c>
      <c r="F13" s="2395" t="s">
        <v>697</v>
      </c>
      <c r="G13" s="2400" t="s">
        <v>706</v>
      </c>
      <c r="H13" s="2400" t="s">
        <v>707</v>
      </c>
      <c r="I13" s="2400" t="s">
        <v>708</v>
      </c>
    </row>
    <row r="14" spans="1:9" ht="16.5">
      <c r="A14" s="2401" t="s">
        <v>709</v>
      </c>
      <c r="B14" s="2400">
        <f>结果表!L38</f>
        <v>109558.57000000002</v>
      </c>
      <c r="C14" s="2400">
        <f>结果表!K38</f>
        <v>40000.22</v>
      </c>
      <c r="D14" s="2400">
        <f ca="1">结果表!C42</f>
        <v>15431</v>
      </c>
      <c r="E14" s="2400">
        <f ca="1">ROUND(D14*10000/B14,0)</f>
        <v>1408</v>
      </c>
      <c r="F14" s="2400">
        <f ca="1">ROUND(D14*10000/C14,0)</f>
        <v>3858</v>
      </c>
      <c r="G14" s="2400">
        <f ca="1">结果表!C44</f>
        <v>15431</v>
      </c>
      <c r="H14" s="2400" t="str">
        <f>结果表!C45</f>
        <v>——</v>
      </c>
      <c r="I14" s="2400" t="str">
        <f>结果表!C46</f>
        <v>——</v>
      </c>
    </row>
    <row r="15" spans="1:9" ht="16.5">
      <c r="A15" s="2401" t="s">
        <v>710</v>
      </c>
      <c r="B15" s="2402">
        <f>[1]系统读取表!$B$14</f>
        <v>263504</v>
      </c>
      <c r="C15" s="2402">
        <f>[1]系统读取表!$C$14</f>
        <v>94549.65</v>
      </c>
      <c r="D15" s="2402">
        <f ca="1">[1]系统读取表!$D$14</f>
        <v>17201</v>
      </c>
      <c r="E15" s="2400">
        <f t="shared" ref="E15:E23" ca="1" si="2">ROUND(D15*10000/B15,0)</f>
        <v>653</v>
      </c>
      <c r="F15" s="2400">
        <f t="shared" ref="F15:F23" ca="1" si="3">ROUND(D15*10000/C15,0)</f>
        <v>1819</v>
      </c>
      <c r="G15" s="2403">
        <f ca="1">[1]系统读取表!$G$14</f>
        <v>17201</v>
      </c>
      <c r="H15" s="2403"/>
      <c r="I15" s="2402"/>
    </row>
    <row r="16" spans="1:9" ht="16.5">
      <c r="A16" s="2401" t="s">
        <v>711</v>
      </c>
      <c r="B16" s="2402"/>
      <c r="C16" s="2402"/>
      <c r="D16" s="2402"/>
      <c r="E16" s="2400" t="e">
        <f t="shared" si="2"/>
        <v>#DIV/0!</v>
      </c>
      <c r="F16" s="2400" t="e">
        <f t="shared" si="3"/>
        <v>#DIV/0!</v>
      </c>
      <c r="G16" s="2403"/>
      <c r="H16" s="2403"/>
      <c r="I16" s="2402"/>
    </row>
    <row r="17" spans="1:9" ht="16.5">
      <c r="A17" s="2401" t="s">
        <v>712</v>
      </c>
      <c r="B17" s="2402"/>
      <c r="C17" s="2402"/>
      <c r="D17" s="2402"/>
      <c r="E17" s="2400" t="e">
        <f t="shared" si="2"/>
        <v>#DIV/0!</v>
      </c>
      <c r="F17" s="2400" t="e">
        <f t="shared" si="3"/>
        <v>#DIV/0!</v>
      </c>
      <c r="G17" s="2403"/>
      <c r="H17" s="2403"/>
      <c r="I17" s="2402"/>
    </row>
    <row r="18" spans="1:9" ht="16.5">
      <c r="A18" s="2401" t="s">
        <v>713</v>
      </c>
      <c r="B18" s="2402"/>
      <c r="C18" s="2402"/>
      <c r="D18" s="2402"/>
      <c r="E18" s="2400" t="e">
        <f t="shared" si="2"/>
        <v>#DIV/0!</v>
      </c>
      <c r="F18" s="2400" t="e">
        <f t="shared" si="3"/>
        <v>#DIV/0!</v>
      </c>
      <c r="G18" s="2402"/>
      <c r="H18" s="2402"/>
      <c r="I18" s="2402"/>
    </row>
    <row r="19" spans="1:9" ht="16.5">
      <c r="A19" s="2401" t="s">
        <v>714</v>
      </c>
      <c r="B19" s="2402"/>
      <c r="C19" s="2402"/>
      <c r="D19" s="2402"/>
      <c r="E19" s="2400" t="e">
        <f t="shared" si="2"/>
        <v>#DIV/0!</v>
      </c>
      <c r="F19" s="2400" t="e">
        <f t="shared" si="3"/>
        <v>#DIV/0!</v>
      </c>
      <c r="G19" s="2402"/>
      <c r="H19" s="2402"/>
      <c r="I19" s="2402"/>
    </row>
    <row r="20" spans="1:9" ht="16.5">
      <c r="A20" s="2401" t="s">
        <v>715</v>
      </c>
      <c r="B20" s="2402"/>
      <c r="C20" s="2402"/>
      <c r="D20" s="2402"/>
      <c r="E20" s="2400" t="e">
        <f t="shared" si="2"/>
        <v>#DIV/0!</v>
      </c>
      <c r="F20" s="2400" t="e">
        <f t="shared" si="3"/>
        <v>#DIV/0!</v>
      </c>
      <c r="G20" s="2402"/>
      <c r="H20" s="2402"/>
      <c r="I20" s="2402"/>
    </row>
    <row r="21" spans="1:9" ht="16.5">
      <c r="A21" s="2401" t="s">
        <v>716</v>
      </c>
      <c r="B21" s="2402"/>
      <c r="C21" s="2402"/>
      <c r="D21" s="2402"/>
      <c r="E21" s="2400" t="e">
        <f t="shared" si="2"/>
        <v>#DIV/0!</v>
      </c>
      <c r="F21" s="2400" t="e">
        <f t="shared" si="3"/>
        <v>#DIV/0!</v>
      </c>
      <c r="G21" s="2402"/>
      <c r="H21" s="2402"/>
      <c r="I21" s="2402"/>
    </row>
    <row r="22" spans="1:9" ht="16.5">
      <c r="A22" s="2401" t="s">
        <v>717</v>
      </c>
      <c r="B22" s="2402"/>
      <c r="C22" s="2402"/>
      <c r="D22" s="2402"/>
      <c r="E22" s="2400" t="e">
        <f t="shared" si="2"/>
        <v>#DIV/0!</v>
      </c>
      <c r="F22" s="2400" t="e">
        <f t="shared" si="3"/>
        <v>#DIV/0!</v>
      </c>
      <c r="G22" s="2402"/>
      <c r="H22" s="2402"/>
      <c r="I22" s="2402"/>
    </row>
    <row r="23" spans="1:9" ht="16.5">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9" t="s">
        <v>719</v>
      </c>
      <c r="B1" s="2070"/>
      <c r="C1" s="2071" t="s">
        <v>720</v>
      </c>
      <c r="D1" s="2072"/>
      <c r="E1" s="2071" t="s">
        <v>721</v>
      </c>
      <c r="F1" s="2073" t="s">
        <v>208</v>
      </c>
      <c r="G1" s="115"/>
      <c r="H1" s="115"/>
      <c r="I1" s="115"/>
      <c r="J1" s="180"/>
      <c r="K1" s="180"/>
      <c r="L1" s="180"/>
      <c r="M1" s="180"/>
      <c r="N1" s="180"/>
      <c r="O1" s="180"/>
      <c r="P1" s="180"/>
      <c r="Q1" s="180"/>
      <c r="R1" s="180"/>
      <c r="S1" s="180"/>
      <c r="T1" s="180"/>
      <c r="U1" s="180"/>
      <c r="V1" s="180"/>
    </row>
    <row r="2" spans="1:22" ht="21.75" customHeight="1">
      <c r="A2" s="3340" t="str">
        <f>项目基本情况!K2</f>
        <v>出让国有建设用地使用权</v>
      </c>
      <c r="B2" s="3341"/>
      <c r="C2" s="3342"/>
      <c r="D2" s="3342"/>
      <c r="E2" s="3342"/>
      <c r="F2" s="3342"/>
      <c r="G2" s="3341"/>
      <c r="H2" s="3341"/>
      <c r="I2" s="3343"/>
      <c r="J2" s="2185"/>
      <c r="K2" s="180"/>
      <c r="L2" s="180"/>
      <c r="M2" s="180"/>
      <c r="N2" s="180"/>
      <c r="O2" s="180"/>
      <c r="P2" s="180"/>
      <c r="Q2" s="180"/>
      <c r="R2" s="180"/>
      <c r="S2" s="180"/>
      <c r="T2" s="180"/>
      <c r="U2" s="180"/>
      <c r="V2" s="180"/>
    </row>
    <row r="3" spans="1:22" ht="14.25">
      <c r="A3" s="3344" t="s">
        <v>722</v>
      </c>
      <c r="B3" s="3345"/>
      <c r="C3" s="3345"/>
      <c r="D3" s="3345"/>
      <c r="E3" s="3345"/>
      <c r="F3" s="3345"/>
      <c r="G3" s="3345"/>
      <c r="H3" s="3345"/>
      <c r="I3" s="3345"/>
      <c r="J3" s="2185"/>
      <c r="K3" s="180"/>
      <c r="L3" s="180"/>
      <c r="M3" s="180"/>
      <c r="N3" s="180"/>
      <c r="O3" s="180"/>
      <c r="P3" s="180"/>
      <c r="Q3" s="180"/>
      <c r="R3" s="180"/>
      <c r="S3" s="180"/>
      <c r="T3" s="180"/>
      <c r="U3" s="180"/>
      <c r="V3" s="180"/>
    </row>
    <row r="4" spans="1:22" ht="14.25">
      <c r="A4" s="2074" t="s">
        <v>723</v>
      </c>
      <c r="B4" s="2036" t="s">
        <v>724</v>
      </c>
      <c r="C4" s="1115" t="s">
        <v>725</v>
      </c>
      <c r="D4" s="1115" t="s">
        <v>726</v>
      </c>
      <c r="E4" s="3290" t="s">
        <v>727</v>
      </c>
      <c r="F4" s="3291"/>
      <c r="G4" s="3291"/>
      <c r="H4" s="3291"/>
      <c r="I4" s="3321"/>
      <c r="J4" s="218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79" t="s">
        <v>728</v>
      </c>
      <c r="B5" s="3282">
        <v>25</v>
      </c>
      <c r="C5" s="3283"/>
      <c r="D5" s="3346"/>
      <c r="E5" s="690" t="s">
        <v>729</v>
      </c>
      <c r="F5" s="2077"/>
      <c r="G5" s="2077"/>
      <c r="H5" s="2077"/>
      <c r="I5" s="2187"/>
      <c r="J5" s="2185"/>
      <c r="K5" s="180"/>
      <c r="L5" s="180"/>
      <c r="M5" s="180"/>
      <c r="N5" s="180"/>
      <c r="O5" s="180"/>
      <c r="P5" s="180"/>
      <c r="Q5" s="180"/>
      <c r="R5" s="180"/>
      <c r="S5" s="180"/>
      <c r="T5" s="180"/>
      <c r="U5" s="180"/>
      <c r="V5" s="180"/>
    </row>
    <row r="6" spans="1:22" ht="14.25">
      <c r="A6" s="3279"/>
      <c r="B6" s="3282"/>
      <c r="C6" s="3284"/>
      <c r="D6" s="3346"/>
      <c r="E6" s="690" t="s">
        <v>730</v>
      </c>
      <c r="F6" s="2077"/>
      <c r="G6" s="2077"/>
      <c r="H6" s="2077"/>
      <c r="I6" s="2187"/>
      <c r="J6" s="2185"/>
      <c r="K6" s="180"/>
      <c r="L6" s="180"/>
      <c r="M6" s="180"/>
      <c r="N6" s="180"/>
      <c r="O6" s="180"/>
      <c r="P6" s="180"/>
      <c r="Q6" s="180"/>
      <c r="R6" s="180"/>
      <c r="S6" s="180"/>
      <c r="T6" s="180"/>
      <c r="U6" s="180"/>
      <c r="V6" s="180"/>
    </row>
    <row r="7" spans="1:22" ht="14.25">
      <c r="A7" s="3279"/>
      <c r="B7" s="3282"/>
      <c r="C7" s="3285"/>
      <c r="D7" s="3346"/>
      <c r="E7" s="690" t="s">
        <v>731</v>
      </c>
      <c r="F7" s="2077"/>
      <c r="G7" s="2077"/>
      <c r="H7" s="2077"/>
      <c r="I7" s="2187"/>
      <c r="J7" s="2185"/>
      <c r="K7" s="180"/>
      <c r="L7" s="180"/>
      <c r="M7" s="180"/>
      <c r="N7" s="180"/>
      <c r="O7" s="180"/>
      <c r="P7" s="180"/>
      <c r="Q7" s="180"/>
      <c r="R7" s="180"/>
      <c r="S7" s="180"/>
      <c r="T7" s="180"/>
      <c r="U7" s="180"/>
      <c r="V7" s="180"/>
    </row>
    <row r="8" spans="1:22" ht="14.25">
      <c r="A8" s="3279" t="s">
        <v>732</v>
      </c>
      <c r="B8" s="3282">
        <v>15</v>
      </c>
      <c r="C8" s="3283"/>
      <c r="D8" s="3346"/>
      <c r="E8" s="690" t="s">
        <v>733</v>
      </c>
      <c r="F8" s="2077"/>
      <c r="G8" s="2077"/>
      <c r="H8" s="2077"/>
      <c r="I8" s="2187"/>
      <c r="J8" s="2185"/>
      <c r="K8" s="180"/>
      <c r="L8" s="180"/>
      <c r="M8" s="180"/>
      <c r="N8" s="180"/>
      <c r="O8" s="180"/>
      <c r="P8" s="180"/>
      <c r="Q8" s="180"/>
      <c r="R8" s="180"/>
      <c r="S8" s="180"/>
      <c r="T8" s="180"/>
      <c r="U8" s="180"/>
      <c r="V8" s="180"/>
    </row>
    <row r="9" spans="1:22" ht="14.25">
      <c r="A9" s="3279"/>
      <c r="B9" s="3282"/>
      <c r="C9" s="3285"/>
      <c r="D9" s="3346"/>
      <c r="E9" s="690" t="s">
        <v>734</v>
      </c>
      <c r="F9" s="2077"/>
      <c r="G9" s="2077"/>
      <c r="H9" s="2077"/>
      <c r="I9" s="2187"/>
      <c r="J9" s="2185"/>
      <c r="K9" s="180"/>
      <c r="L9" s="180"/>
      <c r="M9" s="180"/>
      <c r="N9" s="180"/>
      <c r="O9" s="180"/>
      <c r="P9" s="180"/>
      <c r="Q9" s="180"/>
      <c r="R9" s="180"/>
      <c r="S9" s="180"/>
      <c r="T9" s="180"/>
      <c r="U9" s="180"/>
      <c r="V9" s="180"/>
    </row>
    <row r="10" spans="1:22" ht="14.25">
      <c r="A10" s="3279" t="s">
        <v>735</v>
      </c>
      <c r="B10" s="3282">
        <v>15</v>
      </c>
      <c r="C10" s="3283"/>
      <c r="D10" s="3346"/>
      <c r="E10" s="690" t="s">
        <v>736</v>
      </c>
      <c r="F10" s="2077"/>
      <c r="G10" s="2077"/>
      <c r="H10" s="2077"/>
      <c r="I10" s="2187"/>
      <c r="J10" s="2185"/>
      <c r="K10" s="180"/>
      <c r="L10" s="180"/>
      <c r="M10" s="180"/>
      <c r="N10" s="180"/>
      <c r="O10" s="180"/>
      <c r="P10" s="180"/>
      <c r="Q10" s="180"/>
      <c r="R10" s="180"/>
      <c r="S10" s="180"/>
      <c r="T10" s="180"/>
      <c r="U10" s="180"/>
      <c r="V10" s="180"/>
    </row>
    <row r="11" spans="1:22" ht="14.25">
      <c r="A11" s="3279"/>
      <c r="B11" s="3282"/>
      <c r="C11" s="3285"/>
      <c r="D11" s="3346"/>
      <c r="E11" s="690" t="s">
        <v>737</v>
      </c>
      <c r="F11" s="2077"/>
      <c r="G11" s="2077"/>
      <c r="H11" s="2077"/>
      <c r="I11" s="2187"/>
      <c r="J11" s="2185"/>
      <c r="K11" s="180"/>
      <c r="L11" s="180"/>
      <c r="M11" s="180"/>
      <c r="N11" s="180"/>
      <c r="O11" s="180"/>
      <c r="P11" s="180"/>
      <c r="Q11" s="180"/>
      <c r="R11" s="180"/>
      <c r="S11" s="180"/>
      <c r="T11" s="180"/>
      <c r="U11" s="180"/>
      <c r="V11" s="180"/>
    </row>
    <row r="12" spans="1:22" ht="14.25">
      <c r="A12" s="3279" t="s">
        <v>738</v>
      </c>
      <c r="B12" s="3282">
        <v>15</v>
      </c>
      <c r="C12" s="3283"/>
      <c r="D12" s="3346"/>
      <c r="E12" s="690" t="s">
        <v>739</v>
      </c>
      <c r="F12" s="2077"/>
      <c r="G12" s="2077"/>
      <c r="H12" s="2077"/>
      <c r="I12" s="2187"/>
      <c r="J12" s="2185"/>
      <c r="K12" s="180"/>
      <c r="L12" s="180"/>
      <c r="M12" s="180"/>
      <c r="N12" s="180"/>
      <c r="O12" s="180"/>
      <c r="P12" s="180"/>
      <c r="Q12" s="180"/>
      <c r="R12" s="180"/>
      <c r="S12" s="180"/>
      <c r="T12" s="180"/>
      <c r="U12" s="180"/>
      <c r="V12" s="180"/>
    </row>
    <row r="13" spans="1:22" ht="14.25">
      <c r="A13" s="3279"/>
      <c r="B13" s="3282"/>
      <c r="C13" s="3285"/>
      <c r="D13" s="3346"/>
      <c r="E13" s="690" t="s">
        <v>740</v>
      </c>
      <c r="F13" s="2077"/>
      <c r="G13" s="2077"/>
      <c r="H13" s="2077"/>
      <c r="I13" s="2187"/>
      <c r="J13" s="2185"/>
      <c r="K13" s="180"/>
      <c r="L13" s="180"/>
      <c r="M13" s="180"/>
      <c r="N13" s="180"/>
      <c r="O13" s="180"/>
      <c r="P13" s="180"/>
      <c r="Q13" s="180"/>
      <c r="R13" s="180"/>
      <c r="S13" s="180"/>
      <c r="T13" s="180"/>
      <c r="U13" s="180"/>
      <c r="V13" s="180"/>
    </row>
    <row r="14" spans="1:22" ht="14.25">
      <c r="A14" s="3279" t="s">
        <v>741</v>
      </c>
      <c r="B14" s="3282">
        <v>30</v>
      </c>
      <c r="C14" s="3283">
        <v>1</v>
      </c>
      <c r="D14" s="3346">
        <v>1</v>
      </c>
      <c r="E14" s="690" t="s">
        <v>742</v>
      </c>
      <c r="F14" s="2077"/>
      <c r="G14" s="2077"/>
      <c r="H14" s="2077"/>
      <c r="I14" s="2187"/>
      <c r="J14" s="2185"/>
      <c r="K14" s="180"/>
      <c r="L14" s="180"/>
      <c r="M14" s="180"/>
      <c r="N14" s="180"/>
      <c r="O14" s="180"/>
      <c r="P14" s="180"/>
      <c r="Q14" s="180"/>
      <c r="R14" s="180"/>
      <c r="S14" s="180"/>
      <c r="T14" s="180"/>
      <c r="U14" s="180"/>
      <c r="V14" s="180"/>
    </row>
    <row r="15" spans="1:22" ht="14.25">
      <c r="A15" s="3279"/>
      <c r="B15" s="3282"/>
      <c r="C15" s="3284"/>
      <c r="D15" s="3346"/>
      <c r="E15" s="690" t="s">
        <v>743</v>
      </c>
      <c r="F15" s="2077"/>
      <c r="G15" s="2077"/>
      <c r="H15" s="2077"/>
      <c r="I15" s="2187"/>
      <c r="J15" s="2185"/>
      <c r="K15" s="180"/>
      <c r="L15" s="180"/>
      <c r="M15" s="180"/>
      <c r="N15" s="180"/>
      <c r="O15" s="180"/>
      <c r="P15" s="180"/>
      <c r="Q15" s="180"/>
      <c r="R15" s="180"/>
      <c r="S15" s="180"/>
      <c r="T15" s="180"/>
      <c r="U15" s="180"/>
      <c r="V15" s="180"/>
    </row>
    <row r="16" spans="1:22" ht="14.25">
      <c r="A16" s="3279"/>
      <c r="B16" s="3282"/>
      <c r="C16" s="3285"/>
      <c r="D16" s="3346"/>
      <c r="E16" s="690" t="s">
        <v>744</v>
      </c>
      <c r="F16" s="2077"/>
      <c r="G16" s="2077"/>
      <c r="H16" s="2077"/>
      <c r="I16" s="2187"/>
      <c r="J16" s="2185"/>
      <c r="K16" s="180"/>
      <c r="L16" s="180"/>
      <c r="M16" s="180"/>
      <c r="N16" s="180"/>
      <c r="O16" s="180"/>
      <c r="P16" s="180"/>
      <c r="Q16" s="180"/>
      <c r="R16" s="180"/>
      <c r="S16" s="180"/>
      <c r="T16" s="180"/>
      <c r="U16" s="180"/>
      <c r="V16" s="180"/>
    </row>
    <row r="17" spans="1:26" ht="15">
      <c r="A17" s="2078" t="s">
        <v>745</v>
      </c>
      <c r="B17" s="2079"/>
      <c r="C17" s="2080">
        <f>SUM(C5:C16)</f>
        <v>1</v>
      </c>
      <c r="D17" s="2080">
        <f>SUM(D5:D16)</f>
        <v>1</v>
      </c>
      <c r="E17" s="115"/>
      <c r="F17" s="115"/>
      <c r="G17" s="115"/>
      <c r="H17" s="115"/>
      <c r="I17" s="115"/>
      <c r="J17" s="2185"/>
      <c r="K17" s="180"/>
      <c r="L17" s="180"/>
      <c r="M17" s="180"/>
      <c r="N17" s="180"/>
      <c r="O17" s="180"/>
      <c r="P17" s="180"/>
      <c r="Q17" s="180"/>
      <c r="R17" s="180"/>
      <c r="S17" s="180"/>
      <c r="T17" s="180"/>
      <c r="U17" s="180"/>
      <c r="V17" s="180"/>
    </row>
    <row r="18" spans="1:26" ht="15">
      <c r="A18" s="2081" t="s">
        <v>746</v>
      </c>
      <c r="B18" s="2082"/>
      <c r="C18" s="2083">
        <f>ROUND(C17/SUM(C17:D17),2)</f>
        <v>0.5</v>
      </c>
      <c r="D18" s="2083">
        <f>1-C18</f>
        <v>0.5</v>
      </c>
      <c r="E18" s="115"/>
      <c r="F18" s="115"/>
      <c r="G18" s="115"/>
      <c r="H18" s="115"/>
      <c r="I18" s="115"/>
      <c r="J18" s="180"/>
      <c r="K18" s="180"/>
      <c r="L18" s="180"/>
      <c r="M18" s="180"/>
      <c r="N18" s="180"/>
      <c r="O18" s="180"/>
      <c r="P18" s="180"/>
      <c r="Q18" s="180"/>
      <c r="R18" s="180"/>
      <c r="S18" s="180"/>
      <c r="T18" s="180"/>
      <c r="U18" s="180"/>
      <c r="V18" s="180"/>
    </row>
    <row r="19" spans="1:26" ht="15">
      <c r="A19" s="2084" t="s">
        <v>747</v>
      </c>
      <c r="B19" s="2085" t="s">
        <v>748</v>
      </c>
      <c r="C19" s="2086">
        <f ca="1">SUMIF(INDIRECT("'"&amp;C4&amp;"'"&amp;"!A:A"),结果表!B19,INDIRECT("'"&amp;C4&amp;"'"&amp;"!B:B"))</f>
        <v>15012</v>
      </c>
      <c r="D19" s="2087">
        <f ca="1">SUMIF(INDIRECT("'"&amp;D4&amp;"'"&amp;"!A:A"),结果表!B19,INDIRECT("'"&amp;D4&amp;"'"&amp;"!B:B"))</f>
        <v>16169</v>
      </c>
      <c r="E19" s="2084" t="s">
        <v>749</v>
      </c>
      <c r="F19" s="2085" t="s">
        <v>748</v>
      </c>
      <c r="G19" s="2088">
        <f ca="1">ROUND(C19*$C$18+D19*$D$18,0)</f>
        <v>15591</v>
      </c>
      <c r="H19" s="2089" t="s">
        <v>750</v>
      </c>
      <c r="I19" s="115"/>
      <c r="J19" s="180"/>
      <c r="K19" s="180"/>
      <c r="L19" s="180"/>
      <c r="M19" s="180"/>
      <c r="N19" s="180"/>
      <c r="O19" s="180"/>
      <c r="P19" s="180"/>
      <c r="Q19" s="180"/>
      <c r="R19" s="180"/>
      <c r="S19" s="180"/>
      <c r="T19" s="180"/>
      <c r="U19" s="180"/>
      <c r="V19" s="180"/>
    </row>
    <row r="20" spans="1:26" ht="15">
      <c r="A20" s="2090"/>
      <c r="B20" s="2091" t="s">
        <v>263</v>
      </c>
      <c r="C20" s="2092">
        <f ca="1">SUMIF(INDIRECT("'"&amp;C4&amp;"'"&amp;"!A:A"),结果表!B20,INDIRECT("'"&amp;C4&amp;"'"&amp;"!B:B"))</f>
        <v>1370</v>
      </c>
      <c r="D20" s="2093">
        <f ca="1">SUMIF(INDIRECT("'"&amp;D4&amp;"'"&amp;"!A:A"),结果表!B20,INDIRECT("'"&amp;D4&amp;"'"&amp;"!B:B"))</f>
        <v>1476</v>
      </c>
      <c r="E20" s="2090"/>
      <c r="F20" s="2091" t="s">
        <v>263</v>
      </c>
      <c r="G20" s="2094">
        <f ca="1">ROUND(C20*$C$18+D20*$D$18,0)</f>
        <v>1423</v>
      </c>
      <c r="H20" s="2018" t="s">
        <v>751</v>
      </c>
      <c r="I20" s="115"/>
      <c r="J20" s="180"/>
      <c r="K20" s="180"/>
      <c r="L20" s="180"/>
      <c r="M20" s="180"/>
      <c r="N20" s="180"/>
      <c r="O20" s="180"/>
      <c r="P20" s="180"/>
      <c r="Q20" s="180"/>
      <c r="R20" s="180"/>
      <c r="S20" s="180"/>
      <c r="T20" s="180"/>
      <c r="U20" s="180"/>
      <c r="V20" s="180"/>
    </row>
    <row r="21" spans="1:26" ht="15" customHeight="1">
      <c r="A21" s="2090"/>
      <c r="B21" s="2095" t="s">
        <v>251</v>
      </c>
      <c r="C21" s="2096">
        <f ca="1">SUMIF(INDIRECT("'"&amp;C4&amp;"'"&amp;"!A:A"),结果表!B21,INDIRECT("'"&amp;C4&amp;"'"&amp;"!B:B"))</f>
        <v>3753</v>
      </c>
      <c r="D21" s="2097">
        <f ca="1">SUMIF(INDIRECT("'"&amp;D4&amp;"'"&amp;"!A:A"),结果表!B21,INDIRECT("'"&amp;D4&amp;"'"&amp;"!B:B"))</f>
        <v>4042</v>
      </c>
      <c r="E21" s="2090"/>
      <c r="F21" s="2095" t="s">
        <v>251</v>
      </c>
      <c r="G21" s="2098">
        <f ca="1">ROUND(C21*$C$18+D21*$D$18,0)</f>
        <v>3898</v>
      </c>
      <c r="H21" s="2099" t="s">
        <v>751</v>
      </c>
      <c r="I21" s="115"/>
      <c r="J21" s="180"/>
      <c r="K21" s="180"/>
      <c r="L21" s="180"/>
      <c r="M21" s="180"/>
      <c r="N21" s="180"/>
      <c r="O21" s="180"/>
      <c r="P21" s="180"/>
      <c r="Q21" s="180"/>
      <c r="R21" s="180"/>
      <c r="S21" s="180"/>
      <c r="T21" s="180"/>
      <c r="U21" s="180"/>
      <c r="V21" s="180"/>
    </row>
    <row r="22" spans="1:26" ht="15">
      <c r="A22" s="2100" t="s">
        <v>752</v>
      </c>
      <c r="B22" s="2101"/>
      <c r="C22" s="2102"/>
      <c r="D22" s="2103">
        <f ca="1">IF(C19&lt;D19,D19/C19-1,C19/D19-1)</f>
        <v>7.707167599253939E-2</v>
      </c>
      <c r="E22" s="2010"/>
      <c r="F22" s="2104"/>
      <c r="G22" s="2105">
        <f ca="1">ROUND(G19/('数据-汇总表'!D3/666.67),0)</f>
        <v>260</v>
      </c>
      <c r="H22" s="2106"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80" t="s">
        <v>754</v>
      </c>
      <c r="B24" s="2085" t="s">
        <v>748</v>
      </c>
      <c r="C24" s="2107">
        <f>IF(B30=0,0,D30)</f>
        <v>160</v>
      </c>
      <c r="D24" s="2108"/>
      <c r="E24" s="115"/>
      <c r="F24" s="115"/>
      <c r="G24" s="115"/>
      <c r="H24" s="115"/>
      <c r="I24" s="115"/>
      <c r="J24" s="180"/>
      <c r="K24" s="180"/>
      <c r="L24" s="180"/>
      <c r="M24" s="180"/>
      <c r="N24" s="180"/>
      <c r="O24" s="180"/>
      <c r="P24" s="180"/>
      <c r="Q24" s="180"/>
      <c r="R24" s="180"/>
      <c r="S24" s="180"/>
      <c r="T24" s="180"/>
      <c r="U24" s="180"/>
      <c r="V24" s="180"/>
    </row>
    <row r="25" spans="1:26" ht="18">
      <c r="A25" s="3281"/>
      <c r="B25" s="2109" t="s">
        <v>263</v>
      </c>
      <c r="C25" s="2110">
        <f>IF(B30=0,0,C30)</f>
        <v>0</v>
      </c>
      <c r="D25" s="2111"/>
      <c r="E25" s="115"/>
      <c r="F25" s="115"/>
      <c r="G25" s="115"/>
      <c r="H25" s="115"/>
      <c r="I25" s="115"/>
      <c r="J25" s="180"/>
      <c r="K25" s="2188" t="str">
        <f ca="1">项目基本情况!B16&amp;"国有建设用地使用权价格："&amp;O38&amp;"万元"</f>
        <v>出让国有建设用地使用权价格：15431万元</v>
      </c>
      <c r="L25" s="2189"/>
      <c r="M25" s="2189"/>
      <c r="N25" s="2189"/>
      <c r="O25" s="2190"/>
      <c r="P25" s="180"/>
      <c r="Q25" s="180"/>
      <c r="R25" s="180"/>
      <c r="S25" s="180"/>
      <c r="T25" s="180"/>
      <c r="U25" s="180"/>
      <c r="V25" s="180"/>
    </row>
    <row r="26" spans="1:26" s="2067" customFormat="1" ht="18">
      <c r="A26" s="2112" t="s">
        <v>755</v>
      </c>
      <c r="B26" s="2113" t="s">
        <v>756</v>
      </c>
      <c r="C26" s="2113" t="s">
        <v>757</v>
      </c>
      <c r="D26" s="2114" t="s">
        <v>758</v>
      </c>
      <c r="E26" s="115"/>
      <c r="F26" s="115"/>
      <c r="G26" s="115"/>
      <c r="H26" s="115"/>
      <c r="I26" s="115"/>
      <c r="J26" s="180"/>
      <c r="K26" s="2191" t="str">
        <f ca="1">"大写金额：人民币"&amp;NUMBERSTRING(INT(O38*10000),2)&amp;"元整"</f>
        <v>大写金额：人民币壹亿伍仟肆佰叁拾壹万元整</v>
      </c>
      <c r="L26" s="2101"/>
      <c r="M26" s="2101"/>
      <c r="N26" s="2101"/>
      <c r="O26" s="2099"/>
      <c r="P26" s="180"/>
      <c r="Q26" s="180"/>
      <c r="R26" s="180"/>
      <c r="S26" s="180"/>
      <c r="T26" s="180"/>
      <c r="U26" s="180"/>
      <c r="V26" s="180"/>
      <c r="W26" s="2234"/>
      <c r="X26" s="2234"/>
      <c r="Y26" s="2234"/>
      <c r="Z26" s="2234"/>
    </row>
    <row r="27" spans="1:26" ht="18">
      <c r="A27" s="3171" t="s">
        <v>2479</v>
      </c>
      <c r="B27" s="2113">
        <f>'数据-基础表'!A3</f>
        <v>40000.22</v>
      </c>
      <c r="C27" s="2113">
        <v>40</v>
      </c>
      <c r="D27" s="2114">
        <f>ROUND(B27*C27/10000,0)</f>
        <v>160</v>
      </c>
      <c r="E27" s="115"/>
      <c r="F27" s="115"/>
      <c r="G27" s="115"/>
      <c r="H27" s="115"/>
      <c r="I27" s="115"/>
      <c r="J27" s="180"/>
      <c r="K27" s="2191" t="str">
        <f ca="1">"单位面积地价："&amp;M38&amp;"元/平方米"</f>
        <v>单位面积地价：3858元/平方米</v>
      </c>
      <c r="L27" s="2101"/>
      <c r="M27" s="2101"/>
      <c r="N27" s="2101"/>
      <c r="O27" s="2099"/>
      <c r="P27" s="180"/>
      <c r="Q27" s="180"/>
      <c r="R27" s="180"/>
      <c r="S27" s="180"/>
      <c r="T27" s="180"/>
      <c r="U27" s="180"/>
      <c r="V27" s="180"/>
    </row>
    <row r="28" spans="1:26" ht="18.75" customHeight="1">
      <c r="A28" s="2112"/>
      <c r="B28" s="2113"/>
      <c r="C28" s="2113"/>
      <c r="D28" s="2114"/>
      <c r="E28" s="115"/>
      <c r="F28" s="115"/>
      <c r="G28" s="115"/>
      <c r="H28" s="115"/>
      <c r="I28" s="115"/>
      <c r="J28" s="180"/>
      <c r="K28" s="2191" t="str">
        <f ca="1">"楼面地价："&amp;N38&amp;"元/平方米"</f>
        <v>楼面地价：1408元/平方米</v>
      </c>
      <c r="L28" s="2101"/>
      <c r="M28" s="2101"/>
      <c r="N28" s="2101"/>
      <c r="O28" s="2099"/>
      <c r="P28" s="180"/>
      <c r="V28" s="180"/>
    </row>
    <row r="29" spans="1:26" ht="18">
      <c r="A29" s="2112"/>
      <c r="B29" s="2113"/>
      <c r="C29" s="2113"/>
      <c r="D29" s="2114"/>
      <c r="E29" s="115"/>
      <c r="F29" s="115"/>
      <c r="G29" s="115"/>
      <c r="H29" s="115"/>
      <c r="I29" s="115"/>
      <c r="J29" s="180"/>
      <c r="K29" s="2191" t="str">
        <f ca="1">IF(OR(项目基本情况!E8="抵押价格",项目基本情况!E8="已注销及未注销"),"抵押价格："&amp;O39&amp;"万元","——")</f>
        <v>抵押价格：15431万元</v>
      </c>
      <c r="L29" s="2101"/>
      <c r="M29" s="2101"/>
      <c r="N29" s="2101"/>
      <c r="O29" s="2099"/>
      <c r="P29" s="180"/>
      <c r="V29" s="180"/>
    </row>
    <row r="30" spans="1:26" ht="18">
      <c r="A30" s="2115" t="s">
        <v>759</v>
      </c>
      <c r="B30" s="2116">
        <f>B27</f>
        <v>40000.22</v>
      </c>
      <c r="C30" s="2116"/>
      <c r="D30" s="2117">
        <f>D27</f>
        <v>160</v>
      </c>
      <c r="E30" s="2118" t="s">
        <v>760</v>
      </c>
      <c r="F30" s="115"/>
      <c r="G30" s="115"/>
      <c r="H30" s="115"/>
      <c r="I30" s="115"/>
      <c r="J30" s="180"/>
      <c r="K30" s="2191" t="str">
        <f ca="1">IF(K29="——","——","大写金额：人民币"&amp;NUMBERSTRING(INT(O39*10000),2)&amp;"元整")</f>
        <v>大写金额：人民币壹亿伍仟肆佰叁拾壹万元整</v>
      </c>
      <c r="L30" s="2101"/>
      <c r="M30" s="2101"/>
      <c r="N30" s="2101"/>
      <c r="O30" s="2099"/>
      <c r="P30" s="180"/>
      <c r="V30" s="180"/>
    </row>
    <row r="31" spans="1:26" ht="24" customHeight="1">
      <c r="A31" s="115"/>
      <c r="B31" s="115"/>
      <c r="C31" s="115"/>
      <c r="D31" s="115"/>
      <c r="E31" s="115"/>
      <c r="F31" s="115"/>
      <c r="G31" s="115"/>
      <c r="H31" s="115"/>
      <c r="I31" s="115"/>
      <c r="J31" s="180"/>
      <c r="K31" s="2192" t="str">
        <f>IF(项目基本情况!E8="抵押价格","——","抵押担保权已注销时的抵押价格："&amp;O40&amp;"万元")</f>
        <v>——</v>
      </c>
      <c r="L31" s="2193"/>
      <c r="M31" s="2193"/>
      <c r="N31" s="2193"/>
      <c r="O31" s="2194"/>
      <c r="P31" s="180"/>
      <c r="V31" s="180"/>
    </row>
    <row r="32" spans="1:26" ht="18">
      <c r="A32" s="2084" t="s">
        <v>761</v>
      </c>
      <c r="B32" s="2119" t="s">
        <v>762</v>
      </c>
      <c r="C32" s="2120">
        <f ca="1">G19-C24</f>
        <v>15431</v>
      </c>
      <c r="D32" s="2121" t="s">
        <v>763</v>
      </c>
      <c r="E32" s="115"/>
      <c r="F32" s="115"/>
      <c r="G32" s="115"/>
      <c r="H32" s="115"/>
      <c r="I32" s="115"/>
      <c r="J32" s="180"/>
      <c r="K32" s="2195" t="str">
        <f>IF(K31="——","——","大写金额：人民币"&amp;NUMBERSTRING(INT(O40*10000),2)&amp;"元整")</f>
        <v>——</v>
      </c>
      <c r="L32" s="2196"/>
      <c r="M32" s="2196"/>
      <c r="N32" s="2196"/>
      <c r="O32" s="2197"/>
      <c r="P32" s="180"/>
      <c r="V32" s="180"/>
    </row>
    <row r="33" spans="1:26" ht="18">
      <c r="A33" s="2122" t="s">
        <v>764</v>
      </c>
      <c r="B33" s="2123" t="s">
        <v>765</v>
      </c>
      <c r="C33" s="2078">
        <f ca="1">ROUND(C32*10000/'数据-汇总表'!E3,0)</f>
        <v>1408</v>
      </c>
      <c r="D33" s="2124" t="s">
        <v>766</v>
      </c>
      <c r="E33" s="3280" t="s">
        <v>767</v>
      </c>
      <c r="F33" s="2125" t="s">
        <v>768</v>
      </c>
      <c r="G33" s="2126"/>
      <c r="H33" s="2127"/>
      <c r="I33" s="2198"/>
      <c r="J33" s="180"/>
      <c r="K33" s="2191" t="str">
        <f>IF(项目基本情况!E9="——","——","抵押净值："&amp;C46&amp;"万元")</f>
        <v>——</v>
      </c>
      <c r="L33" s="2101"/>
      <c r="M33" s="2101"/>
      <c r="N33" s="2101"/>
      <c r="O33" s="2099"/>
      <c r="P33" s="180"/>
      <c r="V33" s="180"/>
    </row>
    <row r="34" spans="1:26" s="2067" customFormat="1" ht="18">
      <c r="A34" s="2128"/>
      <c r="B34" s="2129" t="s">
        <v>769</v>
      </c>
      <c r="C34" s="2078">
        <f ca="1">ROUND(C32*10000/'数据-汇总表'!D3,0)</f>
        <v>3858</v>
      </c>
      <c r="D34" s="2130" t="s">
        <v>766</v>
      </c>
      <c r="E34" s="3347"/>
      <c r="F34" s="2131" t="s">
        <v>770</v>
      </c>
      <c r="G34" s="2132"/>
      <c r="H34" s="2082"/>
      <c r="I34" s="115"/>
      <c r="J34" s="180"/>
      <c r="K34" s="2199" t="str">
        <f>IF(K33="——","——","大写金额：人民币"&amp;NUMBERSTRING(INT(O41*10000),2)&amp;"元整")</f>
        <v>——</v>
      </c>
      <c r="L34" s="2200"/>
      <c r="M34" s="2200"/>
      <c r="N34" s="2200"/>
      <c r="O34" s="2201"/>
      <c r="P34" s="180"/>
      <c r="Q34" s="2234"/>
      <c r="R34" s="2234"/>
      <c r="S34" s="2234"/>
      <c r="T34" s="2234"/>
      <c r="U34" s="2234"/>
      <c r="V34" s="180"/>
      <c r="W34" s="2234"/>
      <c r="X34" s="2234"/>
      <c r="Y34" s="2234"/>
      <c r="Z34" s="2234"/>
    </row>
    <row r="35" spans="1:26" ht="15">
      <c r="A35" s="2010"/>
      <c r="B35" s="2133"/>
      <c r="C35" s="2134">
        <f ca="1">ROUND(C32/('数据-汇总表'!D3/666.67),0)</f>
        <v>257</v>
      </c>
      <c r="D35" s="2135" t="s">
        <v>771</v>
      </c>
      <c r="E35" s="3348"/>
      <c r="F35" s="2136" t="s">
        <v>772</v>
      </c>
      <c r="G35" s="2137"/>
      <c r="H35" s="2138" t="s">
        <v>773</v>
      </c>
      <c r="I35" s="115"/>
      <c r="J35" s="180"/>
      <c r="K35" s="3272" t="s">
        <v>774</v>
      </c>
      <c r="L35" s="3272" t="s">
        <v>775</v>
      </c>
      <c r="M35" s="2202" t="s">
        <v>776</v>
      </c>
      <c r="N35" s="3272" t="s">
        <v>777</v>
      </c>
      <c r="O35" s="3272" t="s">
        <v>778</v>
      </c>
      <c r="P35" s="180"/>
      <c r="V35" s="180"/>
    </row>
    <row r="36" spans="1:26" ht="16.5" customHeight="1">
      <c r="A36" s="2139" t="s">
        <v>779</v>
      </c>
      <c r="B36" s="2140" t="s">
        <v>756</v>
      </c>
      <c r="C36" s="2141" t="s">
        <v>757</v>
      </c>
      <c r="D36" s="2141" t="s">
        <v>780</v>
      </c>
      <c r="E36" s="2142" t="s">
        <v>758</v>
      </c>
      <c r="F36" s="115"/>
      <c r="G36" s="115"/>
      <c r="H36" s="115"/>
      <c r="I36" s="115"/>
      <c r="J36" s="2203"/>
      <c r="K36" s="3273"/>
      <c r="L36" s="3273"/>
      <c r="M36" s="2204" t="s">
        <v>781</v>
      </c>
      <c r="N36" s="3273"/>
      <c r="O36" s="3273"/>
      <c r="P36" s="180"/>
      <c r="V36" s="180"/>
    </row>
    <row r="37" spans="1:26" ht="16.5" customHeight="1">
      <c r="A37" s="2143" t="s">
        <v>782</v>
      </c>
      <c r="B37" s="2144"/>
      <c r="C37" s="2113"/>
      <c r="D37" s="2113"/>
      <c r="E37" s="2114"/>
      <c r="F37" s="115"/>
      <c r="G37" s="115"/>
      <c r="H37" s="115"/>
      <c r="I37" s="115"/>
      <c r="J37" s="2203"/>
      <c r="K37" s="3274"/>
      <c r="L37" s="3274"/>
      <c r="M37" s="2205"/>
      <c r="N37" s="3274"/>
      <c r="O37" s="3274"/>
      <c r="P37" s="180"/>
      <c r="V37" s="180"/>
    </row>
    <row r="38" spans="1:26" ht="16.5" customHeight="1">
      <c r="A38" s="2143" t="s">
        <v>783</v>
      </c>
      <c r="B38" s="2144"/>
      <c r="C38" s="2113"/>
      <c r="D38" s="2113"/>
      <c r="E38" s="2114"/>
      <c r="F38" s="115"/>
      <c r="G38" s="115"/>
      <c r="H38" s="115"/>
      <c r="I38" s="115"/>
      <c r="J38" s="2203"/>
      <c r="K38" s="2206">
        <f>'数据-汇总表'!D3</f>
        <v>40000.22</v>
      </c>
      <c r="L38" s="2207">
        <f>'数据-汇总表'!E3</f>
        <v>109558.57000000002</v>
      </c>
      <c r="M38" s="2207">
        <f ca="1">C34</f>
        <v>3858</v>
      </c>
      <c r="N38" s="2207">
        <f ca="1">C33</f>
        <v>1408</v>
      </c>
      <c r="O38" s="2208">
        <f ca="1">C32</f>
        <v>15431</v>
      </c>
      <c r="P38" s="180"/>
      <c r="V38" s="180"/>
    </row>
    <row r="39" spans="1:26" ht="16.5" customHeight="1">
      <c r="A39" s="2145"/>
      <c r="B39" s="2146"/>
      <c r="C39" s="2116"/>
      <c r="D39" s="2116"/>
      <c r="E39" s="2117"/>
      <c r="F39" s="115"/>
      <c r="G39" s="115"/>
      <c r="H39" s="115"/>
      <c r="I39" s="115"/>
      <c r="J39" s="2203"/>
      <c r="K39" s="3331" t="str">
        <f>MID(A44,3,LEN(A44)-2)</f>
        <v>抵押价格</v>
      </c>
      <c r="L39" s="3332"/>
      <c r="M39" s="3332"/>
      <c r="N39" s="3333"/>
      <c r="O39" s="2209">
        <f ca="1">C44</f>
        <v>15431</v>
      </c>
      <c r="P39" s="180"/>
      <c r="V39" s="180"/>
    </row>
    <row r="40" spans="1:26" ht="18.75">
      <c r="A40" s="2147" t="s">
        <v>784</v>
      </c>
      <c r="B40" s="115"/>
      <c r="C40" s="115"/>
      <c r="D40" s="115"/>
      <c r="E40" s="115"/>
      <c r="F40" s="115"/>
      <c r="G40" s="115"/>
      <c r="H40" s="115"/>
      <c r="I40" s="115"/>
      <c r="J40" s="2203"/>
      <c r="K40" s="3331" t="str">
        <f t="shared" ref="K40:K41" si="0">MID(A45,3,LEN(A45)-2)</f>
        <v/>
      </c>
      <c r="L40" s="3332"/>
      <c r="M40" s="3332"/>
      <c r="N40" s="3333"/>
      <c r="O40" s="2209" t="str">
        <f>C45</f>
        <v>——</v>
      </c>
      <c r="P40" s="180"/>
      <c r="V40" s="180"/>
    </row>
    <row r="41" spans="1:26" ht="15.75">
      <c r="A41" s="2148" t="s">
        <v>785</v>
      </c>
      <c r="B41" s="2149"/>
      <c r="C41" s="2150" t="s">
        <v>786</v>
      </c>
      <c r="D41" s="2151" t="s">
        <v>787</v>
      </c>
      <c r="E41" s="2151" t="s">
        <v>788</v>
      </c>
      <c r="F41" s="2152" t="s">
        <v>789</v>
      </c>
      <c r="G41" s="115"/>
      <c r="H41" s="115"/>
      <c r="I41" s="115"/>
      <c r="J41" s="2203"/>
      <c r="K41" s="3331" t="str">
        <f t="shared" si="0"/>
        <v/>
      </c>
      <c r="L41" s="3332"/>
      <c r="M41" s="3332"/>
      <c r="N41" s="3333"/>
      <c r="O41" s="2209" t="str">
        <f>C46</f>
        <v>——</v>
      </c>
      <c r="P41" s="180"/>
      <c r="V41" s="180"/>
    </row>
    <row r="42" spans="1:26" ht="29.25">
      <c r="A42" s="3334" t="s">
        <v>790</v>
      </c>
      <c r="B42" s="3335"/>
      <c r="C42" s="2078">
        <f ca="1">C32</f>
        <v>15431</v>
      </c>
      <c r="D42" s="2153">
        <f ca="1">C33</f>
        <v>1408</v>
      </c>
      <c r="E42" s="2153">
        <f ca="1">C34</f>
        <v>3858</v>
      </c>
      <c r="F42" s="2154">
        <f ca="1">C35</f>
        <v>257</v>
      </c>
      <c r="G42" s="115"/>
      <c r="H42" s="115"/>
      <c r="I42" s="2210"/>
      <c r="J42" s="2203"/>
      <c r="K42" s="2211" t="s">
        <v>791</v>
      </c>
      <c r="L42" s="2212" t="s">
        <v>792</v>
      </c>
      <c r="M42" s="2213" t="s">
        <v>793</v>
      </c>
      <c r="N42" s="2214" t="s">
        <v>794</v>
      </c>
      <c r="O42" s="2215" t="s">
        <v>795</v>
      </c>
      <c r="P42" s="180"/>
      <c r="V42" s="180"/>
    </row>
    <row r="43" spans="1:26" ht="30">
      <c r="A43" s="3336" t="s">
        <v>796</v>
      </c>
      <c r="B43" s="3337"/>
      <c r="C43" s="2078">
        <f>IF(H33="正常操作",G33+G34+G35,G34+G35)</f>
        <v>0</v>
      </c>
      <c r="D43" s="2153" t="s">
        <v>138</v>
      </c>
      <c r="E43" s="2153" t="s">
        <v>138</v>
      </c>
      <c r="F43" s="2154" t="s">
        <v>138</v>
      </c>
      <c r="G43" s="2155" t="s">
        <v>138</v>
      </c>
      <c r="H43" s="115"/>
      <c r="I43" s="2210"/>
      <c r="J43" s="2203"/>
      <c r="K43" s="2216" t="str">
        <f>C4</f>
        <v>比较法-住宅、综合</v>
      </c>
      <c r="L43" s="2217">
        <f ca="1">IF(L42="估价结果/万元",C19,C20)</f>
        <v>15012</v>
      </c>
      <c r="M43" s="2218">
        <f>C18</f>
        <v>0.5</v>
      </c>
      <c r="N43" s="2219">
        <f ca="1">IF(N42="测算结果/万元",G19,G20)</f>
        <v>15591</v>
      </c>
      <c r="O43" s="2220">
        <f ca="1">IF(O42="最终结果/万元",C32,C33)</f>
        <v>15431</v>
      </c>
      <c r="P43" s="180"/>
      <c r="V43" s="180"/>
    </row>
    <row r="44" spans="1:26" ht="30">
      <c r="A44" s="3334" t="str">
        <f>IF(OR(项目基本情况!E8="抵押价格",项目基本情况!E8="已注销及未注销"),"3.抵押价格","——")</f>
        <v>3.抵押价格</v>
      </c>
      <c r="B44" s="3335"/>
      <c r="C44" s="2078">
        <f ca="1">IF(A44="——","——",C42-C43)</f>
        <v>15431</v>
      </c>
      <c r="D44" s="2153">
        <f ca="1">ROUND(C44*10000/'数据-汇总表'!E3,0)</f>
        <v>1408</v>
      </c>
      <c r="E44" s="2153">
        <f ca="1">ROUND(C44*10000/'数据-汇总表'!D3,0)</f>
        <v>3858</v>
      </c>
      <c r="F44" s="2154">
        <f ca="1">ROUND(C44/('数据-汇总表'!D3/666.67),0)</f>
        <v>257</v>
      </c>
      <c r="G44" s="115"/>
      <c r="H44" s="115"/>
      <c r="I44" s="2210"/>
      <c r="J44" s="2203"/>
      <c r="K44" s="2221" t="str">
        <f>D4</f>
        <v>剩余法-待开发</v>
      </c>
      <c r="L44" s="2222">
        <f ca="1">IF(L42="估价结果/万元",D19,D20)</f>
        <v>16169</v>
      </c>
      <c r="M44" s="2223">
        <f>D18</f>
        <v>0.5</v>
      </c>
      <c r="N44" s="2224"/>
      <c r="O44" s="2225"/>
      <c r="P44" s="180"/>
      <c r="V44" s="180"/>
    </row>
    <row r="45" spans="1:26" ht="15">
      <c r="A45" s="3338" t="str">
        <f>IF(项目基本情况!E8="已注销及未注销","4.抵押担保权已注销时的抵押价格",IF(项目基本情况!E8="已注销","3.抵押担保权已注销时的抵押价格","——"))</f>
        <v>——</v>
      </c>
      <c r="B45" s="3339"/>
      <c r="C45" s="2156" t="str">
        <f>IF(A45="——","——",IF(项目基本情况!E8="抵押价格","——",C32-G34-G35))</f>
        <v>——</v>
      </c>
      <c r="D45" s="2153" t="e">
        <f>ROUND(C45*10000/'数据-汇总表'!E3,0)</f>
        <v>#VALUE!</v>
      </c>
      <c r="E45" s="2153" t="e">
        <f>ROUND(C45*10000/'数据-汇总表'!D3,0)</f>
        <v>#VALUE!</v>
      </c>
      <c r="F45" s="2154" t="e">
        <f>ROUND(C45/('数据-汇总表'!D3/666.67),0)</f>
        <v>#VALUE!</v>
      </c>
      <c r="G45" s="115"/>
      <c r="H45" s="115"/>
      <c r="I45" s="2210"/>
      <c r="J45" s="2203"/>
      <c r="K45" s="180"/>
      <c r="L45" s="180"/>
      <c r="M45" s="180"/>
      <c r="N45" s="180"/>
      <c r="O45" s="180"/>
      <c r="P45" s="180"/>
      <c r="V45" s="180"/>
    </row>
    <row r="46" spans="1:26" ht="15">
      <c r="A46" s="3297" t="str">
        <f>IF(项目基本情况!E9="抵押净值",IF(A45="——","4.抵押净值","5.抵押净值"),"——")</f>
        <v>——</v>
      </c>
      <c r="B46" s="3298"/>
      <c r="C46" s="2157" t="str">
        <f>IF(A46="——","——",O79)</f>
        <v>——</v>
      </c>
      <c r="D46" s="2153" t="e">
        <f>ROUND(C46*10000/'数据-汇总表'!E3,0)</f>
        <v>#VALUE!</v>
      </c>
      <c r="E46" s="2153" t="e">
        <f>ROUND(C46*10000/'数据-汇总表'!D3,0)</f>
        <v>#VALUE!</v>
      </c>
      <c r="F46" s="2154" t="e">
        <f>ROUND(C46/('数据-汇总表'!D3/666.67),0)</f>
        <v>#VALUE!</v>
      </c>
      <c r="G46" s="115"/>
      <c r="H46" s="115"/>
      <c r="I46" s="2210"/>
      <c r="J46" s="2203"/>
      <c r="K46" s="180"/>
      <c r="L46" s="180"/>
      <c r="M46" s="180"/>
      <c r="N46" s="180"/>
      <c r="O46" s="180"/>
      <c r="P46" s="180"/>
      <c r="Q46" s="180"/>
      <c r="R46" s="180"/>
      <c r="S46" s="180"/>
      <c r="T46" s="180"/>
      <c r="U46" s="180"/>
      <c r="V46" s="180"/>
    </row>
    <row r="47" spans="1:26" ht="15.75">
      <c r="A47" s="2158" t="s">
        <v>797</v>
      </c>
      <c r="B47" s="2159"/>
      <c r="C47" s="2160" t="s">
        <v>798</v>
      </c>
      <c r="D47" s="2161"/>
      <c r="E47" s="2161"/>
      <c r="F47" s="2161"/>
      <c r="G47" s="2162"/>
      <c r="H47" s="2163"/>
      <c r="I47" s="2226"/>
      <c r="J47" s="220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4">
        <v>1</v>
      </c>
      <c r="B48" s="2165"/>
      <c r="C48" s="2165"/>
      <c r="D48" s="2161"/>
      <c r="E48" s="2161"/>
      <c r="F48" s="2161"/>
      <c r="G48" s="2161"/>
      <c r="H48" s="2166"/>
      <c r="I48" s="2227"/>
      <c r="J48" s="2203"/>
      <c r="K48" s="180"/>
      <c r="L48" s="180"/>
      <c r="M48" s="180"/>
      <c r="N48" s="180"/>
      <c r="O48" s="180"/>
      <c r="P48" s="180"/>
      <c r="Q48" s="180"/>
      <c r="R48" s="180"/>
      <c r="S48" s="180"/>
      <c r="T48" s="180"/>
      <c r="U48" s="180"/>
      <c r="V48" s="180"/>
    </row>
    <row r="49" spans="1:22" ht="12.75">
      <c r="A49" s="2164">
        <v>2</v>
      </c>
      <c r="B49" s="2165"/>
      <c r="C49" s="2165"/>
      <c r="D49" s="2161"/>
      <c r="E49" s="2161"/>
      <c r="F49" s="2161"/>
      <c r="G49" s="2161"/>
      <c r="H49" s="2166"/>
      <c r="I49" s="2227"/>
      <c r="J49" s="2228"/>
      <c r="K49" s="180"/>
      <c r="L49" s="180"/>
      <c r="M49" s="180"/>
      <c r="N49" s="180"/>
      <c r="O49" s="180"/>
      <c r="P49" s="180"/>
      <c r="Q49" s="180"/>
      <c r="R49" s="180"/>
      <c r="S49" s="180"/>
      <c r="T49" s="180"/>
      <c r="U49" s="180"/>
      <c r="V49" s="180"/>
    </row>
    <row r="50" spans="1:22" ht="12.75">
      <c r="A50" s="2164">
        <v>3</v>
      </c>
      <c r="B50" s="2165"/>
      <c r="C50" s="2165"/>
      <c r="D50" s="2161"/>
      <c r="E50" s="2161"/>
      <c r="F50" s="2161"/>
      <c r="G50" s="2161"/>
      <c r="H50" s="2166"/>
      <c r="I50" s="2227"/>
      <c r="J50" s="2228"/>
      <c r="K50" s="180"/>
      <c r="L50" s="180"/>
      <c r="M50" s="180"/>
      <c r="N50" s="180"/>
      <c r="O50" s="180"/>
      <c r="P50" s="180"/>
      <c r="Q50" s="180"/>
      <c r="R50" s="180"/>
      <c r="S50" s="180"/>
      <c r="T50" s="180"/>
      <c r="U50" s="180"/>
      <c r="V50" s="180"/>
    </row>
    <row r="51" spans="1:22" ht="12.75">
      <c r="A51" s="2167"/>
      <c r="B51" s="2168"/>
      <c r="C51" s="2168"/>
      <c r="D51" s="2169"/>
      <c r="E51" s="2169"/>
      <c r="F51" s="2169"/>
      <c r="G51" s="2169"/>
      <c r="H51" s="2170"/>
      <c r="I51" s="2229"/>
      <c r="J51" s="2228"/>
      <c r="K51" s="180"/>
      <c r="L51" s="180"/>
      <c r="M51" s="180"/>
      <c r="N51" s="180"/>
      <c r="O51" s="180"/>
      <c r="P51" s="180"/>
      <c r="Q51" s="180"/>
      <c r="R51" s="180"/>
      <c r="S51" s="180"/>
      <c r="T51" s="180"/>
      <c r="U51" s="180"/>
      <c r="V51" s="180"/>
    </row>
    <row r="52" spans="1:22" ht="12.75">
      <c r="A52" s="2165"/>
      <c r="B52" s="2165"/>
      <c r="C52" s="2165"/>
      <c r="D52" s="2161"/>
      <c r="E52" s="2161"/>
      <c r="F52" s="2161"/>
      <c r="G52" s="2161"/>
      <c r="H52" s="2166"/>
      <c r="I52" s="69"/>
      <c r="J52" s="2228"/>
      <c r="K52" s="180"/>
      <c r="L52" s="180"/>
      <c r="M52" s="180"/>
      <c r="N52" s="180"/>
      <c r="O52" s="180"/>
      <c r="P52" s="180"/>
      <c r="Q52" s="180"/>
      <c r="R52" s="180"/>
      <c r="S52" s="180"/>
      <c r="T52" s="180"/>
      <c r="U52" s="180"/>
      <c r="V52" s="180"/>
    </row>
    <row r="53" spans="1:22" ht="12.75">
      <c r="A53" s="69"/>
      <c r="B53" s="69"/>
      <c r="C53" s="69"/>
      <c r="D53" s="69"/>
      <c r="E53" s="69"/>
      <c r="F53" s="2171" t="s">
        <v>799</v>
      </c>
      <c r="G53" s="2172"/>
      <c r="H53" s="2172"/>
      <c r="I53" s="2230" t="s">
        <v>800</v>
      </c>
      <c r="J53" s="2228"/>
      <c r="K53" s="180"/>
      <c r="L53" s="180"/>
      <c r="M53" s="180"/>
      <c r="N53" s="180"/>
      <c r="O53" s="180"/>
      <c r="P53" s="180"/>
      <c r="Q53" s="180"/>
      <c r="R53" s="180"/>
      <c r="S53" s="180"/>
      <c r="T53" s="180"/>
      <c r="U53" s="180"/>
      <c r="V53" s="180"/>
    </row>
    <row r="54" spans="1:22" ht="12.75">
      <c r="A54" s="69"/>
      <c r="B54" s="2173" t="s">
        <v>801</v>
      </c>
      <c r="C54" s="69"/>
      <c r="D54" s="69"/>
      <c r="E54" s="69"/>
      <c r="F54" s="69"/>
      <c r="G54" s="69"/>
      <c r="H54" s="69"/>
      <c r="I54" s="69"/>
      <c r="J54" s="222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8"/>
      <c r="K55" s="180"/>
      <c r="L55" s="180"/>
      <c r="M55" s="180"/>
      <c r="N55" s="180"/>
      <c r="O55" s="180"/>
      <c r="P55" s="180"/>
      <c r="Q55" s="180"/>
      <c r="R55" s="180"/>
      <c r="S55" s="180"/>
      <c r="T55" s="180"/>
      <c r="U55" s="180"/>
      <c r="V55" s="180"/>
    </row>
    <row r="56" spans="1:22" ht="12.75">
      <c r="A56" s="69"/>
      <c r="B56" s="2172"/>
      <c r="C56" s="2172"/>
      <c r="D56" s="2172"/>
      <c r="E56" s="2172"/>
      <c r="F56" s="2172"/>
      <c r="G56" s="2172"/>
      <c r="H56" s="2172"/>
      <c r="I56" s="2230" t="s">
        <v>802</v>
      </c>
      <c r="J56" s="2228"/>
      <c r="K56" s="180"/>
      <c r="L56" s="180"/>
      <c r="M56" s="180"/>
      <c r="N56" s="180"/>
      <c r="O56" s="180"/>
      <c r="P56" s="180"/>
      <c r="Q56" s="180"/>
      <c r="R56" s="180"/>
      <c r="S56" s="180"/>
      <c r="T56" s="180"/>
      <c r="U56" s="180"/>
      <c r="V56" s="180"/>
    </row>
    <row r="57" spans="1:22" ht="12.75">
      <c r="A57" s="69"/>
      <c r="B57" s="2173" t="s">
        <v>803</v>
      </c>
      <c r="C57" s="69"/>
      <c r="D57" s="69"/>
      <c r="E57" s="69"/>
      <c r="F57" s="69"/>
      <c r="G57" s="69"/>
      <c r="H57" s="69"/>
      <c r="I57" s="69"/>
      <c r="J57" s="2228"/>
      <c r="K57" s="180"/>
      <c r="L57" s="180"/>
      <c r="M57" s="180"/>
      <c r="N57" s="180"/>
      <c r="O57" s="180"/>
      <c r="P57" s="180"/>
      <c r="Q57" s="180"/>
      <c r="R57" s="180"/>
      <c r="S57" s="180"/>
      <c r="T57" s="180"/>
      <c r="U57" s="180"/>
      <c r="V57" s="180"/>
    </row>
    <row r="58" spans="1:22" ht="12.75">
      <c r="A58" s="69"/>
      <c r="B58" s="2173"/>
      <c r="C58" s="69"/>
      <c r="D58" s="69"/>
      <c r="E58" s="69"/>
      <c r="F58" s="69"/>
      <c r="G58" s="69"/>
      <c r="H58" s="69"/>
      <c r="I58" s="69"/>
      <c r="J58" s="2228"/>
      <c r="K58" s="180"/>
      <c r="L58" s="180"/>
      <c r="M58" s="180"/>
      <c r="N58" s="180"/>
      <c r="O58" s="180"/>
      <c r="P58" s="180"/>
      <c r="Q58" s="180"/>
      <c r="R58" s="180"/>
      <c r="S58" s="180"/>
      <c r="T58" s="180"/>
      <c r="U58" s="180"/>
      <c r="V58" s="180"/>
    </row>
    <row r="59" spans="1:22" ht="12.75">
      <c r="A59" s="69"/>
      <c r="B59" s="2172"/>
      <c r="C59" s="2172"/>
      <c r="D59" s="2172"/>
      <c r="E59" s="2172"/>
      <c r="F59" s="2172"/>
      <c r="G59" s="2172"/>
      <c r="H59" s="2172"/>
      <c r="I59" s="2230" t="s">
        <v>802</v>
      </c>
      <c r="J59" s="222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8"/>
      <c r="K60" s="180"/>
      <c r="L60" s="180"/>
      <c r="M60" s="180"/>
      <c r="N60" s="180"/>
      <c r="O60" s="180"/>
      <c r="P60" s="180"/>
      <c r="Q60" s="180"/>
      <c r="R60" s="180"/>
      <c r="S60" s="180"/>
      <c r="T60" s="180"/>
      <c r="U60" s="180"/>
      <c r="V60" s="180"/>
    </row>
    <row r="61" spans="1:22" ht="12.75">
      <c r="A61" s="69"/>
      <c r="B61" s="2173"/>
      <c r="C61" s="2174"/>
      <c r="D61" s="2175"/>
      <c r="E61" s="2175"/>
      <c r="F61" s="2176"/>
      <c r="G61" s="69"/>
      <c r="H61" s="69"/>
      <c r="I61" s="69"/>
      <c r="J61" s="2228"/>
      <c r="K61" s="180"/>
      <c r="L61" s="180"/>
      <c r="M61" s="180"/>
      <c r="N61" s="180"/>
      <c r="O61" s="180"/>
      <c r="P61" s="180"/>
      <c r="Q61" s="180"/>
      <c r="R61" s="180"/>
      <c r="S61" s="180"/>
      <c r="T61" s="180"/>
      <c r="U61" s="180"/>
      <c r="V61" s="180"/>
    </row>
    <row r="62" spans="1:22" ht="18.75">
      <c r="A62" s="2177" t="s">
        <v>804</v>
      </c>
      <c r="B62" s="2178"/>
      <c r="C62" s="2178"/>
      <c r="D62" s="2179"/>
      <c r="E62" s="2179"/>
      <c r="F62" s="2180"/>
      <c r="G62" s="2180"/>
      <c r="H62" s="2180"/>
      <c r="I62" s="2180"/>
      <c r="J62" s="2231"/>
      <c r="K62" s="180"/>
      <c r="L62" s="180"/>
      <c r="M62" s="180"/>
      <c r="N62" s="180"/>
      <c r="O62" s="180"/>
      <c r="P62" s="180"/>
      <c r="Q62" s="180"/>
      <c r="R62" s="180"/>
      <c r="S62" s="180"/>
      <c r="T62" s="180"/>
      <c r="U62" s="180"/>
      <c r="V62" s="180"/>
    </row>
    <row r="63" spans="1:22" ht="14.25" customHeight="1">
      <c r="A63" s="3299" t="s">
        <v>805</v>
      </c>
      <c r="B63" s="3300"/>
      <c r="C63" s="3301"/>
      <c r="D63" s="718">
        <f ca="1">ROUND(C42*F63,0)</f>
        <v>9259</v>
      </c>
      <c r="E63" s="2181" t="s">
        <v>806</v>
      </c>
      <c r="F63" s="2182">
        <v>0.6</v>
      </c>
      <c r="G63" s="2183" t="s">
        <v>807</v>
      </c>
      <c r="H63" s="115"/>
      <c r="I63" s="115"/>
      <c r="J63" s="180"/>
      <c r="K63" s="180"/>
      <c r="L63" s="180"/>
      <c r="M63" s="180"/>
      <c r="N63" s="180"/>
      <c r="O63" s="180"/>
      <c r="P63" s="115"/>
      <c r="Q63" s="180"/>
      <c r="R63" s="180"/>
      <c r="S63" s="180"/>
      <c r="T63" s="180"/>
      <c r="U63" s="180"/>
      <c r="V63" s="180"/>
    </row>
    <row r="64" spans="1:22" ht="14.25" customHeight="1">
      <c r="A64" s="3302" t="s">
        <v>808</v>
      </c>
      <c r="B64" s="3303"/>
      <c r="C64" s="3303"/>
      <c r="D64" s="3303"/>
      <c r="E64" s="3303"/>
      <c r="F64" s="3303"/>
      <c r="G64" s="3304"/>
      <c r="H64" s="2184"/>
      <c r="I64" s="116"/>
      <c r="J64" s="117"/>
      <c r="K64" s="2232" t="s">
        <v>809</v>
      </c>
      <c r="L64" s="2233"/>
      <c r="M64" s="2233"/>
      <c r="N64" s="2233"/>
      <c r="O64" s="2233"/>
      <c r="P64" s="115"/>
      <c r="Q64" s="180"/>
      <c r="R64" s="180"/>
      <c r="S64" s="180"/>
      <c r="T64" s="180"/>
      <c r="U64" s="180"/>
      <c r="V64" s="180"/>
    </row>
    <row r="65" spans="1:22" ht="12" customHeight="1">
      <c r="A65" s="2235" t="s">
        <v>810</v>
      </c>
      <c r="B65" s="2236"/>
      <c r="C65" s="2237"/>
      <c r="D65" s="2238" t="s">
        <v>811</v>
      </c>
      <c r="E65" s="121" t="s">
        <v>812</v>
      </c>
      <c r="F65" s="2239" t="s">
        <v>813</v>
      </c>
      <c r="G65" s="2240" t="s">
        <v>814</v>
      </c>
      <c r="H65" s="2184"/>
      <c r="I65" s="116"/>
      <c r="J65" s="117"/>
      <c r="K65" s="2338"/>
      <c r="L65" s="2339"/>
      <c r="M65" s="2339"/>
      <c r="N65" s="2340" t="s">
        <v>815</v>
      </c>
      <c r="O65" s="2341"/>
      <c r="P65" s="2342"/>
      <c r="Q65" s="180"/>
      <c r="R65" s="180"/>
      <c r="S65" s="180"/>
      <c r="T65" s="180"/>
      <c r="U65" s="180"/>
      <c r="V65" s="180"/>
    </row>
    <row r="66" spans="1:22" ht="25.5">
      <c r="A66" s="3305" t="s">
        <v>816</v>
      </c>
      <c r="B66" s="3293"/>
      <c r="C66" s="3293"/>
      <c r="D66" s="690">
        <f ca="1">IF(H66="情况1",0,IF(H66="情况2",D70,IF(H66="情况3",D71,IF(H66="情况4",D72))))</f>
        <v>485</v>
      </c>
      <c r="E66" s="713" t="str">
        <f>IF(H66="情况4","(销售额-原购置价)×税（费）率","销售额×税（费）率")</f>
        <v>销售额×税（费）率</v>
      </c>
      <c r="F66" s="2241">
        <f>IF(H66="情况1","免征",'数据-取费表'!B41)</f>
        <v>5.5000000000000007E-2</v>
      </c>
      <c r="G66" s="2242" t="s">
        <v>817</v>
      </c>
      <c r="H66" s="2243" t="s">
        <v>818</v>
      </c>
      <c r="I66" s="2184"/>
      <c r="J66" s="2343"/>
      <c r="K66" s="2344">
        <v>1</v>
      </c>
      <c r="L66" s="3329" t="s">
        <v>819</v>
      </c>
      <c r="M66" s="3330"/>
      <c r="N66" s="2345"/>
      <c r="O66" s="2346"/>
      <c r="P66" s="2347"/>
      <c r="Q66" s="180"/>
      <c r="R66" s="180"/>
      <c r="S66" s="180"/>
      <c r="T66" s="180"/>
      <c r="U66" s="180"/>
      <c r="V66" s="180"/>
    </row>
    <row r="67" spans="1:22" ht="25.5" customHeight="1">
      <c r="A67" s="2244" t="s">
        <v>820</v>
      </c>
      <c r="B67" s="3294" t="s">
        <v>821</v>
      </c>
      <c r="C67" s="3294"/>
      <c r="D67" s="2245">
        <v>0</v>
      </c>
      <c r="E67" s="2246" t="s">
        <v>822</v>
      </c>
      <c r="F67" s="2247" t="s">
        <v>138</v>
      </c>
      <c r="G67" s="3326"/>
      <c r="H67" s="115"/>
      <c r="I67" s="2348"/>
      <c r="J67" s="2349"/>
      <c r="K67" s="2350">
        <v>2</v>
      </c>
      <c r="L67" s="3323" t="s">
        <v>823</v>
      </c>
      <c r="M67" s="3323"/>
      <c r="N67" s="2351">
        <f>'数据-取费表'!B2</f>
        <v>43768</v>
      </c>
      <c r="O67" s="2351"/>
      <c r="P67" s="2351"/>
      <c r="Q67" s="180"/>
      <c r="R67" s="180"/>
      <c r="S67" s="180"/>
      <c r="T67" s="180"/>
      <c r="U67" s="180"/>
      <c r="V67" s="180"/>
    </row>
    <row r="68" spans="1:22" ht="25.5" customHeight="1">
      <c r="A68" s="2249"/>
      <c r="B68" s="3294" t="s">
        <v>824</v>
      </c>
      <c r="C68" s="3294"/>
      <c r="D68" s="2250"/>
      <c r="E68" s="2251"/>
      <c r="F68" s="2252"/>
      <c r="G68" s="3327"/>
      <c r="H68" s="115"/>
      <c r="I68" s="2348"/>
      <c r="J68" s="2349"/>
      <c r="K68" s="2350">
        <v>3</v>
      </c>
      <c r="L68" s="3323" t="s">
        <v>825</v>
      </c>
      <c r="M68" s="3323"/>
      <c r="N68" s="2352">
        <f ca="1">C42</f>
        <v>15431</v>
      </c>
      <c r="O68" s="2352"/>
      <c r="P68" s="2352"/>
      <c r="Q68" s="180"/>
      <c r="R68" s="180"/>
      <c r="S68" s="180"/>
      <c r="T68" s="180"/>
      <c r="U68" s="180"/>
      <c r="V68" s="180"/>
    </row>
    <row r="69" spans="1:22" ht="12" customHeight="1">
      <c r="A69" s="2253"/>
      <c r="B69" s="3294" t="s">
        <v>826</v>
      </c>
      <c r="C69" s="3294"/>
      <c r="D69" s="2254"/>
      <c r="E69" s="2255"/>
      <c r="F69" s="2252"/>
      <c r="G69" s="3328"/>
      <c r="H69" s="115"/>
      <c r="I69" s="2348"/>
      <c r="J69" s="2349"/>
      <c r="K69" s="2353">
        <v>4</v>
      </c>
      <c r="L69" s="3324" t="s">
        <v>827</v>
      </c>
      <c r="M69" s="3325"/>
      <c r="N69" s="2354">
        <f ca="1">C44</f>
        <v>15431</v>
      </c>
      <c r="O69" s="2354"/>
      <c r="P69" s="2354"/>
      <c r="Q69" s="180"/>
      <c r="R69" s="180"/>
      <c r="S69" s="180"/>
      <c r="T69" s="180"/>
      <c r="U69" s="180"/>
      <c r="V69" s="180"/>
    </row>
    <row r="70" spans="1:22" ht="24" customHeight="1">
      <c r="A70" s="2257" t="s">
        <v>828</v>
      </c>
      <c r="B70" s="3294" t="s">
        <v>829</v>
      </c>
      <c r="C70" s="3294"/>
      <c r="D70" s="2254">
        <f ca="1">ROUND(D63*'数据-取费表'!B41/(1+'数据-取费表'!C42),0)</f>
        <v>485</v>
      </c>
      <c r="E70" s="124" t="s">
        <v>830</v>
      </c>
      <c r="F70" s="2258">
        <f>'数据-取费表'!B41</f>
        <v>5.5000000000000007E-2</v>
      </c>
      <c r="G70" s="2259"/>
      <c r="H70" s="115"/>
      <c r="I70" s="2348"/>
      <c r="J70" s="2349"/>
      <c r="K70" s="2355"/>
      <c r="L70" s="2356"/>
      <c r="M70" s="2356"/>
      <c r="N70" s="2357" t="s">
        <v>808</v>
      </c>
      <c r="O70" s="2356"/>
      <c r="P70" s="2358"/>
      <c r="Q70" s="180"/>
      <c r="R70" s="180"/>
      <c r="S70" s="180"/>
      <c r="T70" s="180"/>
      <c r="U70" s="180"/>
      <c r="V70" s="180"/>
    </row>
    <row r="71" spans="1:22" ht="12" customHeight="1">
      <c r="A71" s="2257" t="s">
        <v>831</v>
      </c>
      <c r="B71" s="3295" t="s">
        <v>832</v>
      </c>
      <c r="C71" s="3296"/>
      <c r="D71" s="2254">
        <f ca="1">ROUND(D63*'数据-取费表'!B41/(1+'数据-取费表'!C42),0)</f>
        <v>485</v>
      </c>
      <c r="E71" s="124" t="s">
        <v>830</v>
      </c>
      <c r="F71" s="2258">
        <f>'数据-取费表'!B41</f>
        <v>5.5000000000000007E-2</v>
      </c>
      <c r="G71" s="2259"/>
      <c r="H71" s="115"/>
      <c r="I71" s="2348"/>
      <c r="J71" s="2349"/>
      <c r="K71" s="2359" t="s">
        <v>833</v>
      </c>
      <c r="L71" s="3322" t="s">
        <v>810</v>
      </c>
      <c r="M71" s="3322"/>
      <c r="N71" s="2359" t="s">
        <v>834</v>
      </c>
      <c r="O71" s="2359" t="s">
        <v>835</v>
      </c>
      <c r="P71" s="2359" t="s">
        <v>813</v>
      </c>
      <c r="Q71" s="180"/>
      <c r="R71" s="180"/>
      <c r="S71" s="180"/>
      <c r="T71" s="180"/>
      <c r="U71" s="180"/>
      <c r="V71" s="180"/>
    </row>
    <row r="72" spans="1:22" ht="12" customHeight="1">
      <c r="A72" s="2257" t="s">
        <v>836</v>
      </c>
      <c r="B72" s="3295" t="s">
        <v>837</v>
      </c>
      <c r="C72" s="3296"/>
      <c r="D72" s="2254">
        <f ca="1">C86</f>
        <v>375</v>
      </c>
      <c r="E72" s="2255" t="s">
        <v>838</v>
      </c>
      <c r="F72" s="2258">
        <f>'数据-取费表'!B41</f>
        <v>5.5000000000000007E-2</v>
      </c>
      <c r="G72" s="2259"/>
      <c r="H72" s="2260"/>
      <c r="I72" s="2348"/>
      <c r="J72" s="2349"/>
      <c r="K72" s="2350">
        <v>1</v>
      </c>
      <c r="L72" s="3312" t="s">
        <v>839</v>
      </c>
      <c r="M72" s="3312"/>
      <c r="N72" s="2360">
        <f ca="1">D66</f>
        <v>485</v>
      </c>
      <c r="O72" s="1271" t="str">
        <f>E66</f>
        <v>销售额×税（费）率</v>
      </c>
      <c r="P72" s="2361">
        <f>F66</f>
        <v>5.5000000000000007E-2</v>
      </c>
      <c r="Q72" s="180"/>
      <c r="R72" s="180"/>
      <c r="S72" s="180"/>
      <c r="T72" s="180"/>
      <c r="U72" s="180"/>
      <c r="V72" s="180"/>
    </row>
    <row r="73" spans="1:22" ht="24" customHeight="1">
      <c r="A73" s="3292" t="s">
        <v>840</v>
      </c>
      <c r="B73" s="3293"/>
      <c r="C73" s="3293"/>
      <c r="D73" s="2261">
        <f>IF(H73="个人住宅",0,ROUND(D63*I73,0))</f>
        <v>0</v>
      </c>
      <c r="E73" s="124" t="s">
        <v>841</v>
      </c>
      <c r="F73" s="2258" t="str">
        <f>IF(H73="正常",I73,"免征")</f>
        <v>免征</v>
      </c>
      <c r="G73" s="2259"/>
      <c r="H73" s="2243" t="s">
        <v>842</v>
      </c>
      <c r="I73" s="2258">
        <f>'数据-取费表'!B49</f>
        <v>5.0000000000000001E-4</v>
      </c>
      <c r="J73" s="2349"/>
      <c r="K73" s="2350">
        <v>2</v>
      </c>
      <c r="L73" s="3312" t="s">
        <v>843</v>
      </c>
      <c r="M73" s="3312"/>
      <c r="N73" s="2360">
        <f t="shared" ref="N73:P74" si="1">D73</f>
        <v>0</v>
      </c>
      <c r="O73" s="1271" t="str">
        <f t="shared" si="1"/>
        <v>销售额×税（费）率</v>
      </c>
      <c r="P73" s="2361" t="str">
        <f t="shared" si="1"/>
        <v>免征</v>
      </c>
      <c r="Q73" s="180"/>
      <c r="R73" s="180"/>
      <c r="S73" s="180"/>
      <c r="T73" s="180"/>
      <c r="U73" s="180"/>
      <c r="V73" s="180"/>
    </row>
    <row r="74" spans="1:22" ht="24.75">
      <c r="A74" s="3292" t="s">
        <v>844</v>
      </c>
      <c r="B74" s="3293"/>
      <c r="C74" s="3293"/>
      <c r="D74" s="2261">
        <f ca="1">IF(H74="个人住宅",D75,D76)</f>
        <v>4594</v>
      </c>
      <c r="E74" s="124" t="s">
        <v>845</v>
      </c>
      <c r="F74" s="2258" t="str">
        <f>IF(H74="正常",F76,"免征")</f>
        <v>——</v>
      </c>
      <c r="G74" s="2262" t="s">
        <v>817</v>
      </c>
      <c r="H74" s="2263" t="s">
        <v>846</v>
      </c>
      <c r="I74" s="2265"/>
      <c r="J74" s="2349"/>
      <c r="K74" s="2350">
        <v>3</v>
      </c>
      <c r="L74" s="3312" t="s">
        <v>847</v>
      </c>
      <c r="M74" s="3312"/>
      <c r="N74" s="2360">
        <f t="shared" ca="1" si="1"/>
        <v>4594</v>
      </c>
      <c r="O74" s="1271" t="str">
        <f t="shared" si="1"/>
        <v>增值额×税（费）率</v>
      </c>
      <c r="P74" s="2362" t="str">
        <f t="shared" si="1"/>
        <v>——</v>
      </c>
      <c r="Q74" s="180"/>
      <c r="R74" s="180"/>
      <c r="S74" s="180"/>
      <c r="T74" s="180"/>
      <c r="U74" s="180"/>
      <c r="V74" s="180"/>
    </row>
    <row r="75" spans="1:22" ht="24">
      <c r="A75" s="2257" t="s">
        <v>820</v>
      </c>
      <c r="B75" s="3290" t="s">
        <v>848</v>
      </c>
      <c r="C75" s="3321"/>
      <c r="D75" s="2264">
        <v>0</v>
      </c>
      <c r="E75" s="2246" t="s">
        <v>822</v>
      </c>
      <c r="F75" s="78"/>
      <c r="G75" s="2259"/>
      <c r="H75" s="2265"/>
      <c r="I75" s="2265"/>
      <c r="J75" s="2349"/>
      <c r="K75" s="2350">
        <f>IF(H77="非个人房产","",4)</f>
        <v>4</v>
      </c>
      <c r="L75" s="3312" t="str">
        <f>IF(H77="非个人房产","——","个人所得税")</f>
        <v>个人所得税</v>
      </c>
      <c r="M75" s="3312"/>
      <c r="N75" s="2363">
        <f ca="1">D77</f>
        <v>93</v>
      </c>
      <c r="O75" s="1284" t="str">
        <f>E77</f>
        <v>销售额×税（费）率</v>
      </c>
      <c r="P75" s="2364">
        <f>F77</f>
        <v>0.01</v>
      </c>
      <c r="Q75" s="180"/>
      <c r="R75" s="180"/>
      <c r="S75" s="180"/>
      <c r="T75" s="180"/>
      <c r="U75" s="180"/>
      <c r="V75" s="180"/>
    </row>
    <row r="76" spans="1:22" ht="24.75">
      <c r="A76" s="2257" t="s">
        <v>828</v>
      </c>
      <c r="B76" s="3290" t="s">
        <v>849</v>
      </c>
      <c r="C76" s="3291"/>
      <c r="D76" s="2261">
        <f ca="1">IF(H76="转让取得",C99,C115)</f>
        <v>4594</v>
      </c>
      <c r="E76" s="124" t="s">
        <v>845</v>
      </c>
      <c r="F76" s="121" t="s">
        <v>138</v>
      </c>
      <c r="G76" s="2259"/>
      <c r="H76" s="2263" t="s">
        <v>850</v>
      </c>
      <c r="I76" s="2265"/>
      <c r="J76" s="2349"/>
      <c r="K76" s="2350" t="str">
        <f>IF(项目基本情况!K6="上海银行",IF(K75="",4,K75+1),"")</f>
        <v/>
      </c>
      <c r="L76" s="3313" t="str">
        <f>IF(项目基本情况!K6="上海银行","其他处置费用","")</f>
        <v/>
      </c>
      <c r="M76" s="3314"/>
      <c r="N76" s="2360" t="str">
        <f>IF(项目基本情况!K6="上海银行",N89,"")</f>
        <v/>
      </c>
      <c r="O76" s="3315" t="str">
        <f>IF(项目基本情况!K6="上海银行","包含处置中涉及的律师、诉讼、拍卖、评估等费用","")</f>
        <v/>
      </c>
      <c r="P76" s="3316"/>
      <c r="Q76" s="180"/>
      <c r="R76" s="180"/>
      <c r="S76" s="180"/>
      <c r="T76" s="180"/>
      <c r="U76" s="180"/>
      <c r="V76" s="180"/>
    </row>
    <row r="77" spans="1:22" ht="25.5">
      <c r="A77" s="3317" t="s">
        <v>851</v>
      </c>
      <c r="B77" s="3318"/>
      <c r="C77" s="3318"/>
      <c r="D77" s="2266">
        <f ca="1">IF(H77="非个人房产","——",IF(H77="个人住宅",0,ROUND(D63*I77,0)))</f>
        <v>93</v>
      </c>
      <c r="E77" s="2267" t="str">
        <f>IF(H77="非个人房产","——","销售额×税（费）率")</f>
        <v>销售额×税（费）率</v>
      </c>
      <c r="F77" s="2268">
        <f>IF(H77="非个人房产","——",IF(H77="个人住宅","免征",I77))</f>
        <v>0.01</v>
      </c>
      <c r="G77" s="2269" t="s">
        <v>817</v>
      </c>
      <c r="H77" s="2263" t="s">
        <v>852</v>
      </c>
      <c r="I77" s="2366">
        <v>0.01</v>
      </c>
      <c r="J77" s="2349"/>
      <c r="K77" s="3320">
        <f>IF(AND(K75="",K76=""),4,IF(项目基本情况!K6="上海银行",K76+1,K75+1))</f>
        <v>5</v>
      </c>
      <c r="L77" s="3312" t="s">
        <v>460</v>
      </c>
      <c r="M77" s="2367" t="s">
        <v>853</v>
      </c>
      <c r="N77" s="2368"/>
      <c r="O77" s="2369">
        <f ca="1">SUMIF(N72:N76,"&lt;9e307")</f>
        <v>5172</v>
      </c>
      <c r="P77" s="2370"/>
      <c r="Q77" s="2389">
        <f ca="1">O77/N69</f>
        <v>0.33516946406584147</v>
      </c>
      <c r="R77" s="180"/>
      <c r="S77" s="180"/>
      <c r="T77" s="180"/>
      <c r="U77" s="180"/>
      <c r="V77" s="180"/>
    </row>
    <row r="78" spans="1:22" ht="12" customHeight="1">
      <c r="A78" s="2270"/>
      <c r="B78" s="115"/>
      <c r="C78" s="115"/>
      <c r="D78" s="115"/>
      <c r="E78" s="2265"/>
      <c r="F78" s="2265"/>
      <c r="G78" s="2265"/>
      <c r="H78" s="2271"/>
      <c r="I78" s="115"/>
      <c r="J78" s="2349"/>
      <c r="K78" s="3320"/>
      <c r="L78" s="3312"/>
      <c r="M78" s="2367" t="s">
        <v>854</v>
      </c>
      <c r="N78" s="2368"/>
      <c r="O78" s="2369" t="str">
        <f ca="1">NUMBERSTRING(INT(O77*10000),2)&amp;"元整"</f>
        <v>伍仟壹佰柒拾贰万元整</v>
      </c>
      <c r="P78" s="2370"/>
      <c r="Q78" s="180"/>
      <c r="R78" s="180"/>
      <c r="S78" s="180"/>
      <c r="T78" s="180"/>
      <c r="U78" s="180"/>
      <c r="V78" s="180"/>
    </row>
    <row r="79" spans="1:22" ht="12.75">
      <c r="A79" s="3319" t="s">
        <v>855</v>
      </c>
      <c r="B79" s="3319"/>
      <c r="C79" s="3319"/>
      <c r="D79" s="3319"/>
      <c r="E79" s="3319"/>
      <c r="F79" s="2265"/>
      <c r="G79" s="2265"/>
      <c r="H79" s="2271"/>
      <c r="I79" s="115"/>
      <c r="J79" s="2349"/>
      <c r="K79" s="3309">
        <f>K77+1</f>
        <v>6</v>
      </c>
      <c r="L79" s="3312" t="s">
        <v>856</v>
      </c>
      <c r="M79" s="2367" t="s">
        <v>853</v>
      </c>
      <c r="N79" s="2368"/>
      <c r="O79" s="2369">
        <f ca="1">N69-O77</f>
        <v>10259</v>
      </c>
      <c r="P79" s="2370"/>
      <c r="Q79" s="180"/>
      <c r="R79" s="180"/>
      <c r="S79" s="180"/>
      <c r="T79" s="180"/>
      <c r="U79" s="180"/>
      <c r="V79" s="180"/>
    </row>
    <row r="80" spans="1:22" ht="25.5">
      <c r="A80" s="3288" t="s">
        <v>857</v>
      </c>
      <c r="B80" s="3289"/>
      <c r="C80" s="2272"/>
      <c r="D80" s="2272" t="s">
        <v>858</v>
      </c>
      <c r="E80" s="2273" t="s">
        <v>814</v>
      </c>
      <c r="F80" s="2265"/>
      <c r="G80" s="2265"/>
      <c r="H80" s="2271"/>
      <c r="I80" s="115"/>
      <c r="J80" s="180"/>
      <c r="K80" s="3310"/>
      <c r="L80" s="3312"/>
      <c r="M80" s="2367" t="s">
        <v>854</v>
      </c>
      <c r="N80" s="2368"/>
      <c r="O80" s="2369" t="str">
        <f ca="1">NUMBERSTRING(INT(O79*10000),2)&amp;"元整"</f>
        <v>壹亿零贰佰伍拾玖万元整</v>
      </c>
      <c r="P80" s="2370"/>
      <c r="Q80" s="180"/>
      <c r="R80" s="180"/>
      <c r="S80" s="180"/>
      <c r="T80" s="180"/>
      <c r="U80" s="180"/>
      <c r="V80" s="180"/>
    </row>
    <row r="81" spans="1:26" ht="12.75">
      <c r="A81" s="2274" t="s">
        <v>859</v>
      </c>
      <c r="B81" s="2275" t="s">
        <v>860</v>
      </c>
      <c r="C81" s="2276">
        <f ca="1">ROUND((C82+C83)/(1+'数据-取费表'!C42),0)</f>
        <v>8818</v>
      </c>
      <c r="D81" s="2277"/>
      <c r="E81" s="2278"/>
      <c r="F81" s="2265"/>
      <c r="G81" s="2265"/>
      <c r="H81" s="2271"/>
      <c r="I81" s="115"/>
      <c r="J81" s="180"/>
      <c r="K81" s="2350">
        <f>K79+1</f>
        <v>7</v>
      </c>
      <c r="L81" s="3306" t="s">
        <v>861</v>
      </c>
      <c r="M81" s="3307"/>
      <c r="N81" s="2371"/>
      <c r="O81" s="2372">
        <f ca="1">ROUND(O79*10000/'数据-汇总表'!E3,0)</f>
        <v>936</v>
      </c>
      <c r="P81" s="2373"/>
      <c r="Q81" s="180"/>
      <c r="R81" s="180"/>
      <c r="S81" s="180"/>
      <c r="T81" s="180"/>
      <c r="U81" s="180"/>
      <c r="V81" s="180"/>
    </row>
    <row r="82" spans="1:26" ht="12.75">
      <c r="A82" s="2001" t="s">
        <v>862</v>
      </c>
      <c r="B82" s="2279" t="s">
        <v>863</v>
      </c>
      <c r="C82" s="2280">
        <f ca="1">D63</f>
        <v>9259</v>
      </c>
      <c r="D82" s="1542" t="s">
        <v>138</v>
      </c>
      <c r="E82" s="2281"/>
      <c r="F82" s="2265"/>
      <c r="G82" s="2265"/>
      <c r="H82" s="2271"/>
      <c r="I82" s="115"/>
      <c r="J82" s="180"/>
      <c r="K82" s="180"/>
      <c r="L82" s="180"/>
      <c r="M82" s="180"/>
      <c r="N82" s="180"/>
      <c r="O82" s="180"/>
      <c r="P82" s="180"/>
      <c r="Q82" s="180"/>
      <c r="R82" s="180"/>
      <c r="S82" s="180"/>
      <c r="T82" s="180"/>
      <c r="U82" s="180"/>
      <c r="V82" s="180"/>
    </row>
    <row r="83" spans="1:26" ht="12.75">
      <c r="A83" s="2001" t="s">
        <v>864</v>
      </c>
      <c r="B83" s="2279" t="s">
        <v>865</v>
      </c>
      <c r="C83" s="2282">
        <v>0</v>
      </c>
      <c r="D83" s="1542"/>
      <c r="E83" s="2281"/>
      <c r="F83" s="2265"/>
      <c r="G83" s="2265"/>
      <c r="H83" s="2271"/>
      <c r="I83" s="115"/>
      <c r="J83" s="180"/>
      <c r="K83" s="3311" t="s">
        <v>866</v>
      </c>
      <c r="L83" s="2374" t="s">
        <v>867</v>
      </c>
      <c r="M83" s="2375">
        <f ca="1">IF(N69&gt;10000,N69*0.5%,IF(AND(N69&gt;1000,N69&lt;=10000),N69*1%,IF(AND(N69&gt;100,N69&lt;=1000),N69*3%,IF(AND(N69&gt;10,N69&lt;=100),N69*5%,N69*8%))))</f>
        <v>77.155000000000001</v>
      </c>
      <c r="N83" s="121">
        <f ca="1">ROUND(M83,1)</f>
        <v>77.2</v>
      </c>
      <c r="O83" s="2376"/>
      <c r="P83" s="180"/>
      <c r="Q83" s="180"/>
      <c r="R83" s="180"/>
      <c r="S83" s="180"/>
      <c r="T83" s="180"/>
      <c r="U83" s="180"/>
      <c r="V83" s="180"/>
    </row>
    <row r="84" spans="1:26" ht="12.75">
      <c r="A84" s="2274" t="s">
        <v>868</v>
      </c>
      <c r="B84" s="2283" t="s">
        <v>869</v>
      </c>
      <c r="C84" s="2284">
        <v>2000</v>
      </c>
      <c r="D84" s="2285" t="s">
        <v>138</v>
      </c>
      <c r="E84" s="2286" t="s">
        <v>870</v>
      </c>
      <c r="F84" s="2265"/>
      <c r="G84" s="2265"/>
      <c r="H84" s="2271"/>
      <c r="I84" s="115"/>
      <c r="J84" s="180"/>
      <c r="K84" s="3311"/>
      <c r="L84" s="2374" t="s">
        <v>871</v>
      </c>
      <c r="M84" s="2375">
        <f ca="1">IF(N69&gt;2000,N69*0.5%,IF(AND(N69&gt;1000,N69&lt;=2000),N69*0.6%,IF(AND(N69&gt;500,N69&lt;=1000),N69*0.7%,IF(AND(N69&gt;200,N69&lt;=500),N69*0.8%,IF(AND(N69&gt;100,N69&lt;=200),N69*0.9%,IF(AND(N69&gt;50,N69&lt;=100),N69*1%,IF(AND(N69&gt;20,N69&lt;=50),N69*1.5%,IF(AND(N69&gt;10,N69&lt;=20),N69*2%,IF(AND(N69&gt;1,N69&lt;=10),N69*2.5%)))))))))</f>
        <v>77.155000000000001</v>
      </c>
      <c r="N84" s="121">
        <f t="shared" ref="N84:N85" ca="1" si="2">ROUND(M84,1)</f>
        <v>77.2</v>
      </c>
      <c r="O84" s="180" t="s">
        <v>872</v>
      </c>
      <c r="P84" s="180"/>
      <c r="Q84" s="180"/>
      <c r="R84" s="180"/>
      <c r="S84" s="180"/>
      <c r="T84" s="180"/>
      <c r="U84" s="180"/>
      <c r="V84" s="180"/>
    </row>
    <row r="85" spans="1:26" ht="12.75">
      <c r="A85" s="2274" t="s">
        <v>873</v>
      </c>
      <c r="B85" s="2283" t="s">
        <v>874</v>
      </c>
      <c r="C85" s="2287">
        <f ca="1">C81-C84</f>
        <v>6818</v>
      </c>
      <c r="D85" s="1542" t="s">
        <v>138</v>
      </c>
      <c r="E85" s="2281"/>
      <c r="F85" s="2265"/>
      <c r="G85" s="2265"/>
      <c r="H85" s="2271"/>
      <c r="I85" s="115"/>
      <c r="J85" s="180"/>
      <c r="K85" s="3311"/>
      <c r="L85" s="2374" t="s">
        <v>875</v>
      </c>
      <c r="M85" s="2375">
        <f ca="1">IF(N69&gt;1000,N69*0.1%,IF(AND(N69&gt;500,N69&lt;=1000),N69*0.5%,IF(AND(N69&gt;50,N69&lt;=500),N69*1%,IF(AND(N69&gt;1,N69&lt;=50),N69*1.5%))))</f>
        <v>15.431000000000001</v>
      </c>
      <c r="N85" s="121">
        <f t="shared" ca="1" si="2"/>
        <v>15.4</v>
      </c>
      <c r="O85" s="180" t="s">
        <v>872</v>
      </c>
      <c r="P85" s="180"/>
      <c r="Q85" s="180"/>
      <c r="R85" s="180"/>
      <c r="S85" s="180"/>
      <c r="T85" s="180"/>
      <c r="U85" s="180"/>
      <c r="V85" s="180"/>
    </row>
    <row r="86" spans="1:26" ht="12.75">
      <c r="A86" s="2288" t="s">
        <v>876</v>
      </c>
      <c r="B86" s="2289" t="s">
        <v>877</v>
      </c>
      <c r="C86" s="2290">
        <f ca="1">IF(C85&lt;=0,0,ROUND(C85*D86,0))</f>
        <v>375</v>
      </c>
      <c r="D86" s="2291">
        <f>'数据-取费表'!B41</f>
        <v>5.5000000000000007E-2</v>
      </c>
      <c r="E86" s="2292"/>
      <c r="F86" s="2265"/>
      <c r="G86" s="2265"/>
      <c r="H86" s="2271"/>
      <c r="I86" s="115"/>
      <c r="J86" s="180"/>
      <c r="K86" s="3311"/>
      <c r="L86" s="2374" t="s">
        <v>878</v>
      </c>
      <c r="M86" s="2375">
        <f ca="1">N69*0.5%</f>
        <v>77.155000000000001</v>
      </c>
      <c r="N86" s="121">
        <f ca="1">IF(M86&gt;0.5,0.5,ROUND(M86,0))</f>
        <v>0.5</v>
      </c>
      <c r="O86" s="180" t="s">
        <v>879</v>
      </c>
      <c r="P86" s="180"/>
      <c r="Q86" s="180"/>
      <c r="R86" s="180"/>
      <c r="S86" s="180"/>
      <c r="T86" s="180"/>
      <c r="U86" s="180"/>
      <c r="V86" s="180"/>
    </row>
    <row r="87" spans="1:26" s="2067" customFormat="1" ht="14.25" customHeight="1">
      <c r="A87" s="2293"/>
      <c r="B87" s="2294"/>
      <c r="C87" s="2295"/>
      <c r="D87" s="2296"/>
      <c r="E87" s="2297"/>
      <c r="F87" s="2265"/>
      <c r="G87" s="2265"/>
      <c r="H87" s="2271"/>
      <c r="I87" s="115"/>
      <c r="J87" s="180"/>
      <c r="K87" s="3311"/>
      <c r="L87" s="2374" t="s">
        <v>880</v>
      </c>
      <c r="M87" s="2375">
        <f ca="1">IF(N69&gt;=10000,(8.25+(N69-10000)*0.01%),IF(AND(N69&gt;=8000,N69&lt;10000),(7.85+(N69-8000)*0.02%),IF(AND(N69&gt;=5000,N69&lt;8000),(6.65+(N69-5000)*0.04%),IF(AND(N69&gt;=2000,N69&lt;5000),(4.25+(PN69-2000)*0.08%),IF(AND(N69&gt;=1000,N69&lt;2000),(2.75+(N69-1000)*0.15%),IF(AND(N69&gt;=100,N69&lt;1000),(0.5+(N69-100)*0.25%),IF(AND(N69&gt;0,N69&lt;100),N69*0.5%)))))))</f>
        <v>8.7931000000000008</v>
      </c>
      <c r="N87" s="121">
        <f ca="1">ROUND(M87*0.9,1)</f>
        <v>7.9</v>
      </c>
      <c r="O87" s="2376"/>
      <c r="P87" s="115"/>
      <c r="Q87" s="180"/>
      <c r="R87" s="180"/>
      <c r="S87" s="180"/>
      <c r="T87" s="180"/>
      <c r="U87" s="180"/>
      <c r="V87" s="180"/>
      <c r="W87" s="2234"/>
      <c r="X87" s="2234"/>
      <c r="Y87" s="2234"/>
      <c r="Z87" s="2234"/>
    </row>
    <row r="88" spans="1:26" s="2068" customFormat="1" ht="14.25">
      <c r="A88" s="3286" t="s">
        <v>881</v>
      </c>
      <c r="B88" s="3287"/>
      <c r="C88" s="3287"/>
      <c r="D88" s="3287"/>
      <c r="E88" s="3287"/>
      <c r="F88" s="3287"/>
      <c r="G88" s="3287"/>
      <c r="H88" s="3287"/>
      <c r="I88" s="2377"/>
      <c r="J88" s="2378"/>
      <c r="K88" s="3311"/>
      <c r="L88" s="2374" t="s">
        <v>882</v>
      </c>
      <c r="M88" s="2375">
        <f ca="1">IF(N69&gt;10000,N69*0.5%,IF(AND(N69&gt;5000,N69&lt;=10000),N69*1%,IF(AND(N69&gt;1000,N69&lt;=5000),N69*2%,IF(AND(N69&gt;200,N69&lt;=1000),N69*3%,N69*5%))))</f>
        <v>77.155000000000001</v>
      </c>
      <c r="N88" s="121">
        <f ca="1">ROUND(M88,1)</f>
        <v>77.2</v>
      </c>
      <c r="O88" s="2376"/>
      <c r="P88" s="2233"/>
      <c r="Q88" s="2383"/>
      <c r="R88" s="2383"/>
      <c r="S88" s="2383"/>
      <c r="T88" s="2383"/>
      <c r="U88" s="2383"/>
      <c r="V88" s="2383"/>
      <c r="W88" s="2390"/>
      <c r="X88" s="2390"/>
      <c r="Y88" s="2390"/>
      <c r="Z88" s="2390"/>
    </row>
    <row r="89" spans="1:26" s="2068" customFormat="1" ht="14.25">
      <c r="A89" s="3288" t="s">
        <v>857</v>
      </c>
      <c r="B89" s="3289"/>
      <c r="C89" s="2272"/>
      <c r="D89" s="2272" t="s">
        <v>858</v>
      </c>
      <c r="E89" s="2298" t="s">
        <v>814</v>
      </c>
      <c r="F89" s="2299"/>
      <c r="G89" s="2299"/>
      <c r="H89" s="2300"/>
      <c r="I89" s="2379"/>
      <c r="J89" s="2380"/>
      <c r="K89" s="3311"/>
      <c r="L89" s="2374" t="s">
        <v>509</v>
      </c>
      <c r="M89" s="2381"/>
      <c r="N89" s="121">
        <f ca="1">ROUND(SUM(N83:N88),0)</f>
        <v>255</v>
      </c>
      <c r="O89" s="2382">
        <f ca="1">N89/N69</f>
        <v>1.6525176592573392E-2</v>
      </c>
      <c r="P89" s="2383"/>
      <c r="Q89" s="2383"/>
      <c r="R89" s="2383"/>
      <c r="S89" s="2383"/>
      <c r="T89" s="2383"/>
      <c r="U89" s="2383"/>
      <c r="V89" s="2383"/>
      <c r="W89" s="2390"/>
      <c r="X89" s="2390"/>
      <c r="Y89" s="2390"/>
      <c r="Z89" s="2390"/>
    </row>
    <row r="90" spans="1:26" s="2068" customFormat="1" ht="14.25">
      <c r="A90" s="2274" t="s">
        <v>859</v>
      </c>
      <c r="B90" s="2283" t="s">
        <v>883</v>
      </c>
      <c r="C90" s="2287">
        <f ca="1">ROUND(D63/(1+'数据-取费表'!C42),0)</f>
        <v>8818</v>
      </c>
      <c r="D90" s="1542" t="s">
        <v>138</v>
      </c>
      <c r="E90" s="681"/>
      <c r="F90" s="682"/>
      <c r="G90" s="682"/>
      <c r="H90" s="2301"/>
      <c r="I90" s="2379"/>
      <c r="J90" s="2380"/>
      <c r="K90" s="2383"/>
      <c r="L90" s="2383"/>
      <c r="M90" s="2383"/>
      <c r="N90" s="2383"/>
      <c r="O90" s="2383"/>
      <c r="P90" s="2383"/>
      <c r="Q90" s="2383"/>
      <c r="R90" s="2383"/>
      <c r="S90" s="2383"/>
      <c r="T90" s="2383"/>
      <c r="U90" s="2383"/>
      <c r="V90" s="2383"/>
      <c r="W90" s="2390"/>
      <c r="X90" s="2390"/>
      <c r="Y90" s="2390"/>
      <c r="Z90" s="2390"/>
    </row>
    <row r="91" spans="1:26" s="2068" customFormat="1" ht="14.25">
      <c r="A91" s="2274" t="s">
        <v>868</v>
      </c>
      <c r="B91" s="2239" t="s">
        <v>884</v>
      </c>
      <c r="C91" s="2287">
        <f ca="1">C92+C96</f>
        <v>2605</v>
      </c>
      <c r="D91" s="1542" t="s">
        <v>138</v>
      </c>
      <c r="E91" s="681"/>
      <c r="F91" s="682"/>
      <c r="G91" s="682"/>
      <c r="H91" s="2301"/>
      <c r="I91" s="2379"/>
      <c r="J91" s="2380"/>
      <c r="K91" s="2383"/>
      <c r="L91" s="2383"/>
      <c r="M91" s="2383"/>
      <c r="N91" s="2383"/>
      <c r="O91" s="2383"/>
      <c r="P91" s="2383"/>
      <c r="Q91" s="2383"/>
      <c r="R91" s="2383"/>
      <c r="S91" s="2383"/>
      <c r="T91" s="2383"/>
      <c r="U91" s="2383"/>
      <c r="V91" s="2383"/>
      <c r="W91" s="2390"/>
      <c r="X91" s="2390"/>
      <c r="Y91" s="2390"/>
      <c r="Z91" s="2390"/>
    </row>
    <row r="92" spans="1:26" s="2068" customFormat="1" ht="24">
      <c r="A92" s="2302" t="s">
        <v>862</v>
      </c>
      <c r="B92" s="2279" t="s">
        <v>885</v>
      </c>
      <c r="C92" s="1542">
        <f>ROUND(IF(G95="2016年5月1日后购买",C93/(1+'数据-取费表'!C30)+C94+C95,C93+C94+C95),0)</f>
        <v>2561</v>
      </c>
      <c r="D92" s="1542" t="s">
        <v>138</v>
      </c>
      <c r="E92" s="681"/>
      <c r="F92" s="682"/>
      <c r="G92" s="682"/>
      <c r="H92" s="2301"/>
      <c r="I92" s="2379"/>
      <c r="J92" s="2380"/>
      <c r="K92" s="2383"/>
      <c r="L92" s="2383"/>
      <c r="M92" s="2383"/>
      <c r="N92" s="2383"/>
      <c r="O92" s="2383"/>
      <c r="P92" s="2383"/>
      <c r="Q92" s="2383"/>
      <c r="R92" s="2383"/>
      <c r="S92" s="2383"/>
      <c r="T92" s="2383"/>
      <c r="U92" s="2383"/>
      <c r="V92" s="2383"/>
      <c r="W92" s="2390"/>
      <c r="X92" s="2390"/>
      <c r="Y92" s="2390"/>
      <c r="Z92" s="2390"/>
    </row>
    <row r="93" spans="1:26" s="2068" customFormat="1" ht="14.25">
      <c r="A93" s="2302" t="s">
        <v>886</v>
      </c>
      <c r="B93" s="2279" t="s">
        <v>887</v>
      </c>
      <c r="C93" s="1544">
        <v>2000</v>
      </c>
      <c r="D93" s="1542" t="s">
        <v>138</v>
      </c>
      <c r="E93" s="2303" t="s">
        <v>888</v>
      </c>
      <c r="F93" s="2304" t="s">
        <v>889</v>
      </c>
      <c r="G93" s="2303" t="s">
        <v>890</v>
      </c>
      <c r="H93" s="2305">
        <v>5</v>
      </c>
      <c r="I93" s="2233"/>
      <c r="J93" s="2383"/>
      <c r="K93" s="2383"/>
      <c r="L93" s="2383"/>
      <c r="M93" s="2383"/>
      <c r="N93" s="2383"/>
      <c r="O93" s="2383"/>
      <c r="P93" s="2383"/>
      <c r="Q93" s="2383"/>
      <c r="R93" s="2383"/>
      <c r="S93" s="2383"/>
      <c r="T93" s="2383"/>
      <c r="U93" s="2383"/>
      <c r="V93" s="2383"/>
      <c r="W93" s="2390"/>
      <c r="X93" s="2390"/>
      <c r="Y93" s="2390"/>
      <c r="Z93" s="2390"/>
    </row>
    <row r="94" spans="1:26" s="2068" customFormat="1" ht="24.75" customHeight="1">
      <c r="A94" s="2302" t="s">
        <v>891</v>
      </c>
      <c r="B94" s="2306" t="s">
        <v>892</v>
      </c>
      <c r="C94" s="1542">
        <f>IF(F93="购房发票",ROUND(C93*H93*5%,0),0)</f>
        <v>500</v>
      </c>
      <c r="D94" s="2307">
        <v>0.05</v>
      </c>
      <c r="E94" s="3295" t="s">
        <v>893</v>
      </c>
      <c r="F94" s="3294"/>
      <c r="G94" s="3294"/>
      <c r="H94" s="3308"/>
      <c r="I94" s="2379"/>
      <c r="J94" s="2380"/>
      <c r="K94" s="2383"/>
      <c r="L94" s="2383"/>
      <c r="M94" s="2383"/>
      <c r="N94" s="2383"/>
      <c r="O94" s="2383"/>
      <c r="P94" s="2383"/>
      <c r="Q94" s="2383"/>
      <c r="R94" s="2383"/>
      <c r="S94" s="2383"/>
      <c r="T94" s="2383"/>
      <c r="U94" s="2383"/>
      <c r="V94" s="2383"/>
      <c r="W94" s="2390"/>
      <c r="X94" s="2390"/>
      <c r="Y94" s="2390"/>
      <c r="Z94" s="2390"/>
    </row>
    <row r="95" spans="1:26" s="2068" customFormat="1" ht="24.75" customHeight="1">
      <c r="A95" s="2302" t="s">
        <v>894</v>
      </c>
      <c r="B95" s="2279" t="s">
        <v>895</v>
      </c>
      <c r="C95" s="1542">
        <f>ROUND(IF(G95="个人买卖住房",0,IF(G95="2016年5月1日前购买",C93*D95,C93*D95/(1+'数据-取费表'!C42))),0)</f>
        <v>61</v>
      </c>
      <c r="D95" s="2309">
        <f>'数据-取费表'!B48+'数据-取费表'!B49</f>
        <v>3.0499999999999999E-2</v>
      </c>
      <c r="E95" s="762" t="s">
        <v>896</v>
      </c>
      <c r="F95" s="2310"/>
      <c r="G95" s="2311" t="s">
        <v>897</v>
      </c>
      <c r="H95" s="2308" t="str">
        <f>IF(G95="个人买卖住房","免征印花税"," ")</f>
        <v xml:space="preserve"> </v>
      </c>
      <c r="I95" s="2379"/>
      <c r="J95" s="2380"/>
      <c r="K95" s="2383"/>
      <c r="L95" s="2383"/>
      <c r="M95" s="2383"/>
      <c r="N95" s="2383"/>
      <c r="O95" s="2383"/>
      <c r="P95" s="2383"/>
      <c r="Q95" s="2383"/>
      <c r="R95" s="2383"/>
      <c r="S95" s="2383"/>
      <c r="T95" s="2383"/>
      <c r="U95" s="2383"/>
      <c r="V95" s="2383"/>
      <c r="W95" s="2390"/>
      <c r="X95" s="2390"/>
      <c r="Y95" s="2390"/>
      <c r="Z95" s="2390"/>
    </row>
    <row r="96" spans="1:26" s="2068" customFormat="1" ht="24.75" customHeight="1">
      <c r="A96" s="2302" t="s">
        <v>864</v>
      </c>
      <c r="B96" s="2279" t="s">
        <v>898</v>
      </c>
      <c r="C96" s="2312">
        <f ca="1">ROUND(D63*D96/(1+'数据-取费表'!C42),0)</f>
        <v>44</v>
      </c>
      <c r="D96" s="2313">
        <f>'数据-取费表'!B43</f>
        <v>5.000000000000001E-3</v>
      </c>
      <c r="E96" s="3275" t="s">
        <v>899</v>
      </c>
      <c r="F96" s="3276"/>
      <c r="G96" s="3276"/>
      <c r="H96" s="3277"/>
      <c r="I96" s="2384"/>
      <c r="J96" s="2385"/>
      <c r="K96" s="2383"/>
      <c r="L96" s="2383"/>
      <c r="M96" s="2383"/>
      <c r="N96" s="2383"/>
      <c r="O96" s="2383"/>
      <c r="P96" s="2383"/>
      <c r="Q96" s="2383"/>
      <c r="R96" s="2383"/>
      <c r="S96" s="2383"/>
      <c r="T96" s="2383"/>
      <c r="U96" s="2383"/>
      <c r="V96" s="2383"/>
      <c r="W96" s="2390"/>
      <c r="X96" s="2390"/>
      <c r="Y96" s="2390"/>
      <c r="Z96" s="2390"/>
    </row>
    <row r="97" spans="1:26" s="2068" customFormat="1" ht="14.25">
      <c r="A97" s="2316" t="s">
        <v>873</v>
      </c>
      <c r="B97" s="2283" t="s">
        <v>900</v>
      </c>
      <c r="C97" s="2287">
        <f ca="1">C90-C91</f>
        <v>6213</v>
      </c>
      <c r="D97" s="1542" t="s">
        <v>138</v>
      </c>
      <c r="E97" s="681"/>
      <c r="F97" s="682"/>
      <c r="G97" s="682"/>
      <c r="H97" s="2301"/>
      <c r="I97" s="2379"/>
      <c r="J97" s="2380"/>
      <c r="K97" s="2383"/>
      <c r="L97" s="2383"/>
      <c r="M97" s="2383"/>
      <c r="N97" s="2383"/>
      <c r="O97" s="2383"/>
      <c r="P97" s="2383"/>
      <c r="Q97" s="2383"/>
      <c r="R97" s="2383"/>
      <c r="S97" s="2383"/>
      <c r="T97" s="2383"/>
      <c r="U97" s="2383"/>
      <c r="V97" s="2383"/>
      <c r="W97" s="2390"/>
      <c r="X97" s="2390"/>
      <c r="Y97" s="2390"/>
      <c r="Z97" s="2390"/>
    </row>
    <row r="98" spans="1:26" s="2068" customFormat="1" ht="24">
      <c r="A98" s="2316" t="s">
        <v>876</v>
      </c>
      <c r="B98" s="2283" t="s">
        <v>901</v>
      </c>
      <c r="C98" s="2317">
        <f ca="1">IF(C97&lt;=0,0,C97/C91)</f>
        <v>2.3850287907869481</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1"/>
      <c r="I98" s="2379"/>
      <c r="J98" s="2380"/>
      <c r="K98" s="2383"/>
      <c r="L98" s="2383"/>
      <c r="M98" s="2383"/>
      <c r="N98" s="2383"/>
      <c r="O98" s="2383"/>
      <c r="P98" s="2383"/>
      <c r="Q98" s="2383"/>
      <c r="R98" s="2383"/>
      <c r="S98" s="2383"/>
      <c r="T98" s="2383"/>
      <c r="U98" s="2383"/>
      <c r="V98" s="2383"/>
      <c r="W98" s="2390"/>
      <c r="X98" s="2390"/>
      <c r="Y98" s="2390"/>
      <c r="Z98" s="2390"/>
    </row>
    <row r="99" spans="1:26" s="2068" customFormat="1" ht="24">
      <c r="A99" s="2318" t="s">
        <v>902</v>
      </c>
      <c r="B99" s="2289" t="s">
        <v>903</v>
      </c>
      <c r="C99" s="2319">
        <f ca="1">ROUND(IF(C97&lt;=0,0,IF(C98&gt;=200%,C97*60%-C91*35%,IF(C98&gt;=100%,C97*50%-C91*15%,IF(C98&gt;=50%,C97*40%-C91*5%,IF(C98&lt;50%,C97*30%,0))))),0)</f>
        <v>2816</v>
      </c>
      <c r="D99" s="2320" t="s">
        <v>138</v>
      </c>
      <c r="E99" s="23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2"/>
      <c r="G99" s="2322"/>
      <c r="H99" s="2323"/>
      <c r="I99" s="2379"/>
      <c r="J99" s="2380"/>
      <c r="K99" s="2383"/>
      <c r="L99" s="2383"/>
      <c r="M99" s="2383"/>
      <c r="N99" s="2383"/>
      <c r="O99" s="2383"/>
      <c r="P99" s="2383"/>
      <c r="Q99" s="2383"/>
      <c r="R99" s="2383"/>
      <c r="S99" s="2383"/>
      <c r="T99" s="2383"/>
      <c r="U99" s="2383"/>
      <c r="V99" s="2383"/>
      <c r="W99" s="2390"/>
      <c r="X99" s="2390"/>
      <c r="Y99" s="2390"/>
      <c r="Z99" s="2390"/>
    </row>
    <row r="100" spans="1:26" s="2068" customFormat="1" ht="7.5" customHeight="1">
      <c r="A100" s="2324"/>
      <c r="B100" s="2325"/>
      <c r="C100" s="2233"/>
      <c r="D100" s="2233"/>
      <c r="E100" s="2325"/>
      <c r="F100" s="2325"/>
      <c r="G100" s="2325"/>
      <c r="H100" s="2326"/>
      <c r="I100" s="2384"/>
      <c r="J100" s="2385"/>
      <c r="K100" s="2383"/>
      <c r="L100" s="2383"/>
      <c r="M100" s="2383"/>
      <c r="N100" s="2383"/>
      <c r="O100" s="2383"/>
      <c r="P100" s="2383"/>
      <c r="Q100" s="2383"/>
      <c r="R100" s="2383"/>
      <c r="S100" s="2383"/>
      <c r="T100" s="2383"/>
      <c r="U100" s="2383"/>
      <c r="V100" s="2383"/>
      <c r="W100" s="2390"/>
      <c r="X100" s="2390"/>
      <c r="Y100" s="2390"/>
      <c r="Z100" s="2390"/>
    </row>
    <row r="101" spans="1:26" s="2068" customFormat="1" ht="14.25">
      <c r="A101" s="3286" t="s">
        <v>904</v>
      </c>
      <c r="B101" s="3287"/>
      <c r="C101" s="3287"/>
      <c r="D101" s="3287"/>
      <c r="E101" s="3287"/>
      <c r="F101" s="3287"/>
      <c r="G101" s="3287"/>
      <c r="H101" s="3287"/>
      <c r="I101" s="2233"/>
      <c r="J101" s="2383"/>
      <c r="K101" s="2383"/>
      <c r="L101" s="2383"/>
      <c r="M101" s="2383"/>
      <c r="N101" s="2383"/>
      <c r="O101" s="2383"/>
      <c r="P101" s="2383"/>
      <c r="Q101" s="2383"/>
      <c r="R101" s="2383"/>
      <c r="S101" s="2383"/>
      <c r="T101" s="2383"/>
      <c r="U101" s="2383"/>
      <c r="V101" s="2383"/>
      <c r="W101" s="2390"/>
      <c r="X101" s="2390"/>
      <c r="Y101" s="2390"/>
      <c r="Z101" s="2390"/>
    </row>
    <row r="102" spans="1:26" s="2068" customFormat="1" ht="14.25">
      <c r="A102" s="3288" t="s">
        <v>857</v>
      </c>
      <c r="B102" s="3289"/>
      <c r="C102" s="2272"/>
      <c r="D102" s="2272" t="s">
        <v>858</v>
      </c>
      <c r="E102" s="2298" t="s">
        <v>814</v>
      </c>
      <c r="F102" s="2299"/>
      <c r="G102" s="2299"/>
      <c r="H102" s="2327"/>
      <c r="I102" s="2233"/>
      <c r="J102" s="2383"/>
      <c r="K102" s="2383"/>
      <c r="L102" s="2383"/>
      <c r="M102" s="2383"/>
      <c r="N102" s="2383"/>
      <c r="O102" s="2383"/>
      <c r="P102" s="2383"/>
      <c r="Q102" s="2383"/>
      <c r="R102" s="2383"/>
      <c r="S102" s="2383"/>
      <c r="T102" s="2383"/>
      <c r="U102" s="2383"/>
      <c r="V102" s="2383"/>
      <c r="W102" s="2390"/>
      <c r="X102" s="2390"/>
      <c r="Y102" s="2390"/>
      <c r="Z102" s="2390"/>
    </row>
    <row r="103" spans="1:26" s="2068" customFormat="1" ht="14.25">
      <c r="A103" s="2274" t="s">
        <v>859</v>
      </c>
      <c r="B103" s="2283" t="s">
        <v>883</v>
      </c>
      <c r="C103" s="2287">
        <f ca="1">ROUND(D63/(1+'数据-取费表'!C42),0)</f>
        <v>8818</v>
      </c>
      <c r="D103" s="1542" t="s">
        <v>138</v>
      </c>
      <c r="E103" s="681"/>
      <c r="F103" s="682"/>
      <c r="G103" s="682"/>
      <c r="H103" s="2328"/>
      <c r="I103" s="2233"/>
      <c r="J103" s="2383"/>
      <c r="K103" s="2383"/>
      <c r="L103" s="2383"/>
      <c r="M103" s="2383"/>
      <c r="N103" s="2383"/>
      <c r="O103" s="2383"/>
      <c r="P103" s="2383"/>
      <c r="Q103" s="2383"/>
      <c r="R103" s="2383"/>
      <c r="S103" s="2383"/>
      <c r="T103" s="2383"/>
      <c r="U103" s="2383"/>
      <c r="V103" s="2383"/>
      <c r="W103" s="2390"/>
      <c r="X103" s="2390"/>
      <c r="Y103" s="2390"/>
      <c r="Z103" s="2390"/>
    </row>
    <row r="104" spans="1:26" s="2068" customFormat="1" ht="14.25">
      <c r="A104" s="2274" t="s">
        <v>868</v>
      </c>
      <c r="B104" s="2239" t="s">
        <v>884</v>
      </c>
      <c r="C104" s="2287">
        <f ca="1">IF(H106="仅含出让金",C105+C108+C109+C110+C111+C112,C105+C109+C110+C111+C112)</f>
        <v>734</v>
      </c>
      <c r="D104" s="2329"/>
      <c r="E104" s="681"/>
      <c r="F104" s="682"/>
      <c r="G104" s="682"/>
      <c r="H104" s="2328"/>
      <c r="I104" s="2233"/>
      <c r="J104" s="2383"/>
      <c r="K104" s="2383"/>
      <c r="L104" s="2383"/>
      <c r="M104" s="2383"/>
      <c r="N104" s="2383"/>
      <c r="O104" s="2383"/>
      <c r="P104" s="2383"/>
      <c r="Q104" s="2383"/>
      <c r="R104" s="2383"/>
      <c r="S104" s="2383"/>
      <c r="T104" s="2383"/>
      <c r="U104" s="2383"/>
      <c r="V104" s="2383"/>
      <c r="W104" s="2390"/>
      <c r="X104" s="2390"/>
      <c r="Y104" s="2390"/>
      <c r="Z104" s="2390"/>
    </row>
    <row r="105" spans="1:26" s="2068" customFormat="1" ht="14.25">
      <c r="A105" s="2302" t="s">
        <v>862</v>
      </c>
      <c r="B105" s="2279" t="s">
        <v>905</v>
      </c>
      <c r="C105" s="2312">
        <f>C106+C107</f>
        <v>572</v>
      </c>
      <c r="D105" s="2313"/>
      <c r="E105" s="2330"/>
      <c r="F105" s="2314"/>
      <c r="G105" s="2314"/>
      <c r="H105" s="2315"/>
      <c r="I105" s="2233"/>
      <c r="J105" s="2383"/>
      <c r="K105" s="2383"/>
      <c r="L105" s="2383"/>
      <c r="M105" s="2383"/>
      <c r="N105" s="2383"/>
      <c r="O105" s="2383"/>
      <c r="P105" s="2383"/>
      <c r="Q105" s="2383"/>
      <c r="R105" s="2383"/>
      <c r="S105" s="2383"/>
      <c r="T105" s="2383"/>
      <c r="U105" s="2383"/>
      <c r="V105" s="2383"/>
      <c r="W105" s="2390"/>
      <c r="X105" s="2390"/>
      <c r="Y105" s="2390"/>
      <c r="Z105" s="2390"/>
    </row>
    <row r="106" spans="1:26" s="2068" customFormat="1" ht="14.25">
      <c r="A106" s="2302" t="s">
        <v>886</v>
      </c>
      <c r="B106" s="2279" t="s">
        <v>906</v>
      </c>
      <c r="C106" s="2331">
        <v>555</v>
      </c>
      <c r="D106" s="2313"/>
      <c r="E106" s="2332" t="s">
        <v>907</v>
      </c>
      <c r="F106" s="2314"/>
      <c r="G106" s="2333" t="s">
        <v>908</v>
      </c>
      <c r="H106" s="2334" t="s">
        <v>909</v>
      </c>
      <c r="I106" s="2233"/>
      <c r="J106" s="2383"/>
      <c r="K106" s="2383"/>
      <c r="L106" s="2383"/>
      <c r="M106" s="2383"/>
      <c r="N106" s="2383"/>
      <c r="O106" s="2383"/>
      <c r="P106" s="2383"/>
      <c r="Q106" s="2383"/>
      <c r="R106" s="2383"/>
      <c r="S106" s="2383"/>
      <c r="T106" s="2383"/>
      <c r="U106" s="2383"/>
      <c r="V106" s="2383"/>
      <c r="W106" s="2390"/>
      <c r="X106" s="2390"/>
      <c r="Y106" s="2390"/>
      <c r="Z106" s="2390"/>
    </row>
    <row r="107" spans="1:26" s="2068" customFormat="1" ht="14.25">
      <c r="A107" s="2302" t="s">
        <v>891</v>
      </c>
      <c r="B107" s="2279" t="s">
        <v>895</v>
      </c>
      <c r="C107" s="2312">
        <f>ROUND(C106*D107,0)</f>
        <v>17</v>
      </c>
      <c r="D107" s="2313">
        <f>'数据-取费表'!B48+'数据-取费表'!B49</f>
        <v>3.0499999999999999E-2</v>
      </c>
      <c r="E107" s="2332" t="s">
        <v>910</v>
      </c>
      <c r="F107" s="2314"/>
      <c r="G107" s="2314"/>
      <c r="H107" s="2315"/>
      <c r="I107" s="2233"/>
      <c r="J107" s="2383"/>
      <c r="K107" s="2383"/>
      <c r="L107" s="2383"/>
      <c r="M107" s="2383"/>
      <c r="N107" s="2383"/>
      <c r="O107" s="2383"/>
      <c r="P107" s="2383"/>
      <c r="Q107" s="2383"/>
      <c r="R107" s="2383"/>
      <c r="S107" s="2383"/>
      <c r="T107" s="2383"/>
      <c r="U107" s="2383"/>
      <c r="V107" s="2383"/>
      <c r="W107" s="2390"/>
      <c r="X107" s="2390"/>
      <c r="Y107" s="2390"/>
      <c r="Z107" s="2390"/>
    </row>
    <row r="108" spans="1:26" s="2068" customFormat="1" ht="14.25">
      <c r="A108" s="2302" t="s">
        <v>864</v>
      </c>
      <c r="B108" s="2279" t="s">
        <v>911</v>
      </c>
      <c r="C108" s="2331"/>
      <c r="D108" s="2313"/>
      <c r="E108" s="2332" t="str">
        <f>IF(H106="-","土地取得成本中已包含该笔费用"," ")</f>
        <v xml:space="preserve"> </v>
      </c>
      <c r="F108" s="2314"/>
      <c r="G108" s="2314"/>
      <c r="H108" s="2315"/>
      <c r="I108" s="2233"/>
      <c r="J108" s="2383"/>
      <c r="K108" s="2383"/>
      <c r="L108" s="2383"/>
      <c r="M108" s="2383"/>
      <c r="N108" s="2383"/>
      <c r="O108" s="2383"/>
      <c r="P108" s="2383"/>
      <c r="Q108" s="2383"/>
      <c r="R108" s="2383"/>
      <c r="S108" s="2383"/>
      <c r="T108" s="2383"/>
      <c r="U108" s="2383"/>
      <c r="V108" s="2383"/>
      <c r="W108" s="2390"/>
      <c r="X108" s="2390"/>
      <c r="Y108" s="2390"/>
      <c r="Z108" s="2390"/>
    </row>
    <row r="109" spans="1:26" s="2068" customFormat="1" ht="24" customHeight="1">
      <c r="A109" s="2335" t="s">
        <v>912</v>
      </c>
      <c r="B109" s="2279" t="s">
        <v>913</v>
      </c>
      <c r="C109" s="2312">
        <f>IF(H109="——",IF(F1="现房",'剩余法-现房'!C18,'剩余法-待开发'!C18),I109)</f>
        <v>55</v>
      </c>
      <c r="D109" s="2313"/>
      <c r="E109" s="3278" t="s">
        <v>914</v>
      </c>
      <c r="F109" s="3276"/>
      <c r="G109" s="3276"/>
      <c r="H109" s="2336" t="s">
        <v>915</v>
      </c>
      <c r="I109" s="2386">
        <v>55</v>
      </c>
      <c r="J109" s="2383"/>
      <c r="K109" s="2383"/>
      <c r="L109" s="2383"/>
      <c r="M109" s="2383"/>
      <c r="N109" s="2383"/>
      <c r="O109" s="2383"/>
      <c r="P109" s="2383"/>
      <c r="Q109" s="2383"/>
      <c r="R109" s="2383"/>
      <c r="S109" s="2383"/>
      <c r="T109" s="2383"/>
      <c r="U109" s="2383"/>
      <c r="V109" s="2383"/>
      <c r="W109" s="2390"/>
      <c r="X109" s="2390"/>
      <c r="Y109" s="2390"/>
      <c r="Z109" s="2390"/>
    </row>
    <row r="110" spans="1:26" s="2068" customFormat="1" ht="25.5" customHeight="1">
      <c r="A110" s="2335" t="s">
        <v>916</v>
      </c>
      <c r="B110" s="2279" t="s">
        <v>917</v>
      </c>
      <c r="C110" s="2312">
        <f>ROUND((C105+C108+C109)*D110,0)</f>
        <v>63</v>
      </c>
      <c r="D110" s="2313">
        <v>0.1</v>
      </c>
      <c r="E110" s="3278" t="s">
        <v>918</v>
      </c>
      <c r="F110" s="3276"/>
      <c r="G110" s="3276"/>
      <c r="H110" s="3277"/>
      <c r="I110" s="2233"/>
      <c r="J110" s="2383"/>
      <c r="K110" s="2383"/>
      <c r="L110" s="2383"/>
      <c r="M110" s="2383"/>
      <c r="N110" s="2383"/>
      <c r="O110" s="2383"/>
      <c r="P110" s="2383"/>
      <c r="Q110" s="2383"/>
      <c r="R110" s="2383"/>
      <c r="S110" s="2383"/>
      <c r="T110" s="2383"/>
      <c r="U110" s="2383"/>
      <c r="V110" s="2383"/>
      <c r="W110" s="2390"/>
      <c r="X110" s="2390"/>
      <c r="Y110" s="2390"/>
      <c r="Z110" s="2390"/>
    </row>
    <row r="111" spans="1:26" s="2068" customFormat="1" ht="25.5" customHeight="1">
      <c r="A111" s="2335" t="s">
        <v>919</v>
      </c>
      <c r="B111" s="2279" t="s">
        <v>898</v>
      </c>
      <c r="C111" s="2312">
        <f ca="1">ROUND(D63*D111/(1+'数据-取费表'!C42),0)</f>
        <v>44</v>
      </c>
      <c r="D111" s="2313">
        <f>'数据-取费表'!B43</f>
        <v>5.000000000000001E-3</v>
      </c>
      <c r="E111" s="3275" t="s">
        <v>899</v>
      </c>
      <c r="F111" s="3276"/>
      <c r="G111" s="3276"/>
      <c r="H111" s="3277"/>
      <c r="I111" s="2233"/>
      <c r="J111" s="2383"/>
      <c r="K111" s="2383"/>
      <c r="L111" s="2383"/>
      <c r="M111" s="2383"/>
      <c r="N111" s="2383"/>
      <c r="O111" s="2383"/>
      <c r="P111" s="2383"/>
      <c r="Q111" s="2383"/>
      <c r="R111" s="2383"/>
      <c r="S111" s="2383"/>
      <c r="T111" s="2383"/>
      <c r="U111" s="2383"/>
      <c r="V111" s="2383"/>
      <c r="W111" s="2390"/>
      <c r="X111" s="2390"/>
      <c r="Y111" s="2390"/>
      <c r="Z111" s="2390"/>
    </row>
    <row r="112" spans="1:26" s="2068" customFormat="1" ht="25.5" customHeight="1">
      <c r="A112" s="2335" t="s">
        <v>920</v>
      </c>
      <c r="B112" s="2279" t="s">
        <v>921</v>
      </c>
      <c r="C112" s="2312">
        <f>ROUND(C108*D112,0)</f>
        <v>0</v>
      </c>
      <c r="D112" s="2313">
        <v>0.2</v>
      </c>
      <c r="E112" s="3278" t="s">
        <v>922</v>
      </c>
      <c r="F112" s="3276"/>
      <c r="G112" s="3276"/>
      <c r="H112" s="3277"/>
      <c r="I112" s="2233"/>
      <c r="J112" s="2383"/>
      <c r="K112" s="2383"/>
      <c r="L112" s="2383"/>
      <c r="M112" s="2383"/>
      <c r="N112" s="2383"/>
      <c r="O112" s="2383"/>
      <c r="P112" s="2383"/>
      <c r="Q112" s="2383"/>
      <c r="R112" s="2383"/>
      <c r="S112" s="2383"/>
      <c r="T112" s="2383"/>
      <c r="U112" s="2383"/>
      <c r="V112" s="2383"/>
      <c r="W112" s="2390"/>
      <c r="X112" s="2390"/>
      <c r="Y112" s="2390"/>
      <c r="Z112" s="2390"/>
    </row>
    <row r="113" spans="1:26" s="2068" customFormat="1" ht="14.25">
      <c r="A113" s="2316" t="s">
        <v>873</v>
      </c>
      <c r="B113" s="2283" t="s">
        <v>900</v>
      </c>
      <c r="C113" s="2287">
        <f ca="1">ROUND(C103-C104,0)</f>
        <v>8084</v>
      </c>
      <c r="D113" s="1542" t="s">
        <v>138</v>
      </c>
      <c r="E113" s="681"/>
      <c r="F113" s="682"/>
      <c r="G113" s="682"/>
      <c r="H113" s="2328"/>
      <c r="I113" s="2233"/>
      <c r="J113" s="2383"/>
      <c r="K113" s="2383"/>
      <c r="L113" s="2383"/>
      <c r="M113" s="2383"/>
      <c r="N113" s="2383"/>
      <c r="O113" s="2383"/>
      <c r="P113" s="2383"/>
      <c r="Q113" s="2383"/>
      <c r="R113" s="2383"/>
      <c r="S113" s="2383"/>
      <c r="T113" s="2383"/>
      <c r="U113" s="2383"/>
      <c r="V113" s="2383"/>
      <c r="W113" s="2390"/>
      <c r="X113" s="2390"/>
      <c r="Y113" s="2390"/>
      <c r="Z113" s="2390"/>
    </row>
    <row r="114" spans="1:26" s="2068" customFormat="1" ht="24">
      <c r="A114" s="2316" t="s">
        <v>876</v>
      </c>
      <c r="B114" s="2283" t="s">
        <v>901</v>
      </c>
      <c r="C114" s="2317">
        <f ca="1">IF(C113&lt;=0,0,C113/C104)</f>
        <v>11.013623978201634</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28"/>
      <c r="I114" s="2233"/>
      <c r="J114" s="2383"/>
      <c r="K114" s="2383"/>
      <c r="L114" s="2383"/>
      <c r="M114" s="2383"/>
      <c r="N114" s="2383"/>
      <c r="O114" s="2383"/>
      <c r="P114" s="2383"/>
      <c r="Q114" s="2383"/>
      <c r="R114" s="2383"/>
      <c r="S114" s="2383"/>
      <c r="T114" s="2383"/>
      <c r="U114" s="2383"/>
      <c r="V114" s="2383"/>
      <c r="W114" s="2390"/>
      <c r="X114" s="2390"/>
      <c r="Y114" s="2390"/>
      <c r="Z114" s="2390"/>
    </row>
    <row r="115" spans="1:26" s="2068" customFormat="1" ht="24">
      <c r="A115" s="2318" t="s">
        <v>902</v>
      </c>
      <c r="B115" s="2289" t="s">
        <v>903</v>
      </c>
      <c r="C115" s="2319">
        <f ca="1">ROUND(IF(C113&lt;=0,0,IF(C114&gt;=200%,C113*60%-C104*35%,IF(C114&gt;=100%,C113*50%-C104*15%,IF(C114&gt;=50%,C113*40%-C104*5%,IF(C114&lt;50%,C113*30%,0))))),0)</f>
        <v>4594</v>
      </c>
      <c r="D115" s="2320" t="s">
        <v>138</v>
      </c>
      <c r="E115" s="23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2"/>
      <c r="G115" s="2322"/>
      <c r="H115" s="2337"/>
      <c r="I115" s="2233"/>
      <c r="J115" s="2383"/>
      <c r="K115" s="2383"/>
      <c r="L115" s="2383"/>
      <c r="M115" s="2383"/>
      <c r="N115" s="2383"/>
      <c r="O115" s="2383"/>
      <c r="P115" s="2383"/>
      <c r="Q115" s="2383"/>
      <c r="R115" s="2383"/>
      <c r="S115" s="2383"/>
      <c r="T115" s="2383"/>
      <c r="U115" s="2383"/>
      <c r="V115" s="2383"/>
      <c r="W115" s="2390"/>
      <c r="X115" s="2390"/>
      <c r="Y115" s="2390"/>
      <c r="Z115" s="2390"/>
    </row>
    <row r="116" spans="1:26" s="153" customFormat="1" ht="21.75" customHeight="1">
      <c r="J116" s="2387"/>
      <c r="K116" s="180"/>
      <c r="L116" s="180"/>
      <c r="M116" s="180"/>
      <c r="N116" s="180"/>
      <c r="O116" s="180"/>
    </row>
    <row r="117" spans="1:26" s="153" customFormat="1" ht="21.75" customHeight="1">
      <c r="J117" s="2387"/>
    </row>
    <row r="118" spans="1:26" s="153" customFormat="1" ht="21.75" customHeight="1">
      <c r="J118" s="2387"/>
    </row>
    <row r="119" spans="1:26" s="153" customFormat="1" ht="21.75" customHeight="1">
      <c r="J119" s="2387"/>
    </row>
    <row r="120" spans="1:26" s="153" customFormat="1" ht="21.75" customHeight="1">
      <c r="J120" s="2387"/>
    </row>
    <row r="121" spans="1:26" s="153" customFormat="1" ht="21.75" customHeight="1"/>
    <row r="122" spans="1:26" s="153" customFormat="1" ht="21.75" customHeight="1">
      <c r="J122" s="2388"/>
    </row>
    <row r="123" spans="1:26" s="153" customFormat="1" ht="21.75" customHeight="1"/>
    <row r="124" spans="1:26" s="153" customFormat="1" ht="21.75" customHeight="1"/>
    <row r="125" spans="1:26" s="153" customFormat="1" ht="21.75" customHeight="1">
      <c r="J125" s="2388"/>
    </row>
    <row r="126" spans="1:26" s="153" customFormat="1" ht="21.75" customHeight="1"/>
    <row r="127" spans="1:26" s="153" customFormat="1" ht="21.75" customHeight="1"/>
    <row r="128" spans="1:26" s="153" customFormat="1" ht="21.75" customHeight="1">
      <c r="J128" s="2388"/>
    </row>
    <row r="129" spans="2:6" s="153" customFormat="1" ht="21.75" customHeight="1"/>
    <row r="130" spans="2:6" s="153" customFormat="1" ht="21.75" customHeight="1">
      <c r="B130" s="2391"/>
      <c r="C130" s="2392"/>
      <c r="D130" s="2393"/>
      <c r="E130" s="2393"/>
      <c r="F130" s="239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3" zoomScale="80" zoomScaleNormal="95" zoomScaleSheetLayoutView="80" workbookViewId="0">
      <selection activeCell="J66" sqref="J6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9"/>
    </row>
    <row r="2" spans="1:30" s="189" customFormat="1" ht="28.5" customHeight="1">
      <c r="A2" s="205" t="s">
        <v>926</v>
      </c>
      <c r="B2" s="1735">
        <f>F68</f>
        <v>15012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9"/>
    </row>
    <row r="3" spans="1:30" s="189" customFormat="1" ht="28.5" customHeight="1">
      <c r="A3" s="972" t="s">
        <v>927</v>
      </c>
      <c r="B3" s="211">
        <f>ROUND(B2*10000/'数据-汇总表'!E3,0)</f>
        <v>1370</v>
      </c>
      <c r="C3" s="566"/>
      <c r="D3" s="2029"/>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3753</v>
      </c>
      <c r="C4" s="566"/>
      <c r="D4" s="2029"/>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250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86" t="s">
        <v>931</v>
      </c>
      <c r="D6" s="3387"/>
      <c r="E6" s="3386" t="s">
        <v>932</v>
      </c>
      <c r="F6" s="3387"/>
      <c r="G6" s="3386" t="s">
        <v>933</v>
      </c>
      <c r="H6" s="3387"/>
      <c r="I6" s="3386" t="s">
        <v>934</v>
      </c>
      <c r="J6" s="3387"/>
      <c r="K6" s="376" t="s">
        <v>935</v>
      </c>
      <c r="L6" s="377"/>
      <c r="M6" s="375"/>
      <c r="N6" s="375"/>
      <c r="O6" s="378"/>
      <c r="P6" s="3356" t="s">
        <v>936</v>
      </c>
      <c r="Q6" s="3357"/>
      <c r="R6" s="3362" t="s">
        <v>932</v>
      </c>
      <c r="S6" s="3363"/>
      <c r="T6" s="3362" t="s">
        <v>933</v>
      </c>
      <c r="U6" s="3363"/>
      <c r="V6" s="3368" t="s">
        <v>934</v>
      </c>
      <c r="W6" s="3368"/>
      <c r="X6" s="443"/>
      <c r="Y6" s="3362" t="s">
        <v>936</v>
      </c>
      <c r="Z6" s="3363"/>
      <c r="AA6" s="3349" t="s">
        <v>932</v>
      </c>
      <c r="AB6" s="3350" t="s">
        <v>933</v>
      </c>
      <c r="AC6" s="3349" t="s">
        <v>934</v>
      </c>
    </row>
    <row r="7" spans="1:30" ht="38.25" customHeight="1">
      <c r="A7" s="216"/>
      <c r="B7" s="217"/>
      <c r="C7" s="3388" t="s">
        <v>937</v>
      </c>
      <c r="D7" s="3389"/>
      <c r="E7" s="3388" t="s">
        <v>938</v>
      </c>
      <c r="F7" s="3389"/>
      <c r="G7" s="3388" t="str">
        <f>土地案例!A13</f>
        <v>安溪县350524-02-A-04地块</v>
      </c>
      <c r="H7" s="3389"/>
      <c r="I7" s="3388" t="str">
        <f>土地案例!A17</f>
        <v>中国国际信息技术(福建)产业园B地块</v>
      </c>
      <c r="J7" s="3389"/>
      <c r="K7" s="376"/>
      <c r="L7" s="377"/>
      <c r="M7" s="375"/>
      <c r="N7" s="375"/>
      <c r="O7" s="378"/>
      <c r="P7" s="3358"/>
      <c r="Q7" s="3359"/>
      <c r="R7" s="3364"/>
      <c r="S7" s="3365"/>
      <c r="T7" s="3364"/>
      <c r="U7" s="3365"/>
      <c r="V7" s="3368"/>
      <c r="W7" s="3368"/>
      <c r="X7" s="443"/>
      <c r="Y7" s="3364"/>
      <c r="Z7" s="3365"/>
      <c r="AA7" s="3350"/>
      <c r="AB7" s="3350"/>
      <c r="AC7" s="3350"/>
    </row>
    <row r="8" spans="1:30" ht="20.25">
      <c r="A8" s="216"/>
      <c r="B8" s="217"/>
      <c r="C8" s="3381" t="s">
        <v>939</v>
      </c>
      <c r="D8" s="3382"/>
      <c r="E8" s="3381"/>
      <c r="F8" s="3382"/>
      <c r="G8" s="3383" t="s">
        <v>939</v>
      </c>
      <c r="H8" s="3384"/>
      <c r="I8" s="3383" t="s">
        <v>939</v>
      </c>
      <c r="J8" s="3384"/>
      <c r="K8" s="376" t="s">
        <v>940</v>
      </c>
      <c r="L8" s="377"/>
      <c r="M8" s="375"/>
      <c r="N8" s="375"/>
      <c r="O8" s="378"/>
      <c r="P8" s="3360"/>
      <c r="Q8" s="3361"/>
      <c r="R8" s="3364"/>
      <c r="S8" s="3365"/>
      <c r="T8" s="3366"/>
      <c r="U8" s="3367"/>
      <c r="V8" s="3368"/>
      <c r="W8" s="3368"/>
      <c r="X8" s="443"/>
      <c r="Y8" s="3366"/>
      <c r="Z8" s="3367"/>
      <c r="AA8" s="3351"/>
      <c r="AB8" s="3351"/>
      <c r="AC8" s="3351"/>
    </row>
    <row r="9" spans="1:30" s="190" customFormat="1" ht="20.25">
      <c r="A9" s="220"/>
      <c r="B9" s="221" t="s">
        <v>941</v>
      </c>
      <c r="C9" s="2030">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69" t="s">
        <v>942</v>
      </c>
      <c r="Q9" s="3385"/>
      <c r="R9" s="444" t="s">
        <v>943</v>
      </c>
      <c r="S9" s="445">
        <f t="shared" ref="S9:S17" si="0">F9</f>
        <v>95.5</v>
      </c>
      <c r="T9" s="444" t="s">
        <v>943</v>
      </c>
      <c r="U9" s="445">
        <f t="shared" ref="U9:U17" si="1">H9</f>
        <v>96</v>
      </c>
      <c r="V9" s="444" t="s">
        <v>943</v>
      </c>
      <c r="W9" s="445">
        <f t="shared" ref="W9:W17" si="2">J9</f>
        <v>95.5</v>
      </c>
      <c r="X9" s="446"/>
      <c r="Y9" s="3369" t="s">
        <v>942</v>
      </c>
      <c r="Z9" s="3370"/>
      <c r="AA9" s="463">
        <f>D9/F9</f>
        <v>1.0471204188481675</v>
      </c>
      <c r="AB9" s="463">
        <f>D9/H9</f>
        <v>1.0416666666666667</v>
      </c>
      <c r="AC9" s="463">
        <f>D9/J9</f>
        <v>1.0471204188481675</v>
      </c>
    </row>
    <row r="10" spans="1:30" s="190" customFormat="1" ht="20.25">
      <c r="A10" s="227"/>
      <c r="B10" s="228" t="s">
        <v>944</v>
      </c>
      <c r="C10" s="881" t="s">
        <v>945</v>
      </c>
      <c r="D10" s="223">
        <v>100</v>
      </c>
      <c r="E10" s="229" t="s">
        <v>946</v>
      </c>
      <c r="F10" s="225">
        <f>SUMIF(75:75,E10,76:76)-SUMIF(75:75,C10,76:76)+100</f>
        <v>120</v>
      </c>
      <c r="G10" s="229" t="s">
        <v>947</v>
      </c>
      <c r="H10" s="223">
        <f>SUMIF(75:75,G10,76:76)-SUMIF(75:75,C10,76:76)+100</f>
        <v>115</v>
      </c>
      <c r="I10" s="229" t="s">
        <v>947</v>
      </c>
      <c r="J10" s="223">
        <f>SUMIF(75:75,I10,76:76)-SUMIF(75:75,C10,76:76)+100</f>
        <v>115</v>
      </c>
      <c r="K10" s="379"/>
      <c r="L10" s="380"/>
      <c r="M10" s="375"/>
      <c r="N10" s="375"/>
      <c r="O10" s="381"/>
      <c r="P10" s="3369" t="s">
        <v>948</v>
      </c>
      <c r="Q10" s="3370"/>
      <c r="R10" s="444" t="s">
        <v>943</v>
      </c>
      <c r="S10" s="445">
        <f t="shared" si="0"/>
        <v>120</v>
      </c>
      <c r="T10" s="444" t="s">
        <v>943</v>
      </c>
      <c r="U10" s="445">
        <f t="shared" si="1"/>
        <v>115</v>
      </c>
      <c r="V10" s="444" t="s">
        <v>943</v>
      </c>
      <c r="W10" s="445">
        <f t="shared" si="2"/>
        <v>115</v>
      </c>
      <c r="X10" s="446"/>
      <c r="Y10" s="3369" t="s">
        <v>948</v>
      </c>
      <c r="Z10" s="3370"/>
      <c r="AA10" s="463">
        <f t="shared" ref="AA10:AA47" si="3">D10/F10</f>
        <v>0.83333333333333337</v>
      </c>
      <c r="AB10" s="463">
        <f t="shared" ref="AB10:AB47" si="4">D10/H10</f>
        <v>0.86956521739130432</v>
      </c>
      <c r="AC10" s="463">
        <f t="shared" ref="AC10:AC47" si="5">D10/J10</f>
        <v>0.86956521739130432</v>
      </c>
    </row>
    <row r="11" spans="1:30" s="190" customFormat="1" ht="20.25">
      <c r="A11" s="230"/>
      <c r="B11" s="231" t="s">
        <v>949</v>
      </c>
      <c r="C11" s="2031" t="s">
        <v>372</v>
      </c>
      <c r="D11" s="233">
        <v>100</v>
      </c>
      <c r="E11" s="2031" t="s">
        <v>372</v>
      </c>
      <c r="F11" s="233">
        <f>SUMIF(77:77,E11,78:78)-SUMIF(77:77,C11,78:78)+100</f>
        <v>100</v>
      </c>
      <c r="G11" s="2031" t="s">
        <v>372</v>
      </c>
      <c r="H11" s="233">
        <f>SUMIF(77:77,G11,78:78)-SUMIF(77:77,C11,78:78)+100</f>
        <v>100</v>
      </c>
      <c r="I11" s="2031" t="s">
        <v>372</v>
      </c>
      <c r="J11" s="233">
        <f>SUMIF(77:77,I11,78:78)-SUMIF(77:77,C11,78:78)+100</f>
        <v>100</v>
      </c>
      <c r="K11" s="379"/>
      <c r="L11" s="380"/>
      <c r="M11" s="375"/>
      <c r="N11" s="375"/>
      <c r="O11" s="382"/>
      <c r="P11" s="3372" t="s">
        <v>950</v>
      </c>
      <c r="Q11" s="447" t="str">
        <f t="shared" ref="Q11:Q17" si="6">B11</f>
        <v>用途</v>
      </c>
      <c r="R11" s="444" t="s">
        <v>943</v>
      </c>
      <c r="S11" s="445">
        <f t="shared" si="0"/>
        <v>100</v>
      </c>
      <c r="T11" s="444" t="s">
        <v>943</v>
      </c>
      <c r="U11" s="445">
        <f t="shared" si="1"/>
        <v>100</v>
      </c>
      <c r="V11" s="444" t="s">
        <v>943</v>
      </c>
      <c r="W11" s="445">
        <f t="shared" si="2"/>
        <v>100</v>
      </c>
      <c r="X11" s="446"/>
      <c r="Y11" s="3282"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72"/>
      <c r="Q12" s="447" t="str">
        <f t="shared" si="6"/>
        <v>土地使用年限（年）</v>
      </c>
      <c r="R12" s="444" t="s">
        <v>943</v>
      </c>
      <c r="S12" s="445">
        <f t="shared" si="0"/>
        <v>100</v>
      </c>
      <c r="T12" s="444" t="s">
        <v>943</v>
      </c>
      <c r="U12" s="445">
        <f t="shared" si="1"/>
        <v>100</v>
      </c>
      <c r="V12" s="444" t="s">
        <v>943</v>
      </c>
      <c r="W12" s="445">
        <f t="shared" si="2"/>
        <v>100</v>
      </c>
      <c r="X12" s="446"/>
      <c r="Y12" s="3282"/>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72"/>
      <c r="Q13" s="447" t="str">
        <f t="shared" si="6"/>
        <v>容积率</v>
      </c>
      <c r="R13" s="444" t="s">
        <v>943</v>
      </c>
      <c r="S13" s="445">
        <f t="shared" si="0"/>
        <v>100</v>
      </c>
      <c r="T13" s="444" t="s">
        <v>943</v>
      </c>
      <c r="U13" s="445">
        <f t="shared" si="1"/>
        <v>95</v>
      </c>
      <c r="V13" s="444" t="s">
        <v>943</v>
      </c>
      <c r="W13" s="445">
        <f t="shared" si="2"/>
        <v>100</v>
      </c>
      <c r="X13" s="446"/>
      <c r="Y13" s="3282"/>
      <c r="Z13" s="464" t="str">
        <f t="shared" si="7"/>
        <v>容积率</v>
      </c>
      <c r="AA13" s="463">
        <f t="shared" si="3"/>
        <v>1</v>
      </c>
      <c r="AB13" s="463">
        <f t="shared" si="4"/>
        <v>1.0526315789473684</v>
      </c>
      <c r="AC13" s="463">
        <f t="shared" si="5"/>
        <v>1</v>
      </c>
    </row>
    <row r="14" spans="1:30" s="190" customFormat="1" ht="20.25">
      <c r="A14" s="227"/>
      <c r="B14" s="2032" t="s">
        <v>955</v>
      </c>
      <c r="C14" s="2033"/>
      <c r="D14" s="243">
        <v>100</v>
      </c>
      <c r="E14" s="2034"/>
      <c r="F14" s="237">
        <f>SUMIF(84:84,E14,85:85)-SUMIF(84:84,C14,85:85)+100</f>
        <v>100</v>
      </c>
      <c r="G14" s="884"/>
      <c r="H14" s="237">
        <f>SUMIF(84:84,G14,85:85)-SUMIF(84:84,C14,85:85)+100</f>
        <v>100</v>
      </c>
      <c r="I14" s="885"/>
      <c r="J14" s="237">
        <f>SUMIF(84:84,I14,85:85)-SUMIF(84:84,C14,85:85)+100</f>
        <v>100</v>
      </c>
      <c r="K14" s="1795"/>
      <c r="L14" s="380"/>
      <c r="M14" s="375"/>
      <c r="N14" s="375"/>
      <c r="O14" s="382"/>
      <c r="P14" s="3372"/>
      <c r="Q14" s="447" t="str">
        <f t="shared" si="6"/>
        <v>配建</v>
      </c>
      <c r="R14" s="444" t="s">
        <v>943</v>
      </c>
      <c r="S14" s="445">
        <f t="shared" si="0"/>
        <v>100</v>
      </c>
      <c r="T14" s="444" t="s">
        <v>943</v>
      </c>
      <c r="U14" s="445">
        <f t="shared" si="1"/>
        <v>100</v>
      </c>
      <c r="V14" s="444" t="s">
        <v>943</v>
      </c>
      <c r="W14" s="445">
        <f t="shared" si="2"/>
        <v>100</v>
      </c>
      <c r="X14" s="446"/>
      <c r="Y14" s="3282"/>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72"/>
      <c r="Q15" s="447">
        <f t="shared" si="6"/>
        <v>111</v>
      </c>
      <c r="R15" s="444" t="s">
        <v>943</v>
      </c>
      <c r="S15" s="445">
        <f t="shared" si="0"/>
        <v>100</v>
      </c>
      <c r="T15" s="444" t="s">
        <v>943</v>
      </c>
      <c r="U15" s="445">
        <f t="shared" si="1"/>
        <v>100</v>
      </c>
      <c r="V15" s="444" t="s">
        <v>943</v>
      </c>
      <c r="W15" s="445">
        <f t="shared" si="2"/>
        <v>100</v>
      </c>
      <c r="X15" s="446"/>
      <c r="Y15" s="3282"/>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72"/>
      <c r="Q16" s="447">
        <f t="shared" si="6"/>
        <v>111</v>
      </c>
      <c r="R16" s="444" t="s">
        <v>943</v>
      </c>
      <c r="S16" s="445">
        <f t="shared" si="0"/>
        <v>100</v>
      </c>
      <c r="T16" s="444" t="s">
        <v>943</v>
      </c>
      <c r="U16" s="445">
        <f t="shared" si="1"/>
        <v>100</v>
      </c>
      <c r="V16" s="444" t="s">
        <v>943</v>
      </c>
      <c r="W16" s="445">
        <f t="shared" si="2"/>
        <v>100</v>
      </c>
      <c r="X16" s="446"/>
      <c r="Y16" s="3282"/>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110</v>
      </c>
      <c r="I17" s="254"/>
      <c r="J17" s="251">
        <f>SUMIF(90:90,I18,91:91)-SUMIF(90:90,C18,91:91)+100</f>
        <v>100</v>
      </c>
      <c r="K17" s="1796">
        <v>10</v>
      </c>
      <c r="L17" s="391"/>
      <c r="M17" s="375"/>
      <c r="N17" s="375"/>
      <c r="O17" s="390"/>
      <c r="P17" s="3373" t="s">
        <v>957</v>
      </c>
      <c r="Q17" s="383" t="str">
        <f t="shared" si="6"/>
        <v>居住社区成熟度</v>
      </c>
      <c r="R17" s="448" t="s">
        <v>943</v>
      </c>
      <c r="S17" s="449">
        <f t="shared" si="0"/>
        <v>100</v>
      </c>
      <c r="T17" s="448" t="s">
        <v>943</v>
      </c>
      <c r="U17" s="449">
        <f t="shared" si="1"/>
        <v>110</v>
      </c>
      <c r="V17" s="448" t="s">
        <v>943</v>
      </c>
      <c r="W17" s="449">
        <f t="shared" si="2"/>
        <v>100</v>
      </c>
      <c r="X17" s="443"/>
      <c r="Y17" s="3373" t="s">
        <v>957</v>
      </c>
      <c r="Z17" s="442" t="str">
        <f t="shared" si="7"/>
        <v>居住社区成熟度</v>
      </c>
      <c r="AA17" s="454">
        <f t="shared" si="3"/>
        <v>1</v>
      </c>
      <c r="AB17" s="454">
        <f t="shared" si="4"/>
        <v>0.90909090909090906</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74"/>
      <c r="Q18" s="383"/>
      <c r="R18" s="448"/>
      <c r="S18" s="449"/>
      <c r="T18" s="448"/>
      <c r="U18" s="449"/>
      <c r="V18" s="448"/>
      <c r="W18" s="449"/>
      <c r="X18" s="443"/>
      <c r="Y18" s="3374"/>
      <c r="Z18" s="442"/>
      <c r="AA18" s="454">
        <v>1</v>
      </c>
      <c r="AB18" s="454">
        <v>1</v>
      </c>
      <c r="AC18" s="454">
        <v>1</v>
      </c>
    </row>
    <row r="19" spans="1:29" ht="71.25">
      <c r="A19" s="255"/>
      <c r="B19" s="502" t="s">
        <v>228</v>
      </c>
      <c r="C19" s="2035" t="str">
        <f>估价对象房地状况!C16</f>
        <v>估价对象位于XX商圈，周边商业氛围成熟，人流量大，商业繁华度好</v>
      </c>
      <c r="D19" s="271">
        <v>100</v>
      </c>
      <c r="E19" s="272"/>
      <c r="F19" s="260">
        <f>SUMIF(92:92,E20,93:93)-SUMIF(92:92,C20,93:93)+100</f>
        <v>100</v>
      </c>
      <c r="G19" s="270"/>
      <c r="H19" s="263">
        <f>SUMIF(92:92,G20,93:93)-SUMIF(92:92,C20,93:93)+100</f>
        <v>110</v>
      </c>
      <c r="I19" s="272"/>
      <c r="J19" s="263">
        <f>SUMIF(92:92,I20,93:93)-SUMIF(92:92,C20,93:93)+100</f>
        <v>100</v>
      </c>
      <c r="K19" s="1796">
        <v>10</v>
      </c>
      <c r="L19" s="391"/>
      <c r="M19" s="375"/>
      <c r="N19" s="375"/>
      <c r="O19" s="390"/>
      <c r="P19" s="3374"/>
      <c r="Q19" s="383" t="str">
        <f>B19</f>
        <v>商业繁华度</v>
      </c>
      <c r="R19" s="448" t="s">
        <v>943</v>
      </c>
      <c r="S19" s="449">
        <f>F19</f>
        <v>100</v>
      </c>
      <c r="T19" s="448" t="s">
        <v>943</v>
      </c>
      <c r="U19" s="449">
        <f>H19</f>
        <v>110</v>
      </c>
      <c r="V19" s="448" t="s">
        <v>943</v>
      </c>
      <c r="W19" s="449">
        <f>J19</f>
        <v>100</v>
      </c>
      <c r="X19" s="443"/>
      <c r="Y19" s="3374"/>
      <c r="Z19" s="442" t="str">
        <f>Q19</f>
        <v>商业繁华度</v>
      </c>
      <c r="AA19" s="454">
        <f t="shared" si="3"/>
        <v>1</v>
      </c>
      <c r="AB19" s="454">
        <f t="shared" si="4"/>
        <v>0.90909090909090906</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74"/>
      <c r="Q20" s="383"/>
      <c r="R20" s="448"/>
      <c r="S20" s="449"/>
      <c r="T20" s="448"/>
      <c r="U20" s="449"/>
      <c r="V20" s="448"/>
      <c r="W20" s="449"/>
      <c r="X20" s="443"/>
      <c r="Y20" s="3374"/>
      <c r="Z20" s="442"/>
      <c r="AA20" s="454">
        <v>1</v>
      </c>
      <c r="AB20" s="454">
        <v>1</v>
      </c>
      <c r="AC20" s="454">
        <v>1</v>
      </c>
    </row>
    <row r="21" spans="1:29" ht="71.25" hidden="1">
      <c r="A21" s="255"/>
      <c r="B21" s="502" t="s">
        <v>229</v>
      </c>
      <c r="C21" s="2035"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74"/>
      <c r="Q21" s="383" t="str">
        <f>B21</f>
        <v>办公集聚程度</v>
      </c>
      <c r="R21" s="448" t="s">
        <v>943</v>
      </c>
      <c r="S21" s="449">
        <f>F21</f>
        <v>100</v>
      </c>
      <c r="T21" s="448" t="s">
        <v>943</v>
      </c>
      <c r="U21" s="449">
        <f>H21</f>
        <v>100</v>
      </c>
      <c r="V21" s="448" t="s">
        <v>943</v>
      </c>
      <c r="W21" s="449">
        <f>J21</f>
        <v>100</v>
      </c>
      <c r="X21" s="443"/>
      <c r="Y21" s="3374"/>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74"/>
      <c r="Q22" s="383"/>
      <c r="R22" s="448"/>
      <c r="S22" s="449"/>
      <c r="T22" s="448"/>
      <c r="U22" s="449"/>
      <c r="V22" s="448"/>
      <c r="W22" s="449"/>
      <c r="X22" s="443"/>
      <c r="Y22" s="3374"/>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105</v>
      </c>
      <c r="G23" s="270"/>
      <c r="H23" s="260">
        <f>SUMIF(96:96,G24,97:97)-SUMIF(96:96,C24,97:97)+100</f>
        <v>105</v>
      </c>
      <c r="I23" s="272"/>
      <c r="J23" s="260">
        <f>SUMIF(96:96,I24,97:97)-SUMIF(96:96,C24,97:97)+100</f>
        <v>105</v>
      </c>
      <c r="K23" s="1796">
        <v>5</v>
      </c>
      <c r="L23" s="391"/>
      <c r="M23" s="375"/>
      <c r="N23" s="375"/>
      <c r="O23" s="390"/>
      <c r="P23" s="3374"/>
      <c r="Q23" s="383" t="str">
        <f>B23</f>
        <v>交通便捷度</v>
      </c>
      <c r="R23" s="448" t="s">
        <v>943</v>
      </c>
      <c r="S23" s="449">
        <f>F23</f>
        <v>105</v>
      </c>
      <c r="T23" s="448" t="s">
        <v>943</v>
      </c>
      <c r="U23" s="449">
        <f>H23</f>
        <v>105</v>
      </c>
      <c r="V23" s="448" t="s">
        <v>943</v>
      </c>
      <c r="W23" s="449">
        <f>J23</f>
        <v>105</v>
      </c>
      <c r="X23" s="443"/>
      <c r="Y23" s="3374"/>
      <c r="Z23" s="442" t="str">
        <f>Q23</f>
        <v>交通便捷度</v>
      </c>
      <c r="AA23" s="454">
        <f t="shared" si="3"/>
        <v>0.95238095238095233</v>
      </c>
      <c r="AB23" s="454">
        <f t="shared" si="4"/>
        <v>0.95238095238095233</v>
      </c>
      <c r="AC23" s="454">
        <f t="shared" si="5"/>
        <v>0.95238095238095233</v>
      </c>
    </row>
    <row r="24" spans="1:29" ht="20.25">
      <c r="A24" s="255"/>
      <c r="B24" s="273"/>
      <c r="C24" s="570" t="s">
        <v>958</v>
      </c>
      <c r="D24" s="259"/>
      <c r="E24" s="501" t="s">
        <v>959</v>
      </c>
      <c r="F24" s="258"/>
      <c r="G24" s="538" t="s">
        <v>959</v>
      </c>
      <c r="H24" s="258"/>
      <c r="I24" s="501" t="s">
        <v>959</v>
      </c>
      <c r="J24" s="258"/>
      <c r="K24" s="1795"/>
      <c r="L24" s="391"/>
      <c r="M24" s="375"/>
      <c r="N24" s="375"/>
      <c r="O24" s="390"/>
      <c r="P24" s="3374"/>
      <c r="Q24" s="383"/>
      <c r="R24" s="448"/>
      <c r="S24" s="449"/>
      <c r="T24" s="448"/>
      <c r="U24" s="449"/>
      <c r="V24" s="448"/>
      <c r="W24" s="449"/>
      <c r="X24" s="443"/>
      <c r="Y24" s="3374"/>
      <c r="Z24" s="442"/>
      <c r="AA24" s="454">
        <v>1</v>
      </c>
      <c r="AB24" s="454">
        <v>1</v>
      </c>
      <c r="AC24" s="454">
        <v>1</v>
      </c>
    </row>
    <row r="25" spans="1:29" ht="27" hidden="1">
      <c r="A25" s="216"/>
      <c r="B25" s="2036"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74"/>
      <c r="Q25" s="383" t="str">
        <f t="shared" ref="Q25:Q40" si="8">B25</f>
        <v>区域土地利用方向</v>
      </c>
      <c r="R25" s="448" t="s">
        <v>943</v>
      </c>
      <c r="S25" s="449">
        <f>F25</f>
        <v>100</v>
      </c>
      <c r="T25" s="448" t="s">
        <v>943</v>
      </c>
      <c r="U25" s="449">
        <f>H25</f>
        <v>100</v>
      </c>
      <c r="V25" s="448" t="s">
        <v>943</v>
      </c>
      <c r="W25" s="449">
        <f>J25</f>
        <v>100</v>
      </c>
      <c r="X25" s="443"/>
      <c r="Y25" s="3374"/>
      <c r="Z25" s="442" t="str">
        <f>Q25</f>
        <v>区域土地利用方向</v>
      </c>
      <c r="AA25" s="454">
        <f t="shared" si="3"/>
        <v>1</v>
      </c>
      <c r="AB25" s="454">
        <f t="shared" si="4"/>
        <v>1</v>
      </c>
      <c r="AC25" s="454">
        <f t="shared" si="5"/>
        <v>1</v>
      </c>
    </row>
    <row r="26" spans="1:29" ht="20.25" hidden="1">
      <c r="A26" s="216"/>
      <c r="B26" s="2037"/>
      <c r="C26" s="570"/>
      <c r="D26" s="259"/>
      <c r="E26" s="501"/>
      <c r="F26" s="258"/>
      <c r="G26" s="538"/>
      <c r="H26" s="258"/>
      <c r="I26" s="501"/>
      <c r="J26" s="258"/>
      <c r="K26" s="1795"/>
      <c r="L26" s="391"/>
      <c r="M26" s="375"/>
      <c r="N26" s="375"/>
      <c r="O26" s="390"/>
      <c r="P26" s="3374"/>
      <c r="Q26" s="383"/>
      <c r="R26" s="448"/>
      <c r="S26" s="449"/>
      <c r="T26" s="448"/>
      <c r="U26" s="449"/>
      <c r="V26" s="448"/>
      <c r="W26" s="449"/>
      <c r="X26" s="443"/>
      <c r="Y26" s="3374"/>
      <c r="Z26" s="442"/>
      <c r="AA26" s="454"/>
      <c r="AB26" s="454"/>
      <c r="AC26" s="454"/>
    </row>
    <row r="27" spans="1:29" ht="57">
      <c r="A27" s="216"/>
      <c r="B27" s="273" t="s">
        <v>960</v>
      </c>
      <c r="C27" s="2035" t="str">
        <f>估价对象房地状况!C20</f>
        <v>区域自然环境：；人文环境；综合评价环境状况一般</v>
      </c>
      <c r="D27" s="271">
        <v>100</v>
      </c>
      <c r="E27" s="272"/>
      <c r="F27" s="260">
        <f>SUMIF(100:100,E28,101:101)-SUMIF(100:100,C28,101:101)+100</f>
        <v>100</v>
      </c>
      <c r="G27" s="270"/>
      <c r="H27" s="260">
        <f>SUMIF(100:100,G28,101:101)-SUMIF(100:100,C28,101:101)+100</f>
        <v>102</v>
      </c>
      <c r="I27" s="272"/>
      <c r="J27" s="260">
        <f>SUMIF(100:100,I28,101:101)-SUMIF(100:100,C28,101:101)+100</f>
        <v>100</v>
      </c>
      <c r="K27" s="1796">
        <v>2</v>
      </c>
      <c r="L27" s="391"/>
      <c r="M27" s="375"/>
      <c r="N27" s="375"/>
      <c r="O27" s="390"/>
      <c r="P27" s="3374"/>
      <c r="Q27" s="383" t="str">
        <f t="shared" si="8"/>
        <v>自然及人文环境状况</v>
      </c>
      <c r="R27" s="448" t="s">
        <v>943</v>
      </c>
      <c r="S27" s="449">
        <f>F27</f>
        <v>100</v>
      </c>
      <c r="T27" s="448" t="s">
        <v>943</v>
      </c>
      <c r="U27" s="449">
        <f>H27</f>
        <v>102</v>
      </c>
      <c r="V27" s="448" t="s">
        <v>943</v>
      </c>
      <c r="W27" s="449">
        <f>J27</f>
        <v>100</v>
      </c>
      <c r="X27" s="443"/>
      <c r="Y27" s="3374"/>
      <c r="Z27" s="442" t="str">
        <f>Q27</f>
        <v>自然及人文环境状况</v>
      </c>
      <c r="AA27" s="454">
        <f t="shared" si="3"/>
        <v>1</v>
      </c>
      <c r="AB27" s="454">
        <f t="shared" si="4"/>
        <v>0.98039215686274506</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74"/>
      <c r="Q28" s="383"/>
      <c r="R28" s="448"/>
      <c r="S28" s="449"/>
      <c r="T28" s="448"/>
      <c r="U28" s="449"/>
      <c r="V28" s="448"/>
      <c r="W28" s="449"/>
      <c r="X28" s="443"/>
      <c r="Y28" s="3374"/>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105</v>
      </c>
      <c r="I29" s="272"/>
      <c r="J29" s="260">
        <f>SUMIF(102:102,I30,103:103)-SUMIF(102:102,C30,103:103)+100</f>
        <v>100</v>
      </c>
      <c r="K29" s="1796">
        <v>5</v>
      </c>
      <c r="L29" s="380"/>
      <c r="M29" s="375"/>
      <c r="N29" s="375"/>
      <c r="O29" s="382"/>
      <c r="P29" s="3374"/>
      <c r="Q29" s="447" t="str">
        <f t="shared" si="8"/>
        <v>公共配套设施</v>
      </c>
      <c r="R29" s="444" t="s">
        <v>943</v>
      </c>
      <c r="S29" s="445">
        <f>F29</f>
        <v>100</v>
      </c>
      <c r="T29" s="444" t="s">
        <v>943</v>
      </c>
      <c r="U29" s="445">
        <f>H29</f>
        <v>105</v>
      </c>
      <c r="V29" s="444" t="s">
        <v>943</v>
      </c>
      <c r="W29" s="445">
        <f>J29</f>
        <v>100</v>
      </c>
      <c r="X29" s="446"/>
      <c r="Y29" s="3374"/>
      <c r="Z29" s="464" t="str">
        <f>Q29</f>
        <v>公共配套设施</v>
      </c>
      <c r="AA29" s="454">
        <f>D29/F29</f>
        <v>1</v>
      </c>
      <c r="AB29" s="454">
        <f>D29/H29</f>
        <v>0.95238095238095233</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74"/>
      <c r="Q30" s="447"/>
      <c r="R30" s="444"/>
      <c r="S30" s="445"/>
      <c r="T30" s="444"/>
      <c r="U30" s="445"/>
      <c r="V30" s="444"/>
      <c r="W30" s="445"/>
      <c r="X30" s="446"/>
      <c r="Y30" s="3374"/>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74"/>
      <c r="Q31" s="447" t="str">
        <f t="shared" ref="Q31" si="9">B31</f>
        <v>基础设施水平</v>
      </c>
      <c r="R31" s="444" t="s">
        <v>943</v>
      </c>
      <c r="S31" s="445">
        <f>F31</f>
        <v>100</v>
      </c>
      <c r="T31" s="444" t="s">
        <v>943</v>
      </c>
      <c r="U31" s="445">
        <f>H31</f>
        <v>100</v>
      </c>
      <c r="V31" s="444" t="s">
        <v>943</v>
      </c>
      <c r="W31" s="445">
        <f>J31</f>
        <v>100</v>
      </c>
      <c r="X31" s="446"/>
      <c r="Y31" s="3374"/>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74"/>
      <c r="Q32" s="447"/>
      <c r="R32" s="444"/>
      <c r="S32" s="445"/>
      <c r="T32" s="444"/>
      <c r="U32" s="445"/>
      <c r="V32" s="444"/>
      <c r="W32" s="445"/>
      <c r="X32" s="446"/>
      <c r="Y32" s="3374"/>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74"/>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74"/>
      <c r="Z33" s="442" t="str">
        <f t="shared" ref="Z33:Z47" si="13">Q33</f>
        <v>临街状况</v>
      </c>
      <c r="AA33" s="454">
        <f t="shared" si="3"/>
        <v>1.0101010101010102</v>
      </c>
      <c r="AB33" s="454">
        <f t="shared" si="4"/>
        <v>1.0101010101010102</v>
      </c>
      <c r="AC33" s="454">
        <f t="shared" si="5"/>
        <v>1.0101010101010102</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74"/>
      <c r="Q34" s="383" t="str">
        <f t="shared" si="8"/>
        <v>毗邻道路的类型与等级</v>
      </c>
      <c r="R34" s="448" t="s">
        <v>943</v>
      </c>
      <c r="S34" s="449">
        <f t="shared" si="10"/>
        <v>100</v>
      </c>
      <c r="T34" s="448" t="s">
        <v>943</v>
      </c>
      <c r="U34" s="449">
        <f t="shared" si="11"/>
        <v>100</v>
      </c>
      <c r="V34" s="448" t="s">
        <v>943</v>
      </c>
      <c r="W34" s="449">
        <f t="shared" si="12"/>
        <v>100</v>
      </c>
      <c r="X34" s="443"/>
      <c r="Y34" s="3374"/>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74"/>
      <c r="Q35" s="383"/>
      <c r="R35" s="448"/>
      <c r="S35" s="449"/>
      <c r="T35" s="448"/>
      <c r="U35" s="449"/>
      <c r="V35" s="448"/>
      <c r="W35" s="449"/>
      <c r="X35" s="443"/>
      <c r="Y35" s="3374"/>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74"/>
      <c r="Q36" s="383" t="str">
        <f t="shared" si="8"/>
        <v>土地级别</v>
      </c>
      <c r="R36" s="448" t="s">
        <v>943</v>
      </c>
      <c r="S36" s="449">
        <f t="shared" si="10"/>
        <v>100</v>
      </c>
      <c r="T36" s="448" t="s">
        <v>943</v>
      </c>
      <c r="U36" s="449">
        <f t="shared" si="11"/>
        <v>100</v>
      </c>
      <c r="V36" s="448" t="s">
        <v>943</v>
      </c>
      <c r="W36" s="449">
        <f t="shared" si="12"/>
        <v>100</v>
      </c>
      <c r="X36" s="443"/>
      <c r="Y36" s="3374"/>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74"/>
      <c r="Q37" s="383">
        <f t="shared" si="8"/>
        <v>111</v>
      </c>
      <c r="R37" s="448" t="s">
        <v>943</v>
      </c>
      <c r="S37" s="449">
        <f t="shared" si="10"/>
        <v>100</v>
      </c>
      <c r="T37" s="448" t="s">
        <v>943</v>
      </c>
      <c r="U37" s="449">
        <f t="shared" si="11"/>
        <v>100</v>
      </c>
      <c r="V37" s="448" t="s">
        <v>943</v>
      </c>
      <c r="W37" s="449">
        <f t="shared" si="12"/>
        <v>100</v>
      </c>
      <c r="X37" s="443"/>
      <c r="Y37" s="3374"/>
      <c r="Z37" s="442">
        <f t="shared" si="13"/>
        <v>111</v>
      </c>
      <c r="AA37" s="454">
        <f t="shared" si="3"/>
        <v>1</v>
      </c>
      <c r="AB37" s="454">
        <f t="shared" si="4"/>
        <v>1</v>
      </c>
      <c r="AC37" s="454">
        <f t="shared" si="5"/>
        <v>1</v>
      </c>
    </row>
    <row r="38" spans="1:29" ht="20.25">
      <c r="A38" s="1744"/>
      <c r="B38" s="2038">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75" t="s">
        <v>965</v>
      </c>
      <c r="Q38" s="383">
        <f t="shared" si="8"/>
        <v>111</v>
      </c>
      <c r="R38" s="448" t="s">
        <v>943</v>
      </c>
      <c r="S38" s="449">
        <f t="shared" si="10"/>
        <v>100</v>
      </c>
      <c r="T38" s="448" t="s">
        <v>943</v>
      </c>
      <c r="U38" s="449">
        <f t="shared" si="11"/>
        <v>100</v>
      </c>
      <c r="V38" s="448" t="s">
        <v>943</v>
      </c>
      <c r="W38" s="449">
        <f t="shared" si="12"/>
        <v>100</v>
      </c>
      <c r="X38" s="443"/>
      <c r="Y38" s="3376" t="s">
        <v>965</v>
      </c>
      <c r="Z38" s="442">
        <f t="shared" si="13"/>
        <v>111</v>
      </c>
      <c r="AA38" s="454">
        <f t="shared" si="3"/>
        <v>1</v>
      </c>
      <c r="AB38" s="454">
        <f t="shared" si="4"/>
        <v>1</v>
      </c>
      <c r="AC38" s="454">
        <f t="shared" si="5"/>
        <v>1</v>
      </c>
    </row>
    <row r="39" spans="1:29" s="192" customFormat="1" ht="20.25">
      <c r="A39" s="1746"/>
      <c r="B39" s="2039">
        <v>111</v>
      </c>
      <c r="C39" s="2040"/>
      <c r="D39" s="2041">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76"/>
      <c r="Q39" s="383">
        <f t="shared" si="8"/>
        <v>111</v>
      </c>
      <c r="R39" s="451" t="s">
        <v>943</v>
      </c>
      <c r="S39" s="452">
        <f t="shared" si="10"/>
        <v>100</v>
      </c>
      <c r="T39" s="451" t="s">
        <v>943</v>
      </c>
      <c r="U39" s="452">
        <f t="shared" si="11"/>
        <v>100</v>
      </c>
      <c r="V39" s="451" t="s">
        <v>943</v>
      </c>
      <c r="W39" s="452">
        <f t="shared" si="12"/>
        <v>100</v>
      </c>
      <c r="X39" s="453"/>
      <c r="Y39" s="3376"/>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76"/>
      <c r="Q40" s="383" t="str">
        <f t="shared" si="8"/>
        <v>宗地面积</v>
      </c>
      <c r="R40" s="448" t="s">
        <v>943</v>
      </c>
      <c r="S40" s="449">
        <f t="shared" si="10"/>
        <v>101</v>
      </c>
      <c r="T40" s="448" t="s">
        <v>943</v>
      </c>
      <c r="U40" s="449">
        <f t="shared" si="11"/>
        <v>98</v>
      </c>
      <c r="V40" s="448" t="s">
        <v>943</v>
      </c>
      <c r="W40" s="449">
        <f t="shared" si="12"/>
        <v>100</v>
      </c>
      <c r="X40" s="443"/>
      <c r="Y40" s="3376"/>
      <c r="Z40" s="442" t="str">
        <f t="shared" si="13"/>
        <v>宗地面积</v>
      </c>
      <c r="AA40" s="454">
        <f t="shared" si="3"/>
        <v>0.99009900990099009</v>
      </c>
      <c r="AB40" s="454">
        <f t="shared" si="4"/>
        <v>1.0204081632653061</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76"/>
      <c r="Q41" s="383" t="str">
        <f t="shared" ref="Q41:Q47" si="14">B41</f>
        <v>宗地形状</v>
      </c>
      <c r="R41" s="448" t="s">
        <v>943</v>
      </c>
      <c r="S41" s="449">
        <f t="shared" si="10"/>
        <v>100</v>
      </c>
      <c r="T41" s="448" t="s">
        <v>943</v>
      </c>
      <c r="U41" s="449">
        <f t="shared" si="11"/>
        <v>100</v>
      </c>
      <c r="V41" s="448" t="s">
        <v>943</v>
      </c>
      <c r="W41" s="449">
        <f t="shared" si="12"/>
        <v>100</v>
      </c>
      <c r="X41" s="443"/>
      <c r="Y41" s="3376"/>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76"/>
      <c r="Q42" s="383" t="str">
        <f t="shared" si="14"/>
        <v>临街宽度及深度</v>
      </c>
      <c r="R42" s="448" t="s">
        <v>943</v>
      </c>
      <c r="S42" s="449">
        <f t="shared" si="10"/>
        <v>100</v>
      </c>
      <c r="T42" s="448" t="s">
        <v>943</v>
      </c>
      <c r="U42" s="449">
        <f t="shared" si="11"/>
        <v>100</v>
      </c>
      <c r="V42" s="448" t="s">
        <v>943</v>
      </c>
      <c r="W42" s="449">
        <f t="shared" si="12"/>
        <v>100</v>
      </c>
      <c r="X42" s="443"/>
      <c r="Y42" s="3376"/>
      <c r="Z42" s="442" t="str">
        <f t="shared" si="13"/>
        <v>临街宽度及深度</v>
      </c>
      <c r="AA42" s="454">
        <f t="shared" si="3"/>
        <v>1</v>
      </c>
      <c r="AB42" s="454">
        <f t="shared" si="4"/>
        <v>1</v>
      </c>
      <c r="AC42" s="454">
        <f t="shared" si="5"/>
        <v>1</v>
      </c>
    </row>
    <row r="43" spans="1:29" s="190" customFormat="1" ht="20.25">
      <c r="A43" s="296"/>
      <c r="B43" s="545" t="s">
        <v>970</v>
      </c>
      <c r="C43" s="3174"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76"/>
      <c r="Q43" s="383" t="str">
        <f t="shared" si="14"/>
        <v>宗地开发程度</v>
      </c>
      <c r="R43" s="444" t="s">
        <v>943</v>
      </c>
      <c r="S43" s="445">
        <f t="shared" si="10"/>
        <v>100</v>
      </c>
      <c r="T43" s="444" t="s">
        <v>943</v>
      </c>
      <c r="U43" s="445">
        <f t="shared" si="11"/>
        <v>100</v>
      </c>
      <c r="V43" s="444" t="s">
        <v>943</v>
      </c>
      <c r="W43" s="445">
        <f t="shared" si="12"/>
        <v>100</v>
      </c>
      <c r="X43" s="446"/>
      <c r="Y43" s="3376"/>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76" t="s">
        <v>965</v>
      </c>
      <c r="Q44" s="383" t="str">
        <f t="shared" si="14"/>
        <v>工程地质条件</v>
      </c>
      <c r="R44" s="448" t="s">
        <v>943</v>
      </c>
      <c r="S44" s="449">
        <f t="shared" si="10"/>
        <v>100</v>
      </c>
      <c r="T44" s="448" t="s">
        <v>943</v>
      </c>
      <c r="U44" s="449">
        <f t="shared" si="11"/>
        <v>100</v>
      </c>
      <c r="V44" s="448" t="s">
        <v>943</v>
      </c>
      <c r="W44" s="449">
        <f t="shared" si="12"/>
        <v>100</v>
      </c>
      <c r="X44" s="443"/>
      <c r="Y44" s="3376"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76"/>
      <c r="Q45" s="383">
        <f t="shared" si="14"/>
        <v>111</v>
      </c>
      <c r="R45" s="448" t="s">
        <v>943</v>
      </c>
      <c r="S45" s="449">
        <f t="shared" si="10"/>
        <v>100</v>
      </c>
      <c r="T45" s="448" t="s">
        <v>943</v>
      </c>
      <c r="U45" s="449">
        <f t="shared" si="11"/>
        <v>100</v>
      </c>
      <c r="V45" s="448" t="s">
        <v>943</v>
      </c>
      <c r="W45" s="449">
        <f t="shared" si="12"/>
        <v>100</v>
      </c>
      <c r="X45" s="443"/>
      <c r="Y45" s="3376"/>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76"/>
      <c r="Q46" s="383">
        <f t="shared" si="14"/>
        <v>111</v>
      </c>
      <c r="R46" s="448" t="s">
        <v>943</v>
      </c>
      <c r="S46" s="449">
        <f t="shared" si="10"/>
        <v>100</v>
      </c>
      <c r="T46" s="448" t="s">
        <v>943</v>
      </c>
      <c r="U46" s="449">
        <f t="shared" si="11"/>
        <v>100</v>
      </c>
      <c r="V46" s="448" t="s">
        <v>943</v>
      </c>
      <c r="W46" s="449">
        <f t="shared" si="12"/>
        <v>100</v>
      </c>
      <c r="X46" s="443"/>
      <c r="Y46" s="3376"/>
      <c r="Z46" s="442">
        <f t="shared" si="13"/>
        <v>111</v>
      </c>
      <c r="AA46" s="454">
        <f t="shared" si="3"/>
        <v>1</v>
      </c>
      <c r="AB46" s="454">
        <f t="shared" si="4"/>
        <v>1</v>
      </c>
      <c r="AC46" s="454">
        <f t="shared" si="5"/>
        <v>1</v>
      </c>
    </row>
    <row r="47" spans="1:29" s="192" customFormat="1" ht="20.25">
      <c r="A47" s="288"/>
      <c r="B47" s="1745">
        <v>111</v>
      </c>
      <c r="C47" s="1753"/>
      <c r="D47" s="2042">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76"/>
      <c r="Q47" s="383">
        <f t="shared" si="14"/>
        <v>111</v>
      </c>
      <c r="R47" s="451" t="s">
        <v>943</v>
      </c>
      <c r="S47" s="452">
        <f t="shared" si="10"/>
        <v>100</v>
      </c>
      <c r="T47" s="451" t="s">
        <v>943</v>
      </c>
      <c r="U47" s="452">
        <f t="shared" si="11"/>
        <v>100</v>
      </c>
      <c r="V47" s="451" t="s">
        <v>943</v>
      </c>
      <c r="W47" s="452">
        <f t="shared" si="12"/>
        <v>100</v>
      </c>
      <c r="X47" s="453"/>
      <c r="Y47" s="3376"/>
      <c r="Z47" s="465">
        <f t="shared" si="13"/>
        <v>111</v>
      </c>
      <c r="AA47" s="454">
        <f t="shared" si="3"/>
        <v>1</v>
      </c>
      <c r="AB47" s="454">
        <f t="shared" si="4"/>
        <v>1</v>
      </c>
      <c r="AC47" s="454">
        <f t="shared" si="5"/>
        <v>1</v>
      </c>
    </row>
    <row r="48" spans="1:29" ht="20.25">
      <c r="A48" s="303" t="s">
        <v>972</v>
      </c>
      <c r="B48" s="1754" t="s">
        <v>927</v>
      </c>
      <c r="C48" s="1755" t="s">
        <v>138</v>
      </c>
      <c r="D48" s="1756"/>
      <c r="E48" s="3170">
        <f>ROUND(土地案例!K18,0)</f>
        <v>2101</v>
      </c>
      <c r="F48" s="1758"/>
      <c r="G48" s="3170">
        <f>ROUND(土地案例!K11,0)</f>
        <v>1826</v>
      </c>
      <c r="H48" s="1760"/>
      <c r="I48" s="1757">
        <f>ROUND(土地案例!K17,0)</f>
        <v>1899</v>
      </c>
      <c r="J48" s="1760"/>
      <c r="K48" s="1800"/>
      <c r="L48" s="398"/>
      <c r="M48" s="375"/>
      <c r="N48" s="375"/>
      <c r="O48" s="319"/>
      <c r="P48" s="3372" t="str">
        <f>A48</f>
        <v>成交单价</v>
      </c>
      <c r="Q48" s="3372"/>
      <c r="R48" s="3368">
        <f>E48</f>
        <v>2101</v>
      </c>
      <c r="S48" s="3368"/>
      <c r="T48" s="3368">
        <f>G48</f>
        <v>1826</v>
      </c>
      <c r="U48" s="3368"/>
      <c r="V48" s="3368">
        <f>I48</f>
        <v>1899</v>
      </c>
      <c r="W48" s="3368"/>
      <c r="X48" s="330"/>
      <c r="Y48" s="466"/>
      <c r="Z48" s="330"/>
      <c r="AA48" s="330"/>
      <c r="AB48" s="330"/>
      <c r="AC48" s="330"/>
    </row>
    <row r="49" spans="1:29" ht="20.25">
      <c r="A49" s="311" t="s">
        <v>973</v>
      </c>
      <c r="B49" s="1761"/>
      <c r="C49" s="1762">
        <f>R50</f>
        <v>1576</v>
      </c>
      <c r="D49" s="1763"/>
      <c r="E49" s="1762">
        <f>R49</f>
        <v>1746</v>
      </c>
      <c r="F49" s="1764"/>
      <c r="G49" s="1765">
        <f>T49</f>
        <v>1319</v>
      </c>
      <c r="H49" s="1763"/>
      <c r="I49" s="1762">
        <f>V49</f>
        <v>1663</v>
      </c>
      <c r="J49" s="1763"/>
      <c r="K49" s="1801"/>
      <c r="L49" s="398"/>
      <c r="M49" s="375"/>
      <c r="N49" s="375"/>
      <c r="O49" s="319"/>
      <c r="P49" s="3372" t="str">
        <f>A49</f>
        <v>比较价格（元/平方米）</v>
      </c>
      <c r="Q49" s="3372"/>
      <c r="R49" s="3377">
        <f>ROUND(PRODUCT(R48,AA9:AA47),0)</f>
        <v>1746</v>
      </c>
      <c r="S49" s="3377"/>
      <c r="T49" s="3377">
        <f>ROUND(PRODUCT(T48,AB9:AB47),0)</f>
        <v>1319</v>
      </c>
      <c r="U49" s="3377"/>
      <c r="V49" s="3377">
        <f>ROUND(PRODUCT(V48,AC9:AC47),0)</f>
        <v>1663</v>
      </c>
      <c r="W49" s="3377"/>
      <c r="X49" s="330"/>
      <c r="Y49" s="330"/>
      <c r="Z49" s="330"/>
      <c r="AA49" s="330"/>
      <c r="AB49" s="330"/>
      <c r="AC49" s="330"/>
    </row>
    <row r="50" spans="1:29" ht="20.25">
      <c r="A50" s="316" t="s">
        <v>974</v>
      </c>
      <c r="B50" s="317"/>
      <c r="C50" s="1766">
        <f>R50</f>
        <v>1576</v>
      </c>
      <c r="D50" s="1766"/>
      <c r="E50" s="1766"/>
      <c r="F50" s="1766"/>
      <c r="G50" s="1766"/>
      <c r="H50" s="1766"/>
      <c r="I50" s="1766"/>
      <c r="J50" s="1766"/>
      <c r="K50" s="1802"/>
      <c r="L50" s="398"/>
      <c r="M50" s="375"/>
      <c r="N50" s="375"/>
      <c r="O50" s="319"/>
      <c r="P50" s="3378" t="str">
        <f>A50</f>
        <v>估价对象XX用房的比较价格（楼面单价，元/平方米）</v>
      </c>
      <c r="Q50" s="3379"/>
      <c r="R50" s="3380">
        <f>ROUND(AVERAGE(R49:V49),0)</f>
        <v>1576</v>
      </c>
      <c r="S50" s="3380"/>
      <c r="T50" s="3380"/>
      <c r="U50" s="3380"/>
      <c r="V50" s="3380"/>
      <c r="W50" s="338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0.20332187857961048</v>
      </c>
      <c r="F53" s="324" t="str">
        <f>IF(OR(E53&gt;=0.3,E53&lt;=-0.3),"超过30%","")</f>
        <v/>
      </c>
      <c r="G53" s="323">
        <f>IF(G48&lt;G49,G49/G48-1,G48/G49-1)</f>
        <v>0.38438210765731617</v>
      </c>
      <c r="H53" s="324" t="str">
        <f>IF(OR(G53&gt;=0.3,G53&lt;=-0.3),"超过30%","")</f>
        <v>超过30%</v>
      </c>
      <c r="I53" s="323">
        <f>IF(I48&lt;I49,I49/I48-1,I48/I49-1)</f>
        <v>0.1419122068550811</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0.32373009855951485</v>
      </c>
      <c r="F54" s="324" t="str">
        <f>IF(OR(E54&gt;=0.2,E54&lt;=-0.2),"超过20%","")</f>
        <v>超过20%</v>
      </c>
      <c r="G54" s="323">
        <f>IF(G49&lt;I49,I49/G49-1,G49/I49-1)</f>
        <v>0.26080363912054594</v>
      </c>
      <c r="H54" s="324" t="str">
        <f>IF(OR(G54&gt;=0.2,G54&lt;=-0.2),"超过20%","")</f>
        <v>超过20%</v>
      </c>
      <c r="I54" s="323">
        <f>IF(I49&lt;E49,E49/I49-1,I49/E49-1)</f>
        <v>4.9909801563439604E-2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0.15060240963855431</v>
      </c>
      <c r="F55" s="324" t="str">
        <f>IF(OR(E55&gt;=0.3,E55&lt;=-0.3),"超过30%","")</f>
        <v/>
      </c>
      <c r="G55" s="323">
        <f>IF(G48&lt;I48,I48/G48-1,G48/I48-1)</f>
        <v>3.9978094194961677E-2</v>
      </c>
      <c r="H55" s="324" t="str">
        <f>IF(OR(G55&gt;=0.3,G55&lt;=-0.3),"超过30%","")</f>
        <v/>
      </c>
      <c r="I55" s="323">
        <f>IF(I48&lt;E48,E48/I48-1,I48/E48-1)</f>
        <v>0.10637177461822001</v>
      </c>
      <c r="J55" s="324" t="str">
        <f>IF(OR(I55&gt;=0.3,I55&lt;=-0.3),"超过30%","")</f>
        <v/>
      </c>
      <c r="K55" s="404"/>
      <c r="L55" s="405"/>
      <c r="M55" s="375"/>
      <c r="N55" s="375"/>
      <c r="O55" s="326"/>
      <c r="P55" s="204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8"/>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3" t="s">
        <v>983</v>
      </c>
      <c r="G57" s="3352" t="s">
        <v>984</v>
      </c>
      <c r="H57" s="3353"/>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1576</v>
      </c>
      <c r="C58" s="1775">
        <v>1</v>
      </c>
      <c r="D58" s="1776">
        <v>1</v>
      </c>
      <c r="E58" s="1775">
        <f>'数据-汇总表'!E8+'数据-汇总表'!E9</f>
        <v>95256.13</v>
      </c>
      <c r="F58" s="2044">
        <f t="shared" ref="F58:F67" si="15">ROUND(B58*E58/10000,0)</f>
        <v>15012</v>
      </c>
      <c r="G58" s="3354"/>
      <c r="H58" s="3355"/>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4">
        <f t="shared" si="15"/>
        <v>0</v>
      </c>
      <c r="G59" s="3371" t="s">
        <v>988</v>
      </c>
      <c r="H59" s="2046">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4">
        <f t="shared" si="15"/>
        <v>0</v>
      </c>
      <c r="G60" s="3371"/>
      <c r="H60" s="2046">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4">
        <f t="shared" si="15"/>
        <v>0</v>
      </c>
      <c r="G61" s="3371"/>
      <c r="H61" s="2046">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4">
        <f t="shared" si="15"/>
        <v>0</v>
      </c>
      <c r="G62" s="3371"/>
      <c r="H62" s="2046">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4">
        <f t="shared" si="15"/>
        <v>0</v>
      </c>
      <c r="G63" s="2045" t="s">
        <v>992</v>
      </c>
      <c r="H63" s="2046">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4">
        <f t="shared" si="15"/>
        <v>0</v>
      </c>
      <c r="G64" s="1787" t="s">
        <v>374</v>
      </c>
      <c r="H64" s="2047">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6911.06</v>
      </c>
      <c r="F65" s="2044">
        <f t="shared" si="15"/>
        <v>0</v>
      </c>
      <c r="G65" s="1787" t="s">
        <v>372</v>
      </c>
      <c r="H65" s="2047">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4">
        <f t="shared" si="15"/>
        <v>0</v>
      </c>
      <c r="G66" s="2045" t="s">
        <v>988</v>
      </c>
      <c r="H66" s="2046">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4">
        <f t="shared" si="15"/>
        <v>0</v>
      </c>
      <c r="G67" s="2050" t="s">
        <v>992</v>
      </c>
      <c r="H67" s="2051">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102588.33</v>
      </c>
      <c r="F68" s="1792">
        <f>IF(B48="楼面地价",SUM(F58:F67),ROUND(C50*E68/10000,0))</f>
        <v>15012</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2"/>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3" t="s">
        <v>1001</v>
      </c>
      <c r="B73" s="1815" t="str">
        <f>"北京市平均增长率"&amp;TEXT(SUMIF(基准地价!N21:N25,A73,基准地价!P21:P25),"0.00%")</f>
        <v>北京市平均增长率1.98%</v>
      </c>
      <c r="C73" s="472">
        <v>100</v>
      </c>
      <c r="D73" s="2054">
        <f>C73-$C$74</f>
        <v>99.5</v>
      </c>
      <c r="E73" s="2054">
        <f t="shared" ref="E73:N73" si="20">D73-$C$74</f>
        <v>99</v>
      </c>
      <c r="F73" s="2054">
        <f t="shared" si="20"/>
        <v>98.5</v>
      </c>
      <c r="G73" s="2054">
        <f t="shared" si="20"/>
        <v>98</v>
      </c>
      <c r="H73" s="2054">
        <f t="shared" si="20"/>
        <v>97.5</v>
      </c>
      <c r="I73" s="2054">
        <f t="shared" si="20"/>
        <v>97</v>
      </c>
      <c r="J73" s="2054">
        <f t="shared" si="20"/>
        <v>96.5</v>
      </c>
      <c r="K73" s="2054">
        <f t="shared" si="20"/>
        <v>96</v>
      </c>
      <c r="L73" s="2054">
        <f t="shared" si="20"/>
        <v>95.5</v>
      </c>
      <c r="M73" s="2054">
        <f t="shared" si="20"/>
        <v>95</v>
      </c>
      <c r="N73" s="2054">
        <f t="shared" si="20"/>
        <v>94.5</v>
      </c>
      <c r="O73" s="417"/>
      <c r="P73" s="412"/>
      <c r="Q73" s="456"/>
      <c r="R73" s="456"/>
      <c r="S73" s="456"/>
      <c r="T73" s="456"/>
      <c r="U73" s="456"/>
      <c r="V73" s="456"/>
      <c r="W73" s="456"/>
      <c r="X73" s="456"/>
      <c r="Y73" s="456"/>
      <c r="Z73" s="456"/>
      <c r="AA73" s="456"/>
      <c r="AB73" s="456"/>
      <c r="AC73" s="456"/>
    </row>
    <row r="74" spans="1:29" s="190" customFormat="1" ht="15" customHeight="1">
      <c r="A74" s="2055" t="s">
        <v>1002</v>
      </c>
      <c r="B74" s="2056"/>
      <c r="C74" s="2057">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58" t="s">
        <v>1004</v>
      </c>
      <c r="E75" s="2058" t="s">
        <v>1005</v>
      </c>
      <c r="F75" s="2058"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105</v>
      </c>
      <c r="E76" s="340">
        <v>110</v>
      </c>
      <c r="F76" s="340">
        <v>115</v>
      </c>
      <c r="G76" s="340">
        <v>120</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90</v>
      </c>
      <c r="E91" s="358">
        <f>D91-$K17</f>
        <v>80</v>
      </c>
      <c r="F91" s="358">
        <f>E91-$K17</f>
        <v>70</v>
      </c>
      <c r="G91" s="358">
        <f>F91-$K17</f>
        <v>60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90</v>
      </c>
      <c r="E93" s="358">
        <f>D93-$K19</f>
        <v>80</v>
      </c>
      <c r="F93" s="358">
        <f>E93-$K19</f>
        <v>70</v>
      </c>
      <c r="G93" s="358">
        <f>F93-$K19</f>
        <v>60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95</v>
      </c>
      <c r="E97" s="358">
        <f>D97-$K23</f>
        <v>90</v>
      </c>
      <c r="F97" s="358">
        <f>E97-$K23</f>
        <v>85</v>
      </c>
      <c r="G97" s="358">
        <f>F97-$K23</f>
        <v>80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59"/>
      <c r="K119" s="2059"/>
      <c r="L119" s="2060"/>
      <c r="M119" s="2061"/>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28" customFormat="1">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pans="1:29" s="2028" customFormat="1">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pans="1:29" s="2028" customFormat="1">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pans="1:29" s="2028" customFormat="1">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pans="1:29" s="2028" customFormat="1">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pans="1:29" s="2028" customFormat="1">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pans="1:29" s="2028" customFormat="1">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pans="1:29" s="2028" customFormat="1">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pans="1:29" s="2028" customFormat="1">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pans="1:29" s="2028" customFormat="1">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pans="1:29" s="2028" customFormat="1">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pans="1:29" s="2028" customFormat="1">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pans="1:29" s="2028" customFormat="1">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pans="1:29" s="2028" customFormat="1">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pans="1:29" s="2028" customFormat="1">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pans="1:29" s="2028" customFormat="1">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pans="1:29" s="2028" customFormat="1">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pans="1:29" s="2028" customFormat="1">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pans="1:29" s="2028" customFormat="1">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pans="1:29" s="2028" customFormat="1">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pans="1:29" s="2028" customFormat="1">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pans="1:29" s="2028" customFormat="1">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pans="1:29" s="2028" customFormat="1">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pans="1:29" s="2028" customFormat="1">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pans="1:29" s="2028" customFormat="1">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pans="1:29" s="2028" customFormat="1">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pans="1:29" s="2028" customFormat="1">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pans="1:29" s="2028" customFormat="1">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pans="1:29" s="2028" customFormat="1">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pans="1:29" s="2028" customFormat="1">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pans="1:29" s="2028" customFormat="1">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pans="1:29" s="2028" customFormat="1">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pans="1:29" s="2028" customFormat="1">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pans="1:29" s="2028" customFormat="1">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pans="1:29" s="2028" customFormat="1">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pans="1:29" s="2028" customFormat="1">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pans="1:29" s="2028" customFormat="1">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pans="1:29" s="2028" customFormat="1">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pans="1:29" s="2028" customFormat="1">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pans="1:29" s="2028" customFormat="1">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pans="1:29" s="2028" customFormat="1">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pans="1:29" s="2028" customFormat="1">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pans="1:29" s="2028" customFormat="1">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pans="1:29" s="2028" customFormat="1">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pans="1:29" s="2028" customFormat="1">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pans="1:29" s="2028" customFormat="1">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pans="1:29" s="2028" customFormat="1">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pans="1:29" s="2028" customFormat="1">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pans="1:29" s="2028" customFormat="1">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pans="1:29" s="2028" customFormat="1">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pans="1:29" s="2028" customFormat="1">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pans="1:29" s="2028" customFormat="1">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pans="1:29" s="2028" customFormat="1">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pans="1:29" s="2028" customFormat="1">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pans="1:29" s="2028" customFormat="1">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pans="1:29" s="2028" customFormat="1">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pans="1:29" s="2028" customFormat="1">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pans="1:29" s="2028" customFormat="1">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pans="1:29" s="2028" customFormat="1">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pans="1:29" s="2028" customFormat="1">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pans="1:29" s="2028" customFormat="1">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pans="1:29" s="2028" customFormat="1">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pans="1:29" s="2028" customFormat="1">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pans="1:29" s="2028" customFormat="1">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pans="1:29" s="2028" customFormat="1">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pans="1:29" s="2028" customFormat="1">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pans="1:29" s="2028" customFormat="1">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pans="1:29" s="2028" customFormat="1">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pans="1:29" s="2028" customFormat="1">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pans="1:29" s="2028" customFormat="1">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pans="1:29" s="2028" customFormat="1">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pans="1:29" s="2028" customFormat="1">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pans="1:29" s="2028" customFormat="1">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pans="1:29" s="2028" customFormat="1">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pans="1:29" s="2028" customFormat="1">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pans="1:29" s="2028" customFormat="1">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pans="1:29" s="2028" customFormat="1">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pans="1:29" s="2028" customFormat="1">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pans="1:29" s="2028" customFormat="1">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pans="1:29" s="2028" customFormat="1">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pans="1:29" s="2028" customFormat="1">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pans="1:29" s="2028" customFormat="1">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pans="1:29" s="2028" customFormat="1">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pans="1:29" s="2028" customFormat="1">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pans="1:29" s="2028" customFormat="1">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pans="1:29" s="2028" customFormat="1">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pans="1:29" s="2028" customFormat="1">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pans="1:29" s="2028" customFormat="1">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pans="1:29" s="2028" customFormat="1">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pans="1:29" s="2028" customFormat="1">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pans="1:29" s="2028" customFormat="1">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pans="1:29" s="2028" customFormat="1">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pans="1:29" s="2028" customFormat="1">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pans="1:29" s="2028" customFormat="1">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pans="1:29" s="2028" customFormat="1">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pans="1:29" s="2028" customFormat="1">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pans="1:29" s="2028" customFormat="1">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pans="1:29" s="2028" customFormat="1">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pans="1:29" s="2028" customFormat="1">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pans="1:29" s="2028" customFormat="1">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pans="1:29" s="2028" customFormat="1">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pans="1:29" s="2028" customFormat="1">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pans="1:29" s="2028" customFormat="1">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pans="1:29" s="2028" customFormat="1">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pans="1:29" s="2028" customFormat="1">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pans="1:29" s="2028" customFormat="1">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pans="1:29" s="2028" customFormat="1">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pans="1:29" s="2028" customFormat="1">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pans="1:29" s="2028" customFormat="1">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pans="1:29" s="2028" customFormat="1">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pans="1:29" s="2028" customFormat="1">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pans="1:29" s="2028" customFormat="1">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pans="1:29" s="2028" customFormat="1">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pans="1:29" s="2028" customFormat="1">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pans="1:29" s="2028" customFormat="1">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pans="1:29" s="2028" customFormat="1">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pans="1:29" s="2028" customFormat="1">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pans="1:29" s="2028" customFormat="1">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pans="1:29" s="2028" customFormat="1">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pans="1:29" s="2028" customFormat="1">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pans="1:29" s="2028" customFormat="1">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pans="1:29" s="2028" customFormat="1">
      <c r="K256" s="2065"/>
      <c r="L256" s="2066"/>
    </row>
    <row r="257" spans="11:12" s="2028" customFormat="1">
      <c r="K257" s="2065"/>
      <c r="L257" s="2066"/>
    </row>
    <row r="258" spans="11:12" s="2028" customFormat="1">
      <c r="K258" s="2065"/>
      <c r="L258" s="2066"/>
    </row>
    <row r="259" spans="11:12" s="2028" customFormat="1">
      <c r="K259" s="2065"/>
      <c r="L259" s="206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84" t="str">
        <f>项目基本情况!B1</f>
        <v>出让国有建设用地使用权抵押价格预评估</v>
      </c>
      <c r="C37" s="3184"/>
      <c r="D37" s="3184"/>
      <c r="E37" s="3184"/>
      <c r="F37" s="3184"/>
      <c r="G37" s="3184"/>
      <c r="H37" s="3184"/>
      <c r="I37" s="3184"/>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3"/>
  <sheetViews>
    <sheetView workbookViewId="0">
      <selection activeCell="O49" sqref="O49"/>
    </sheetView>
  </sheetViews>
  <sheetFormatPr defaultColWidth="9" defaultRowHeight="12.75"/>
  <cols>
    <col min="1" max="1" width="36.375" style="2027" customWidth="1"/>
    <col min="2" max="2" width="6.25" style="2027" hidden="1" customWidth="1"/>
    <col min="3" max="3" width="7.875" style="2027" customWidth="1"/>
    <col min="4" max="4" width="10.25" style="2027" customWidth="1"/>
    <col min="5" max="5" width="10.125" style="2027" customWidth="1"/>
    <col min="6" max="6" width="20.75" style="2027" customWidth="1"/>
    <col min="7" max="7" width="7.875" style="2027" hidden="1" customWidth="1"/>
    <col min="8" max="8" width="9" style="2027" customWidth="1"/>
    <col min="9" max="10" width="10.625" style="2027" customWidth="1"/>
    <col min="11" max="11" width="14.375" style="2027" customWidth="1"/>
    <col min="12" max="12" width="6.25" style="2027" customWidth="1"/>
    <col min="13" max="13" width="26.125" style="2027" customWidth="1"/>
    <col min="14" max="14" width="7.875" style="2027" customWidth="1"/>
    <col min="15" max="16" width="9" style="2027"/>
    <col min="17" max="17" width="9" style="3180"/>
    <col min="18" max="256" width="9" style="2027"/>
    <col min="257" max="257" width="42.625" style="2027" customWidth="1"/>
    <col min="258" max="258" width="6.25" style="2027" customWidth="1"/>
    <col min="259" max="259" width="7.875" style="2027" customWidth="1"/>
    <col min="260" max="261" width="13.875" style="2027" customWidth="1"/>
    <col min="262" max="262" width="20.75" style="2027" customWidth="1"/>
    <col min="263" max="263" width="7.875" style="2027" customWidth="1"/>
    <col min="264" max="264" width="9" style="2027" customWidth="1"/>
    <col min="265" max="266" width="10.625" style="2027" customWidth="1"/>
    <col min="267" max="267" width="14.375" style="2027" customWidth="1"/>
    <col min="268" max="268" width="6.25" style="2027" customWidth="1"/>
    <col min="269" max="269" width="26.125" style="2027" customWidth="1"/>
    <col min="270" max="270" width="7.875" style="2027" customWidth="1"/>
    <col min="271" max="512" width="9" style="2027"/>
    <col min="513" max="513" width="42.625" style="2027" customWidth="1"/>
    <col min="514" max="514" width="6.25" style="2027" customWidth="1"/>
    <col min="515" max="515" width="7.875" style="2027" customWidth="1"/>
    <col min="516" max="517" width="13.875" style="2027" customWidth="1"/>
    <col min="518" max="518" width="20.75" style="2027" customWidth="1"/>
    <col min="519" max="519" width="7.875" style="2027" customWidth="1"/>
    <col min="520" max="520" width="9" style="2027" customWidth="1"/>
    <col min="521" max="522" width="10.625" style="2027" customWidth="1"/>
    <col min="523" max="523" width="14.375" style="2027" customWidth="1"/>
    <col min="524" max="524" width="6.25" style="2027" customWidth="1"/>
    <col min="525" max="525" width="26.125" style="2027" customWidth="1"/>
    <col min="526" max="526" width="7.875" style="2027" customWidth="1"/>
    <col min="527" max="768" width="9" style="2027"/>
    <col min="769" max="769" width="42.625" style="2027" customWidth="1"/>
    <col min="770" max="770" width="6.25" style="2027" customWidth="1"/>
    <col min="771" max="771" width="7.875" style="2027" customWidth="1"/>
    <col min="772" max="773" width="13.875" style="2027" customWidth="1"/>
    <col min="774" max="774" width="20.75" style="2027" customWidth="1"/>
    <col min="775" max="775" width="7.875" style="2027" customWidth="1"/>
    <col min="776" max="776" width="9" style="2027" customWidth="1"/>
    <col min="777" max="778" width="10.625" style="2027" customWidth="1"/>
    <col min="779" max="779" width="14.375" style="2027" customWidth="1"/>
    <col min="780" max="780" width="6.25" style="2027" customWidth="1"/>
    <col min="781" max="781" width="26.125" style="2027" customWidth="1"/>
    <col min="782" max="782" width="7.875" style="2027" customWidth="1"/>
    <col min="783" max="1024" width="9" style="2027"/>
    <col min="1025" max="1025" width="42.625" style="2027" customWidth="1"/>
    <col min="1026" max="1026" width="6.25" style="2027" customWidth="1"/>
    <col min="1027" max="1027" width="7.875" style="2027" customWidth="1"/>
    <col min="1028" max="1029" width="13.875" style="2027" customWidth="1"/>
    <col min="1030" max="1030" width="20.75" style="2027" customWidth="1"/>
    <col min="1031" max="1031" width="7.875" style="2027" customWidth="1"/>
    <col min="1032" max="1032" width="9" style="2027" customWidth="1"/>
    <col min="1033" max="1034" width="10.625" style="2027" customWidth="1"/>
    <col min="1035" max="1035" width="14.375" style="2027" customWidth="1"/>
    <col min="1036" max="1036" width="6.25" style="2027" customWidth="1"/>
    <col min="1037" max="1037" width="26.125" style="2027" customWidth="1"/>
    <col min="1038" max="1038" width="7.875" style="2027" customWidth="1"/>
    <col min="1039" max="1280" width="9" style="2027"/>
    <col min="1281" max="1281" width="42.625" style="2027" customWidth="1"/>
    <col min="1282" max="1282" width="6.25" style="2027" customWidth="1"/>
    <col min="1283" max="1283" width="7.875" style="2027" customWidth="1"/>
    <col min="1284" max="1285" width="13.875" style="2027" customWidth="1"/>
    <col min="1286" max="1286" width="20.75" style="2027" customWidth="1"/>
    <col min="1287" max="1287" width="7.875" style="2027" customWidth="1"/>
    <col min="1288" max="1288" width="9" style="2027" customWidth="1"/>
    <col min="1289" max="1290" width="10.625" style="2027" customWidth="1"/>
    <col min="1291" max="1291" width="14.375" style="2027" customWidth="1"/>
    <col min="1292" max="1292" width="6.25" style="2027" customWidth="1"/>
    <col min="1293" max="1293" width="26.125" style="2027" customWidth="1"/>
    <col min="1294" max="1294" width="7.875" style="2027" customWidth="1"/>
    <col min="1295" max="1536" width="9" style="2027"/>
    <col min="1537" max="1537" width="42.625" style="2027" customWidth="1"/>
    <col min="1538" max="1538" width="6.25" style="2027" customWidth="1"/>
    <col min="1539" max="1539" width="7.875" style="2027" customWidth="1"/>
    <col min="1540" max="1541" width="13.875" style="2027" customWidth="1"/>
    <col min="1542" max="1542" width="20.75" style="2027" customWidth="1"/>
    <col min="1543" max="1543" width="7.875" style="2027" customWidth="1"/>
    <col min="1544" max="1544" width="9" style="2027" customWidth="1"/>
    <col min="1545" max="1546" width="10.625" style="2027" customWidth="1"/>
    <col min="1547" max="1547" width="14.375" style="2027" customWidth="1"/>
    <col min="1548" max="1548" width="6.25" style="2027" customWidth="1"/>
    <col min="1549" max="1549" width="26.125" style="2027" customWidth="1"/>
    <col min="1550" max="1550" width="7.875" style="2027" customWidth="1"/>
    <col min="1551" max="1792" width="9" style="2027"/>
    <col min="1793" max="1793" width="42.625" style="2027" customWidth="1"/>
    <col min="1794" max="1794" width="6.25" style="2027" customWidth="1"/>
    <col min="1795" max="1795" width="7.875" style="2027" customWidth="1"/>
    <col min="1796" max="1797" width="13.875" style="2027" customWidth="1"/>
    <col min="1798" max="1798" width="20.75" style="2027" customWidth="1"/>
    <col min="1799" max="1799" width="7.875" style="2027" customWidth="1"/>
    <col min="1800" max="1800" width="9" style="2027" customWidth="1"/>
    <col min="1801" max="1802" width="10.625" style="2027" customWidth="1"/>
    <col min="1803" max="1803" width="14.375" style="2027" customWidth="1"/>
    <col min="1804" max="1804" width="6.25" style="2027" customWidth="1"/>
    <col min="1805" max="1805" width="26.125" style="2027" customWidth="1"/>
    <col min="1806" max="1806" width="7.875" style="2027" customWidth="1"/>
    <col min="1807" max="2048" width="9" style="2027"/>
    <col min="2049" max="2049" width="42.625" style="2027" customWidth="1"/>
    <col min="2050" max="2050" width="6.25" style="2027" customWidth="1"/>
    <col min="2051" max="2051" width="7.875" style="2027" customWidth="1"/>
    <col min="2052" max="2053" width="13.875" style="2027" customWidth="1"/>
    <col min="2054" max="2054" width="20.75" style="2027" customWidth="1"/>
    <col min="2055" max="2055" width="7.875" style="2027" customWidth="1"/>
    <col min="2056" max="2056" width="9" style="2027" customWidth="1"/>
    <col min="2057" max="2058" width="10.625" style="2027" customWidth="1"/>
    <col min="2059" max="2059" width="14.375" style="2027" customWidth="1"/>
    <col min="2060" max="2060" width="6.25" style="2027" customWidth="1"/>
    <col min="2061" max="2061" width="26.125" style="2027" customWidth="1"/>
    <col min="2062" max="2062" width="7.875" style="2027" customWidth="1"/>
    <col min="2063" max="2304" width="9" style="2027"/>
    <col min="2305" max="2305" width="42.625" style="2027" customWidth="1"/>
    <col min="2306" max="2306" width="6.25" style="2027" customWidth="1"/>
    <col min="2307" max="2307" width="7.875" style="2027" customWidth="1"/>
    <col min="2308" max="2309" width="13.875" style="2027" customWidth="1"/>
    <col min="2310" max="2310" width="20.75" style="2027" customWidth="1"/>
    <col min="2311" max="2311" width="7.875" style="2027" customWidth="1"/>
    <col min="2312" max="2312" width="9" style="2027" customWidth="1"/>
    <col min="2313" max="2314" width="10.625" style="2027" customWidth="1"/>
    <col min="2315" max="2315" width="14.375" style="2027" customWidth="1"/>
    <col min="2316" max="2316" width="6.25" style="2027" customWidth="1"/>
    <col min="2317" max="2317" width="26.125" style="2027" customWidth="1"/>
    <col min="2318" max="2318" width="7.875" style="2027" customWidth="1"/>
    <col min="2319" max="2560" width="9" style="2027"/>
    <col min="2561" max="2561" width="42.625" style="2027" customWidth="1"/>
    <col min="2562" max="2562" width="6.25" style="2027" customWidth="1"/>
    <col min="2563" max="2563" width="7.875" style="2027" customWidth="1"/>
    <col min="2564" max="2565" width="13.875" style="2027" customWidth="1"/>
    <col min="2566" max="2566" width="20.75" style="2027" customWidth="1"/>
    <col min="2567" max="2567" width="7.875" style="2027" customWidth="1"/>
    <col min="2568" max="2568" width="9" style="2027" customWidth="1"/>
    <col min="2569" max="2570" width="10.625" style="2027" customWidth="1"/>
    <col min="2571" max="2571" width="14.375" style="2027" customWidth="1"/>
    <col min="2572" max="2572" width="6.25" style="2027" customWidth="1"/>
    <col min="2573" max="2573" width="26.125" style="2027" customWidth="1"/>
    <col min="2574" max="2574" width="7.875" style="2027" customWidth="1"/>
    <col min="2575" max="2816" width="9" style="2027"/>
    <col min="2817" max="2817" width="42.625" style="2027" customWidth="1"/>
    <col min="2818" max="2818" width="6.25" style="2027" customWidth="1"/>
    <col min="2819" max="2819" width="7.875" style="2027" customWidth="1"/>
    <col min="2820" max="2821" width="13.875" style="2027" customWidth="1"/>
    <col min="2822" max="2822" width="20.75" style="2027" customWidth="1"/>
    <col min="2823" max="2823" width="7.875" style="2027" customWidth="1"/>
    <col min="2824" max="2824" width="9" style="2027" customWidth="1"/>
    <col min="2825" max="2826" width="10.625" style="2027" customWidth="1"/>
    <col min="2827" max="2827" width="14.375" style="2027" customWidth="1"/>
    <col min="2828" max="2828" width="6.25" style="2027" customWidth="1"/>
    <col min="2829" max="2829" width="26.125" style="2027" customWidth="1"/>
    <col min="2830" max="2830" width="7.875" style="2027" customWidth="1"/>
    <col min="2831" max="3072" width="9" style="2027"/>
    <col min="3073" max="3073" width="42.625" style="2027" customWidth="1"/>
    <col min="3074" max="3074" width="6.25" style="2027" customWidth="1"/>
    <col min="3075" max="3075" width="7.875" style="2027" customWidth="1"/>
    <col min="3076" max="3077" width="13.875" style="2027" customWidth="1"/>
    <col min="3078" max="3078" width="20.75" style="2027" customWidth="1"/>
    <col min="3079" max="3079" width="7.875" style="2027" customWidth="1"/>
    <col min="3080" max="3080" width="9" style="2027" customWidth="1"/>
    <col min="3081" max="3082" width="10.625" style="2027" customWidth="1"/>
    <col min="3083" max="3083" width="14.375" style="2027" customWidth="1"/>
    <col min="3084" max="3084" width="6.25" style="2027" customWidth="1"/>
    <col min="3085" max="3085" width="26.125" style="2027" customWidth="1"/>
    <col min="3086" max="3086" width="7.875" style="2027" customWidth="1"/>
    <col min="3087" max="3328" width="9" style="2027"/>
    <col min="3329" max="3329" width="42.625" style="2027" customWidth="1"/>
    <col min="3330" max="3330" width="6.25" style="2027" customWidth="1"/>
    <col min="3331" max="3331" width="7.875" style="2027" customWidth="1"/>
    <col min="3332" max="3333" width="13.875" style="2027" customWidth="1"/>
    <col min="3334" max="3334" width="20.75" style="2027" customWidth="1"/>
    <col min="3335" max="3335" width="7.875" style="2027" customWidth="1"/>
    <col min="3336" max="3336" width="9" style="2027" customWidth="1"/>
    <col min="3337" max="3338" width="10.625" style="2027" customWidth="1"/>
    <col min="3339" max="3339" width="14.375" style="2027" customWidth="1"/>
    <col min="3340" max="3340" width="6.25" style="2027" customWidth="1"/>
    <col min="3341" max="3341" width="26.125" style="2027" customWidth="1"/>
    <col min="3342" max="3342" width="7.875" style="2027" customWidth="1"/>
    <col min="3343" max="3584" width="9" style="2027"/>
    <col min="3585" max="3585" width="42.625" style="2027" customWidth="1"/>
    <col min="3586" max="3586" width="6.25" style="2027" customWidth="1"/>
    <col min="3587" max="3587" width="7.875" style="2027" customWidth="1"/>
    <col min="3588" max="3589" width="13.875" style="2027" customWidth="1"/>
    <col min="3590" max="3590" width="20.75" style="2027" customWidth="1"/>
    <col min="3591" max="3591" width="7.875" style="2027" customWidth="1"/>
    <col min="3592" max="3592" width="9" style="2027" customWidth="1"/>
    <col min="3593" max="3594" width="10.625" style="2027" customWidth="1"/>
    <col min="3595" max="3595" width="14.375" style="2027" customWidth="1"/>
    <col min="3596" max="3596" width="6.25" style="2027" customWidth="1"/>
    <col min="3597" max="3597" width="26.125" style="2027" customWidth="1"/>
    <col min="3598" max="3598" width="7.875" style="2027" customWidth="1"/>
    <col min="3599" max="3840" width="9" style="2027"/>
    <col min="3841" max="3841" width="42.625" style="2027" customWidth="1"/>
    <col min="3842" max="3842" width="6.25" style="2027" customWidth="1"/>
    <col min="3843" max="3843" width="7.875" style="2027" customWidth="1"/>
    <col min="3844" max="3845" width="13.875" style="2027" customWidth="1"/>
    <col min="3846" max="3846" width="20.75" style="2027" customWidth="1"/>
    <col min="3847" max="3847" width="7.875" style="2027" customWidth="1"/>
    <col min="3848" max="3848" width="9" style="2027" customWidth="1"/>
    <col min="3849" max="3850" width="10.625" style="2027" customWidth="1"/>
    <col min="3851" max="3851" width="14.375" style="2027" customWidth="1"/>
    <col min="3852" max="3852" width="6.25" style="2027" customWidth="1"/>
    <col min="3853" max="3853" width="26.125" style="2027" customWidth="1"/>
    <col min="3854" max="3854" width="7.875" style="2027" customWidth="1"/>
    <col min="3855" max="4096" width="9" style="2027"/>
    <col min="4097" max="4097" width="42.625" style="2027" customWidth="1"/>
    <col min="4098" max="4098" width="6.25" style="2027" customWidth="1"/>
    <col min="4099" max="4099" width="7.875" style="2027" customWidth="1"/>
    <col min="4100" max="4101" width="13.875" style="2027" customWidth="1"/>
    <col min="4102" max="4102" width="20.75" style="2027" customWidth="1"/>
    <col min="4103" max="4103" width="7.875" style="2027" customWidth="1"/>
    <col min="4104" max="4104" width="9" style="2027" customWidth="1"/>
    <col min="4105" max="4106" width="10.625" style="2027" customWidth="1"/>
    <col min="4107" max="4107" width="14.375" style="2027" customWidth="1"/>
    <col min="4108" max="4108" width="6.25" style="2027" customWidth="1"/>
    <col min="4109" max="4109" width="26.125" style="2027" customWidth="1"/>
    <col min="4110" max="4110" width="7.875" style="2027" customWidth="1"/>
    <col min="4111" max="4352" width="9" style="2027"/>
    <col min="4353" max="4353" width="42.625" style="2027" customWidth="1"/>
    <col min="4354" max="4354" width="6.25" style="2027" customWidth="1"/>
    <col min="4355" max="4355" width="7.875" style="2027" customWidth="1"/>
    <col min="4356" max="4357" width="13.875" style="2027" customWidth="1"/>
    <col min="4358" max="4358" width="20.75" style="2027" customWidth="1"/>
    <col min="4359" max="4359" width="7.875" style="2027" customWidth="1"/>
    <col min="4360" max="4360" width="9" style="2027" customWidth="1"/>
    <col min="4361" max="4362" width="10.625" style="2027" customWidth="1"/>
    <col min="4363" max="4363" width="14.375" style="2027" customWidth="1"/>
    <col min="4364" max="4364" width="6.25" style="2027" customWidth="1"/>
    <col min="4365" max="4365" width="26.125" style="2027" customWidth="1"/>
    <col min="4366" max="4366" width="7.875" style="2027" customWidth="1"/>
    <col min="4367" max="4608" width="9" style="2027"/>
    <col min="4609" max="4609" width="42.625" style="2027" customWidth="1"/>
    <col min="4610" max="4610" width="6.25" style="2027" customWidth="1"/>
    <col min="4611" max="4611" width="7.875" style="2027" customWidth="1"/>
    <col min="4612" max="4613" width="13.875" style="2027" customWidth="1"/>
    <col min="4614" max="4614" width="20.75" style="2027" customWidth="1"/>
    <col min="4615" max="4615" width="7.875" style="2027" customWidth="1"/>
    <col min="4616" max="4616" width="9" style="2027" customWidth="1"/>
    <col min="4617" max="4618" width="10.625" style="2027" customWidth="1"/>
    <col min="4619" max="4619" width="14.375" style="2027" customWidth="1"/>
    <col min="4620" max="4620" width="6.25" style="2027" customWidth="1"/>
    <col min="4621" max="4621" width="26.125" style="2027" customWidth="1"/>
    <col min="4622" max="4622" width="7.875" style="2027" customWidth="1"/>
    <col min="4623" max="4864" width="9" style="2027"/>
    <col min="4865" max="4865" width="42.625" style="2027" customWidth="1"/>
    <col min="4866" max="4866" width="6.25" style="2027" customWidth="1"/>
    <col min="4867" max="4867" width="7.875" style="2027" customWidth="1"/>
    <col min="4868" max="4869" width="13.875" style="2027" customWidth="1"/>
    <col min="4870" max="4870" width="20.75" style="2027" customWidth="1"/>
    <col min="4871" max="4871" width="7.875" style="2027" customWidth="1"/>
    <col min="4872" max="4872" width="9" style="2027" customWidth="1"/>
    <col min="4873" max="4874" width="10.625" style="2027" customWidth="1"/>
    <col min="4875" max="4875" width="14.375" style="2027" customWidth="1"/>
    <col min="4876" max="4876" width="6.25" style="2027" customWidth="1"/>
    <col min="4877" max="4877" width="26.125" style="2027" customWidth="1"/>
    <col min="4878" max="4878" width="7.875" style="2027" customWidth="1"/>
    <col min="4879" max="5120" width="9" style="2027"/>
    <col min="5121" max="5121" width="42.625" style="2027" customWidth="1"/>
    <col min="5122" max="5122" width="6.25" style="2027" customWidth="1"/>
    <col min="5123" max="5123" width="7.875" style="2027" customWidth="1"/>
    <col min="5124" max="5125" width="13.875" style="2027" customWidth="1"/>
    <col min="5126" max="5126" width="20.75" style="2027" customWidth="1"/>
    <col min="5127" max="5127" width="7.875" style="2027" customWidth="1"/>
    <col min="5128" max="5128" width="9" style="2027" customWidth="1"/>
    <col min="5129" max="5130" width="10.625" style="2027" customWidth="1"/>
    <col min="5131" max="5131" width="14.375" style="2027" customWidth="1"/>
    <col min="5132" max="5132" width="6.25" style="2027" customWidth="1"/>
    <col min="5133" max="5133" width="26.125" style="2027" customWidth="1"/>
    <col min="5134" max="5134" width="7.875" style="2027" customWidth="1"/>
    <col min="5135" max="5376" width="9" style="2027"/>
    <col min="5377" max="5377" width="42.625" style="2027" customWidth="1"/>
    <col min="5378" max="5378" width="6.25" style="2027" customWidth="1"/>
    <col min="5379" max="5379" width="7.875" style="2027" customWidth="1"/>
    <col min="5380" max="5381" width="13.875" style="2027" customWidth="1"/>
    <col min="5382" max="5382" width="20.75" style="2027" customWidth="1"/>
    <col min="5383" max="5383" width="7.875" style="2027" customWidth="1"/>
    <col min="5384" max="5384" width="9" style="2027" customWidth="1"/>
    <col min="5385" max="5386" width="10.625" style="2027" customWidth="1"/>
    <col min="5387" max="5387" width="14.375" style="2027" customWidth="1"/>
    <col min="5388" max="5388" width="6.25" style="2027" customWidth="1"/>
    <col min="5389" max="5389" width="26.125" style="2027" customWidth="1"/>
    <col min="5390" max="5390" width="7.875" style="2027" customWidth="1"/>
    <col min="5391" max="5632" width="9" style="2027"/>
    <col min="5633" max="5633" width="42.625" style="2027" customWidth="1"/>
    <col min="5634" max="5634" width="6.25" style="2027" customWidth="1"/>
    <col min="5635" max="5635" width="7.875" style="2027" customWidth="1"/>
    <col min="5636" max="5637" width="13.875" style="2027" customWidth="1"/>
    <col min="5638" max="5638" width="20.75" style="2027" customWidth="1"/>
    <col min="5639" max="5639" width="7.875" style="2027" customWidth="1"/>
    <col min="5640" max="5640" width="9" style="2027" customWidth="1"/>
    <col min="5641" max="5642" width="10.625" style="2027" customWidth="1"/>
    <col min="5643" max="5643" width="14.375" style="2027" customWidth="1"/>
    <col min="5644" max="5644" width="6.25" style="2027" customWidth="1"/>
    <col min="5645" max="5645" width="26.125" style="2027" customWidth="1"/>
    <col min="5646" max="5646" width="7.875" style="2027" customWidth="1"/>
    <col min="5647" max="5888" width="9" style="2027"/>
    <col min="5889" max="5889" width="42.625" style="2027" customWidth="1"/>
    <col min="5890" max="5890" width="6.25" style="2027" customWidth="1"/>
    <col min="5891" max="5891" width="7.875" style="2027" customWidth="1"/>
    <col min="5892" max="5893" width="13.875" style="2027" customWidth="1"/>
    <col min="5894" max="5894" width="20.75" style="2027" customWidth="1"/>
    <col min="5895" max="5895" width="7.875" style="2027" customWidth="1"/>
    <col min="5896" max="5896" width="9" style="2027" customWidth="1"/>
    <col min="5897" max="5898" width="10.625" style="2027" customWidth="1"/>
    <col min="5899" max="5899" width="14.375" style="2027" customWidth="1"/>
    <col min="5900" max="5900" width="6.25" style="2027" customWidth="1"/>
    <col min="5901" max="5901" width="26.125" style="2027" customWidth="1"/>
    <col min="5902" max="5902" width="7.875" style="2027" customWidth="1"/>
    <col min="5903" max="6144" width="9" style="2027"/>
    <col min="6145" max="6145" width="42.625" style="2027" customWidth="1"/>
    <col min="6146" max="6146" width="6.25" style="2027" customWidth="1"/>
    <col min="6147" max="6147" width="7.875" style="2027" customWidth="1"/>
    <col min="6148" max="6149" width="13.875" style="2027" customWidth="1"/>
    <col min="6150" max="6150" width="20.75" style="2027" customWidth="1"/>
    <col min="6151" max="6151" width="7.875" style="2027" customWidth="1"/>
    <col min="6152" max="6152" width="9" style="2027" customWidth="1"/>
    <col min="6153" max="6154" width="10.625" style="2027" customWidth="1"/>
    <col min="6155" max="6155" width="14.375" style="2027" customWidth="1"/>
    <col min="6156" max="6156" width="6.25" style="2027" customWidth="1"/>
    <col min="6157" max="6157" width="26.125" style="2027" customWidth="1"/>
    <col min="6158" max="6158" width="7.875" style="2027" customWidth="1"/>
    <col min="6159" max="6400" width="9" style="2027"/>
    <col min="6401" max="6401" width="42.625" style="2027" customWidth="1"/>
    <col min="6402" max="6402" width="6.25" style="2027" customWidth="1"/>
    <col min="6403" max="6403" width="7.875" style="2027" customWidth="1"/>
    <col min="6404" max="6405" width="13.875" style="2027" customWidth="1"/>
    <col min="6406" max="6406" width="20.75" style="2027" customWidth="1"/>
    <col min="6407" max="6407" width="7.875" style="2027" customWidth="1"/>
    <col min="6408" max="6408" width="9" style="2027" customWidth="1"/>
    <col min="6409" max="6410" width="10.625" style="2027" customWidth="1"/>
    <col min="6411" max="6411" width="14.375" style="2027" customWidth="1"/>
    <col min="6412" max="6412" width="6.25" style="2027" customWidth="1"/>
    <col min="6413" max="6413" width="26.125" style="2027" customWidth="1"/>
    <col min="6414" max="6414" width="7.875" style="2027" customWidth="1"/>
    <col min="6415" max="6656" width="9" style="2027"/>
    <col min="6657" max="6657" width="42.625" style="2027" customWidth="1"/>
    <col min="6658" max="6658" width="6.25" style="2027" customWidth="1"/>
    <col min="6659" max="6659" width="7.875" style="2027" customWidth="1"/>
    <col min="6660" max="6661" width="13.875" style="2027" customWidth="1"/>
    <col min="6662" max="6662" width="20.75" style="2027" customWidth="1"/>
    <col min="6663" max="6663" width="7.875" style="2027" customWidth="1"/>
    <col min="6664" max="6664" width="9" style="2027" customWidth="1"/>
    <col min="6665" max="6666" width="10.625" style="2027" customWidth="1"/>
    <col min="6667" max="6667" width="14.375" style="2027" customWidth="1"/>
    <col min="6668" max="6668" width="6.25" style="2027" customWidth="1"/>
    <col min="6669" max="6669" width="26.125" style="2027" customWidth="1"/>
    <col min="6670" max="6670" width="7.875" style="2027" customWidth="1"/>
    <col min="6671" max="6912" width="9" style="2027"/>
    <col min="6913" max="6913" width="42.625" style="2027" customWidth="1"/>
    <col min="6914" max="6914" width="6.25" style="2027" customWidth="1"/>
    <col min="6915" max="6915" width="7.875" style="2027" customWidth="1"/>
    <col min="6916" max="6917" width="13.875" style="2027" customWidth="1"/>
    <col min="6918" max="6918" width="20.75" style="2027" customWidth="1"/>
    <col min="6919" max="6919" width="7.875" style="2027" customWidth="1"/>
    <col min="6920" max="6920" width="9" style="2027" customWidth="1"/>
    <col min="6921" max="6922" width="10.625" style="2027" customWidth="1"/>
    <col min="6923" max="6923" width="14.375" style="2027" customWidth="1"/>
    <col min="6924" max="6924" width="6.25" style="2027" customWidth="1"/>
    <col min="6925" max="6925" width="26.125" style="2027" customWidth="1"/>
    <col min="6926" max="6926" width="7.875" style="2027" customWidth="1"/>
    <col min="6927" max="7168" width="9" style="2027"/>
    <col min="7169" max="7169" width="42.625" style="2027" customWidth="1"/>
    <col min="7170" max="7170" width="6.25" style="2027" customWidth="1"/>
    <col min="7171" max="7171" width="7.875" style="2027" customWidth="1"/>
    <col min="7172" max="7173" width="13.875" style="2027" customWidth="1"/>
    <col min="7174" max="7174" width="20.75" style="2027" customWidth="1"/>
    <col min="7175" max="7175" width="7.875" style="2027" customWidth="1"/>
    <col min="7176" max="7176" width="9" style="2027" customWidth="1"/>
    <col min="7177" max="7178" width="10.625" style="2027" customWidth="1"/>
    <col min="7179" max="7179" width="14.375" style="2027" customWidth="1"/>
    <col min="7180" max="7180" width="6.25" style="2027" customWidth="1"/>
    <col min="7181" max="7181" width="26.125" style="2027" customWidth="1"/>
    <col min="7182" max="7182" width="7.875" style="2027" customWidth="1"/>
    <col min="7183" max="7424" width="9" style="2027"/>
    <col min="7425" max="7425" width="42.625" style="2027" customWidth="1"/>
    <col min="7426" max="7426" width="6.25" style="2027" customWidth="1"/>
    <col min="7427" max="7427" width="7.875" style="2027" customWidth="1"/>
    <col min="7428" max="7429" width="13.875" style="2027" customWidth="1"/>
    <col min="7430" max="7430" width="20.75" style="2027" customWidth="1"/>
    <col min="7431" max="7431" width="7.875" style="2027" customWidth="1"/>
    <col min="7432" max="7432" width="9" style="2027" customWidth="1"/>
    <col min="7433" max="7434" width="10.625" style="2027" customWidth="1"/>
    <col min="7435" max="7435" width="14.375" style="2027" customWidth="1"/>
    <col min="7436" max="7436" width="6.25" style="2027" customWidth="1"/>
    <col min="7437" max="7437" width="26.125" style="2027" customWidth="1"/>
    <col min="7438" max="7438" width="7.875" style="2027" customWidth="1"/>
    <col min="7439" max="7680" width="9" style="2027"/>
    <col min="7681" max="7681" width="42.625" style="2027" customWidth="1"/>
    <col min="7682" max="7682" width="6.25" style="2027" customWidth="1"/>
    <col min="7683" max="7683" width="7.875" style="2027" customWidth="1"/>
    <col min="7684" max="7685" width="13.875" style="2027" customWidth="1"/>
    <col min="7686" max="7686" width="20.75" style="2027" customWidth="1"/>
    <col min="7687" max="7687" width="7.875" style="2027" customWidth="1"/>
    <col min="7688" max="7688" width="9" style="2027" customWidth="1"/>
    <col min="7689" max="7690" width="10.625" style="2027" customWidth="1"/>
    <col min="7691" max="7691" width="14.375" style="2027" customWidth="1"/>
    <col min="7692" max="7692" width="6.25" style="2027" customWidth="1"/>
    <col min="7693" max="7693" width="26.125" style="2027" customWidth="1"/>
    <col min="7694" max="7694" width="7.875" style="2027" customWidth="1"/>
    <col min="7695" max="7936" width="9" style="2027"/>
    <col min="7937" max="7937" width="42.625" style="2027" customWidth="1"/>
    <col min="7938" max="7938" width="6.25" style="2027" customWidth="1"/>
    <col min="7939" max="7939" width="7.875" style="2027" customWidth="1"/>
    <col min="7940" max="7941" width="13.875" style="2027" customWidth="1"/>
    <col min="7942" max="7942" width="20.75" style="2027" customWidth="1"/>
    <col min="7943" max="7943" width="7.875" style="2027" customWidth="1"/>
    <col min="7944" max="7944" width="9" style="2027" customWidth="1"/>
    <col min="7945" max="7946" width="10.625" style="2027" customWidth="1"/>
    <col min="7947" max="7947" width="14.375" style="2027" customWidth="1"/>
    <col min="7948" max="7948" width="6.25" style="2027" customWidth="1"/>
    <col min="7949" max="7949" width="26.125" style="2027" customWidth="1"/>
    <col min="7950" max="7950" width="7.875" style="2027" customWidth="1"/>
    <col min="7951" max="8192" width="9" style="2027"/>
    <col min="8193" max="8193" width="42.625" style="2027" customWidth="1"/>
    <col min="8194" max="8194" width="6.25" style="2027" customWidth="1"/>
    <col min="8195" max="8195" width="7.875" style="2027" customWidth="1"/>
    <col min="8196" max="8197" width="13.875" style="2027" customWidth="1"/>
    <col min="8198" max="8198" width="20.75" style="2027" customWidth="1"/>
    <col min="8199" max="8199" width="7.875" style="2027" customWidth="1"/>
    <col min="8200" max="8200" width="9" style="2027" customWidth="1"/>
    <col min="8201" max="8202" width="10.625" style="2027" customWidth="1"/>
    <col min="8203" max="8203" width="14.375" style="2027" customWidth="1"/>
    <col min="8204" max="8204" width="6.25" style="2027" customWidth="1"/>
    <col min="8205" max="8205" width="26.125" style="2027" customWidth="1"/>
    <col min="8206" max="8206" width="7.875" style="2027" customWidth="1"/>
    <col min="8207" max="8448" width="9" style="2027"/>
    <col min="8449" max="8449" width="42.625" style="2027" customWidth="1"/>
    <col min="8450" max="8450" width="6.25" style="2027" customWidth="1"/>
    <col min="8451" max="8451" width="7.875" style="2027" customWidth="1"/>
    <col min="8452" max="8453" width="13.875" style="2027" customWidth="1"/>
    <col min="8454" max="8454" width="20.75" style="2027" customWidth="1"/>
    <col min="8455" max="8455" width="7.875" style="2027" customWidth="1"/>
    <col min="8456" max="8456" width="9" style="2027" customWidth="1"/>
    <col min="8457" max="8458" width="10.625" style="2027" customWidth="1"/>
    <col min="8459" max="8459" width="14.375" style="2027" customWidth="1"/>
    <col min="8460" max="8460" width="6.25" style="2027" customWidth="1"/>
    <col min="8461" max="8461" width="26.125" style="2027" customWidth="1"/>
    <col min="8462" max="8462" width="7.875" style="2027" customWidth="1"/>
    <col min="8463" max="8704" width="9" style="2027"/>
    <col min="8705" max="8705" width="42.625" style="2027" customWidth="1"/>
    <col min="8706" max="8706" width="6.25" style="2027" customWidth="1"/>
    <col min="8707" max="8707" width="7.875" style="2027" customWidth="1"/>
    <col min="8708" max="8709" width="13.875" style="2027" customWidth="1"/>
    <col min="8710" max="8710" width="20.75" style="2027" customWidth="1"/>
    <col min="8711" max="8711" width="7.875" style="2027" customWidth="1"/>
    <col min="8712" max="8712" width="9" style="2027" customWidth="1"/>
    <col min="8713" max="8714" width="10.625" style="2027" customWidth="1"/>
    <col min="8715" max="8715" width="14.375" style="2027" customWidth="1"/>
    <col min="8716" max="8716" width="6.25" style="2027" customWidth="1"/>
    <col min="8717" max="8717" width="26.125" style="2027" customWidth="1"/>
    <col min="8718" max="8718" width="7.875" style="2027" customWidth="1"/>
    <col min="8719" max="8960" width="9" style="2027"/>
    <col min="8961" max="8961" width="42.625" style="2027" customWidth="1"/>
    <col min="8962" max="8962" width="6.25" style="2027" customWidth="1"/>
    <col min="8963" max="8963" width="7.875" style="2027" customWidth="1"/>
    <col min="8964" max="8965" width="13.875" style="2027" customWidth="1"/>
    <col min="8966" max="8966" width="20.75" style="2027" customWidth="1"/>
    <col min="8967" max="8967" width="7.875" style="2027" customWidth="1"/>
    <col min="8968" max="8968" width="9" style="2027" customWidth="1"/>
    <col min="8969" max="8970" width="10.625" style="2027" customWidth="1"/>
    <col min="8971" max="8971" width="14.375" style="2027" customWidth="1"/>
    <col min="8972" max="8972" width="6.25" style="2027" customWidth="1"/>
    <col min="8973" max="8973" width="26.125" style="2027" customWidth="1"/>
    <col min="8974" max="8974" width="7.875" style="2027" customWidth="1"/>
    <col min="8975" max="9216" width="9" style="2027"/>
    <col min="9217" max="9217" width="42.625" style="2027" customWidth="1"/>
    <col min="9218" max="9218" width="6.25" style="2027" customWidth="1"/>
    <col min="9219" max="9219" width="7.875" style="2027" customWidth="1"/>
    <col min="9220" max="9221" width="13.875" style="2027" customWidth="1"/>
    <col min="9222" max="9222" width="20.75" style="2027" customWidth="1"/>
    <col min="9223" max="9223" width="7.875" style="2027" customWidth="1"/>
    <col min="9224" max="9224" width="9" style="2027" customWidth="1"/>
    <col min="9225" max="9226" width="10.625" style="2027" customWidth="1"/>
    <col min="9227" max="9227" width="14.375" style="2027" customWidth="1"/>
    <col min="9228" max="9228" width="6.25" style="2027" customWidth="1"/>
    <col min="9229" max="9229" width="26.125" style="2027" customWidth="1"/>
    <col min="9230" max="9230" width="7.875" style="2027" customWidth="1"/>
    <col min="9231" max="9472" width="9" style="2027"/>
    <col min="9473" max="9473" width="42.625" style="2027" customWidth="1"/>
    <col min="9474" max="9474" width="6.25" style="2027" customWidth="1"/>
    <col min="9475" max="9475" width="7.875" style="2027" customWidth="1"/>
    <col min="9476" max="9477" width="13.875" style="2027" customWidth="1"/>
    <col min="9478" max="9478" width="20.75" style="2027" customWidth="1"/>
    <col min="9479" max="9479" width="7.875" style="2027" customWidth="1"/>
    <col min="9480" max="9480" width="9" style="2027" customWidth="1"/>
    <col min="9481" max="9482" width="10.625" style="2027" customWidth="1"/>
    <col min="9483" max="9483" width="14.375" style="2027" customWidth="1"/>
    <col min="9484" max="9484" width="6.25" style="2027" customWidth="1"/>
    <col min="9485" max="9485" width="26.125" style="2027" customWidth="1"/>
    <col min="9486" max="9486" width="7.875" style="2027" customWidth="1"/>
    <col min="9487" max="9728" width="9" style="2027"/>
    <col min="9729" max="9729" width="42.625" style="2027" customWidth="1"/>
    <col min="9730" max="9730" width="6.25" style="2027" customWidth="1"/>
    <col min="9731" max="9731" width="7.875" style="2027" customWidth="1"/>
    <col min="9732" max="9733" width="13.875" style="2027" customWidth="1"/>
    <col min="9734" max="9734" width="20.75" style="2027" customWidth="1"/>
    <col min="9735" max="9735" width="7.875" style="2027" customWidth="1"/>
    <col min="9736" max="9736" width="9" style="2027" customWidth="1"/>
    <col min="9737" max="9738" width="10.625" style="2027" customWidth="1"/>
    <col min="9739" max="9739" width="14.375" style="2027" customWidth="1"/>
    <col min="9740" max="9740" width="6.25" style="2027" customWidth="1"/>
    <col min="9741" max="9741" width="26.125" style="2027" customWidth="1"/>
    <col min="9742" max="9742" width="7.875" style="2027" customWidth="1"/>
    <col min="9743" max="9984" width="9" style="2027"/>
    <col min="9985" max="9985" width="42.625" style="2027" customWidth="1"/>
    <col min="9986" max="9986" width="6.25" style="2027" customWidth="1"/>
    <col min="9987" max="9987" width="7.875" style="2027" customWidth="1"/>
    <col min="9988" max="9989" width="13.875" style="2027" customWidth="1"/>
    <col min="9990" max="9990" width="20.75" style="2027" customWidth="1"/>
    <col min="9991" max="9991" width="7.875" style="2027" customWidth="1"/>
    <col min="9992" max="9992" width="9" style="2027" customWidth="1"/>
    <col min="9993" max="9994" width="10.625" style="2027" customWidth="1"/>
    <col min="9995" max="9995" width="14.375" style="2027" customWidth="1"/>
    <col min="9996" max="9996" width="6.25" style="2027" customWidth="1"/>
    <col min="9997" max="9997" width="26.125" style="2027" customWidth="1"/>
    <col min="9998" max="9998" width="7.875" style="2027" customWidth="1"/>
    <col min="9999" max="10240" width="9" style="2027"/>
    <col min="10241" max="10241" width="42.625" style="2027" customWidth="1"/>
    <col min="10242" max="10242" width="6.25" style="2027" customWidth="1"/>
    <col min="10243" max="10243" width="7.875" style="2027" customWidth="1"/>
    <col min="10244" max="10245" width="13.875" style="2027" customWidth="1"/>
    <col min="10246" max="10246" width="20.75" style="2027" customWidth="1"/>
    <col min="10247" max="10247" width="7.875" style="2027" customWidth="1"/>
    <col min="10248" max="10248" width="9" style="2027" customWidth="1"/>
    <col min="10249" max="10250" width="10.625" style="2027" customWidth="1"/>
    <col min="10251" max="10251" width="14.375" style="2027" customWidth="1"/>
    <col min="10252" max="10252" width="6.25" style="2027" customWidth="1"/>
    <col min="10253" max="10253" width="26.125" style="2027" customWidth="1"/>
    <col min="10254" max="10254" width="7.875" style="2027" customWidth="1"/>
    <col min="10255" max="10496" width="9" style="2027"/>
    <col min="10497" max="10497" width="42.625" style="2027" customWidth="1"/>
    <col min="10498" max="10498" width="6.25" style="2027" customWidth="1"/>
    <col min="10499" max="10499" width="7.875" style="2027" customWidth="1"/>
    <col min="10500" max="10501" width="13.875" style="2027" customWidth="1"/>
    <col min="10502" max="10502" width="20.75" style="2027" customWidth="1"/>
    <col min="10503" max="10503" width="7.875" style="2027" customWidth="1"/>
    <col min="10504" max="10504" width="9" style="2027" customWidth="1"/>
    <col min="10505" max="10506" width="10.625" style="2027" customWidth="1"/>
    <col min="10507" max="10507" width="14.375" style="2027" customWidth="1"/>
    <col min="10508" max="10508" width="6.25" style="2027" customWidth="1"/>
    <col min="10509" max="10509" width="26.125" style="2027" customWidth="1"/>
    <col min="10510" max="10510" width="7.875" style="2027" customWidth="1"/>
    <col min="10511" max="10752" width="9" style="2027"/>
    <col min="10753" max="10753" width="42.625" style="2027" customWidth="1"/>
    <col min="10754" max="10754" width="6.25" style="2027" customWidth="1"/>
    <col min="10755" max="10755" width="7.875" style="2027" customWidth="1"/>
    <col min="10756" max="10757" width="13.875" style="2027" customWidth="1"/>
    <col min="10758" max="10758" width="20.75" style="2027" customWidth="1"/>
    <col min="10759" max="10759" width="7.875" style="2027" customWidth="1"/>
    <col min="10760" max="10760" width="9" style="2027" customWidth="1"/>
    <col min="10761" max="10762" width="10.625" style="2027" customWidth="1"/>
    <col min="10763" max="10763" width="14.375" style="2027" customWidth="1"/>
    <col min="10764" max="10764" width="6.25" style="2027" customWidth="1"/>
    <col min="10765" max="10765" width="26.125" style="2027" customWidth="1"/>
    <col min="10766" max="10766" width="7.875" style="2027" customWidth="1"/>
    <col min="10767" max="11008" width="9" style="2027"/>
    <col min="11009" max="11009" width="42.625" style="2027" customWidth="1"/>
    <col min="11010" max="11010" width="6.25" style="2027" customWidth="1"/>
    <col min="11011" max="11011" width="7.875" style="2027" customWidth="1"/>
    <col min="11012" max="11013" width="13.875" style="2027" customWidth="1"/>
    <col min="11014" max="11014" width="20.75" style="2027" customWidth="1"/>
    <col min="11015" max="11015" width="7.875" style="2027" customWidth="1"/>
    <col min="11016" max="11016" width="9" style="2027" customWidth="1"/>
    <col min="11017" max="11018" width="10.625" style="2027" customWidth="1"/>
    <col min="11019" max="11019" width="14.375" style="2027" customWidth="1"/>
    <col min="11020" max="11020" width="6.25" style="2027" customWidth="1"/>
    <col min="11021" max="11021" width="26.125" style="2027" customWidth="1"/>
    <col min="11022" max="11022" width="7.875" style="2027" customWidth="1"/>
    <col min="11023" max="11264" width="9" style="2027"/>
    <col min="11265" max="11265" width="42.625" style="2027" customWidth="1"/>
    <col min="11266" max="11266" width="6.25" style="2027" customWidth="1"/>
    <col min="11267" max="11267" width="7.875" style="2027" customWidth="1"/>
    <col min="11268" max="11269" width="13.875" style="2027" customWidth="1"/>
    <col min="11270" max="11270" width="20.75" style="2027" customWidth="1"/>
    <col min="11271" max="11271" width="7.875" style="2027" customWidth="1"/>
    <col min="11272" max="11272" width="9" style="2027" customWidth="1"/>
    <col min="11273" max="11274" width="10.625" style="2027" customWidth="1"/>
    <col min="11275" max="11275" width="14.375" style="2027" customWidth="1"/>
    <col min="11276" max="11276" width="6.25" style="2027" customWidth="1"/>
    <col min="11277" max="11277" width="26.125" style="2027" customWidth="1"/>
    <col min="11278" max="11278" width="7.875" style="2027" customWidth="1"/>
    <col min="11279" max="11520" width="9" style="2027"/>
    <col min="11521" max="11521" width="42.625" style="2027" customWidth="1"/>
    <col min="11522" max="11522" width="6.25" style="2027" customWidth="1"/>
    <col min="11523" max="11523" width="7.875" style="2027" customWidth="1"/>
    <col min="11524" max="11525" width="13.875" style="2027" customWidth="1"/>
    <col min="11526" max="11526" width="20.75" style="2027" customWidth="1"/>
    <col min="11527" max="11527" width="7.875" style="2027" customWidth="1"/>
    <col min="11528" max="11528" width="9" style="2027" customWidth="1"/>
    <col min="11529" max="11530" width="10.625" style="2027" customWidth="1"/>
    <col min="11531" max="11531" width="14.375" style="2027" customWidth="1"/>
    <col min="11532" max="11532" width="6.25" style="2027" customWidth="1"/>
    <col min="11533" max="11533" width="26.125" style="2027" customWidth="1"/>
    <col min="11534" max="11534" width="7.875" style="2027" customWidth="1"/>
    <col min="11535" max="11776" width="9" style="2027"/>
    <col min="11777" max="11777" width="42.625" style="2027" customWidth="1"/>
    <col min="11778" max="11778" width="6.25" style="2027" customWidth="1"/>
    <col min="11779" max="11779" width="7.875" style="2027" customWidth="1"/>
    <col min="11780" max="11781" width="13.875" style="2027" customWidth="1"/>
    <col min="11782" max="11782" width="20.75" style="2027" customWidth="1"/>
    <col min="11783" max="11783" width="7.875" style="2027" customWidth="1"/>
    <col min="11784" max="11784" width="9" style="2027" customWidth="1"/>
    <col min="11785" max="11786" width="10.625" style="2027" customWidth="1"/>
    <col min="11787" max="11787" width="14.375" style="2027" customWidth="1"/>
    <col min="11788" max="11788" width="6.25" style="2027" customWidth="1"/>
    <col min="11789" max="11789" width="26.125" style="2027" customWidth="1"/>
    <col min="11790" max="11790" width="7.875" style="2027" customWidth="1"/>
    <col min="11791" max="12032" width="9" style="2027"/>
    <col min="12033" max="12033" width="42.625" style="2027" customWidth="1"/>
    <col min="12034" max="12034" width="6.25" style="2027" customWidth="1"/>
    <col min="12035" max="12035" width="7.875" style="2027" customWidth="1"/>
    <col min="12036" max="12037" width="13.875" style="2027" customWidth="1"/>
    <col min="12038" max="12038" width="20.75" style="2027" customWidth="1"/>
    <col min="12039" max="12039" width="7.875" style="2027" customWidth="1"/>
    <col min="12040" max="12040" width="9" style="2027" customWidth="1"/>
    <col min="12041" max="12042" width="10.625" style="2027" customWidth="1"/>
    <col min="12043" max="12043" width="14.375" style="2027" customWidth="1"/>
    <col min="12044" max="12044" width="6.25" style="2027" customWidth="1"/>
    <col min="12045" max="12045" width="26.125" style="2027" customWidth="1"/>
    <col min="12046" max="12046" width="7.875" style="2027" customWidth="1"/>
    <col min="12047" max="12288" width="9" style="2027"/>
    <col min="12289" max="12289" width="42.625" style="2027" customWidth="1"/>
    <col min="12290" max="12290" width="6.25" style="2027" customWidth="1"/>
    <col min="12291" max="12291" width="7.875" style="2027" customWidth="1"/>
    <col min="12292" max="12293" width="13.875" style="2027" customWidth="1"/>
    <col min="12294" max="12294" width="20.75" style="2027" customWidth="1"/>
    <col min="12295" max="12295" width="7.875" style="2027" customWidth="1"/>
    <col min="12296" max="12296" width="9" style="2027" customWidth="1"/>
    <col min="12297" max="12298" width="10.625" style="2027" customWidth="1"/>
    <col min="12299" max="12299" width="14.375" style="2027" customWidth="1"/>
    <col min="12300" max="12300" width="6.25" style="2027" customWidth="1"/>
    <col min="12301" max="12301" width="26.125" style="2027" customWidth="1"/>
    <col min="12302" max="12302" width="7.875" style="2027" customWidth="1"/>
    <col min="12303" max="12544" width="9" style="2027"/>
    <col min="12545" max="12545" width="42.625" style="2027" customWidth="1"/>
    <col min="12546" max="12546" width="6.25" style="2027" customWidth="1"/>
    <col min="12547" max="12547" width="7.875" style="2027" customWidth="1"/>
    <col min="12548" max="12549" width="13.875" style="2027" customWidth="1"/>
    <col min="12550" max="12550" width="20.75" style="2027" customWidth="1"/>
    <col min="12551" max="12551" width="7.875" style="2027" customWidth="1"/>
    <col min="12552" max="12552" width="9" style="2027" customWidth="1"/>
    <col min="12553" max="12554" width="10.625" style="2027" customWidth="1"/>
    <col min="12555" max="12555" width="14.375" style="2027" customWidth="1"/>
    <col min="12556" max="12556" width="6.25" style="2027" customWidth="1"/>
    <col min="12557" max="12557" width="26.125" style="2027" customWidth="1"/>
    <col min="12558" max="12558" width="7.875" style="2027" customWidth="1"/>
    <col min="12559" max="12800" width="9" style="2027"/>
    <col min="12801" max="12801" width="42.625" style="2027" customWidth="1"/>
    <col min="12802" max="12802" width="6.25" style="2027" customWidth="1"/>
    <col min="12803" max="12803" width="7.875" style="2027" customWidth="1"/>
    <col min="12804" max="12805" width="13.875" style="2027" customWidth="1"/>
    <col min="12806" max="12806" width="20.75" style="2027" customWidth="1"/>
    <col min="12807" max="12807" width="7.875" style="2027" customWidth="1"/>
    <col min="12808" max="12808" width="9" style="2027" customWidth="1"/>
    <col min="12809" max="12810" width="10.625" style="2027" customWidth="1"/>
    <col min="12811" max="12811" width="14.375" style="2027" customWidth="1"/>
    <col min="12812" max="12812" width="6.25" style="2027" customWidth="1"/>
    <col min="12813" max="12813" width="26.125" style="2027" customWidth="1"/>
    <col min="12814" max="12814" width="7.875" style="2027" customWidth="1"/>
    <col min="12815" max="13056" width="9" style="2027"/>
    <col min="13057" max="13057" width="42.625" style="2027" customWidth="1"/>
    <col min="13058" max="13058" width="6.25" style="2027" customWidth="1"/>
    <col min="13059" max="13059" width="7.875" style="2027" customWidth="1"/>
    <col min="13060" max="13061" width="13.875" style="2027" customWidth="1"/>
    <col min="13062" max="13062" width="20.75" style="2027" customWidth="1"/>
    <col min="13063" max="13063" width="7.875" style="2027" customWidth="1"/>
    <col min="13064" max="13064" width="9" style="2027" customWidth="1"/>
    <col min="13065" max="13066" width="10.625" style="2027" customWidth="1"/>
    <col min="13067" max="13067" width="14.375" style="2027" customWidth="1"/>
    <col min="13068" max="13068" width="6.25" style="2027" customWidth="1"/>
    <col min="13069" max="13069" width="26.125" style="2027" customWidth="1"/>
    <col min="13070" max="13070" width="7.875" style="2027" customWidth="1"/>
    <col min="13071" max="13312" width="9" style="2027"/>
    <col min="13313" max="13313" width="42.625" style="2027" customWidth="1"/>
    <col min="13314" max="13314" width="6.25" style="2027" customWidth="1"/>
    <col min="13315" max="13315" width="7.875" style="2027" customWidth="1"/>
    <col min="13316" max="13317" width="13.875" style="2027" customWidth="1"/>
    <col min="13318" max="13318" width="20.75" style="2027" customWidth="1"/>
    <col min="13319" max="13319" width="7.875" style="2027" customWidth="1"/>
    <col min="13320" max="13320" width="9" style="2027" customWidth="1"/>
    <col min="13321" max="13322" width="10.625" style="2027" customWidth="1"/>
    <col min="13323" max="13323" width="14.375" style="2027" customWidth="1"/>
    <col min="13324" max="13324" width="6.25" style="2027" customWidth="1"/>
    <col min="13325" max="13325" width="26.125" style="2027" customWidth="1"/>
    <col min="13326" max="13326" width="7.875" style="2027" customWidth="1"/>
    <col min="13327" max="13568" width="9" style="2027"/>
    <col min="13569" max="13569" width="42.625" style="2027" customWidth="1"/>
    <col min="13570" max="13570" width="6.25" style="2027" customWidth="1"/>
    <col min="13571" max="13571" width="7.875" style="2027" customWidth="1"/>
    <col min="13572" max="13573" width="13.875" style="2027" customWidth="1"/>
    <col min="13574" max="13574" width="20.75" style="2027" customWidth="1"/>
    <col min="13575" max="13575" width="7.875" style="2027" customWidth="1"/>
    <col min="13576" max="13576" width="9" style="2027" customWidth="1"/>
    <col min="13577" max="13578" width="10.625" style="2027" customWidth="1"/>
    <col min="13579" max="13579" width="14.375" style="2027" customWidth="1"/>
    <col min="13580" max="13580" width="6.25" style="2027" customWidth="1"/>
    <col min="13581" max="13581" width="26.125" style="2027" customWidth="1"/>
    <col min="13582" max="13582" width="7.875" style="2027" customWidth="1"/>
    <col min="13583" max="13824" width="9" style="2027"/>
    <col min="13825" max="13825" width="42.625" style="2027" customWidth="1"/>
    <col min="13826" max="13826" width="6.25" style="2027" customWidth="1"/>
    <col min="13827" max="13827" width="7.875" style="2027" customWidth="1"/>
    <col min="13828" max="13829" width="13.875" style="2027" customWidth="1"/>
    <col min="13830" max="13830" width="20.75" style="2027" customWidth="1"/>
    <col min="13831" max="13831" width="7.875" style="2027" customWidth="1"/>
    <col min="13832" max="13832" width="9" style="2027" customWidth="1"/>
    <col min="13833" max="13834" width="10.625" style="2027" customWidth="1"/>
    <col min="13835" max="13835" width="14.375" style="2027" customWidth="1"/>
    <col min="13836" max="13836" width="6.25" style="2027" customWidth="1"/>
    <col min="13837" max="13837" width="26.125" style="2027" customWidth="1"/>
    <col min="13838" max="13838" width="7.875" style="2027" customWidth="1"/>
    <col min="13839" max="14080" width="9" style="2027"/>
    <col min="14081" max="14081" width="42.625" style="2027" customWidth="1"/>
    <col min="14082" max="14082" width="6.25" style="2027" customWidth="1"/>
    <col min="14083" max="14083" width="7.875" style="2027" customWidth="1"/>
    <col min="14084" max="14085" width="13.875" style="2027" customWidth="1"/>
    <col min="14086" max="14086" width="20.75" style="2027" customWidth="1"/>
    <col min="14087" max="14087" width="7.875" style="2027" customWidth="1"/>
    <col min="14088" max="14088" width="9" style="2027" customWidth="1"/>
    <col min="14089" max="14090" width="10.625" style="2027" customWidth="1"/>
    <col min="14091" max="14091" width="14.375" style="2027" customWidth="1"/>
    <col min="14092" max="14092" width="6.25" style="2027" customWidth="1"/>
    <col min="14093" max="14093" width="26.125" style="2027" customWidth="1"/>
    <col min="14094" max="14094" width="7.875" style="2027" customWidth="1"/>
    <col min="14095" max="14336" width="9" style="2027"/>
    <col min="14337" max="14337" width="42.625" style="2027" customWidth="1"/>
    <col min="14338" max="14338" width="6.25" style="2027" customWidth="1"/>
    <col min="14339" max="14339" width="7.875" style="2027" customWidth="1"/>
    <col min="14340" max="14341" width="13.875" style="2027" customWidth="1"/>
    <col min="14342" max="14342" width="20.75" style="2027" customWidth="1"/>
    <col min="14343" max="14343" width="7.875" style="2027" customWidth="1"/>
    <col min="14344" max="14344" width="9" style="2027" customWidth="1"/>
    <col min="14345" max="14346" width="10.625" style="2027" customWidth="1"/>
    <col min="14347" max="14347" width="14.375" style="2027" customWidth="1"/>
    <col min="14348" max="14348" width="6.25" style="2027" customWidth="1"/>
    <col min="14349" max="14349" width="26.125" style="2027" customWidth="1"/>
    <col min="14350" max="14350" width="7.875" style="2027" customWidth="1"/>
    <col min="14351" max="14592" width="9" style="2027"/>
    <col min="14593" max="14593" width="42.625" style="2027" customWidth="1"/>
    <col min="14594" max="14594" width="6.25" style="2027" customWidth="1"/>
    <col min="14595" max="14595" width="7.875" style="2027" customWidth="1"/>
    <col min="14596" max="14597" width="13.875" style="2027" customWidth="1"/>
    <col min="14598" max="14598" width="20.75" style="2027" customWidth="1"/>
    <col min="14599" max="14599" width="7.875" style="2027" customWidth="1"/>
    <col min="14600" max="14600" width="9" style="2027" customWidth="1"/>
    <col min="14601" max="14602" width="10.625" style="2027" customWidth="1"/>
    <col min="14603" max="14603" width="14.375" style="2027" customWidth="1"/>
    <col min="14604" max="14604" width="6.25" style="2027" customWidth="1"/>
    <col min="14605" max="14605" width="26.125" style="2027" customWidth="1"/>
    <col min="14606" max="14606" width="7.875" style="2027" customWidth="1"/>
    <col min="14607" max="14848" width="9" style="2027"/>
    <col min="14849" max="14849" width="42.625" style="2027" customWidth="1"/>
    <col min="14850" max="14850" width="6.25" style="2027" customWidth="1"/>
    <col min="14851" max="14851" width="7.875" style="2027" customWidth="1"/>
    <col min="14852" max="14853" width="13.875" style="2027" customWidth="1"/>
    <col min="14854" max="14854" width="20.75" style="2027" customWidth="1"/>
    <col min="14855" max="14855" width="7.875" style="2027" customWidth="1"/>
    <col min="14856" max="14856" width="9" style="2027" customWidth="1"/>
    <col min="14857" max="14858" width="10.625" style="2027" customWidth="1"/>
    <col min="14859" max="14859" width="14.375" style="2027" customWidth="1"/>
    <col min="14860" max="14860" width="6.25" style="2027" customWidth="1"/>
    <col min="14861" max="14861" width="26.125" style="2027" customWidth="1"/>
    <col min="14862" max="14862" width="7.875" style="2027" customWidth="1"/>
    <col min="14863" max="15104" width="9" style="2027"/>
    <col min="15105" max="15105" width="42.625" style="2027" customWidth="1"/>
    <col min="15106" max="15106" width="6.25" style="2027" customWidth="1"/>
    <col min="15107" max="15107" width="7.875" style="2027" customWidth="1"/>
    <col min="15108" max="15109" width="13.875" style="2027" customWidth="1"/>
    <col min="15110" max="15110" width="20.75" style="2027" customWidth="1"/>
    <col min="15111" max="15111" width="7.875" style="2027" customWidth="1"/>
    <col min="15112" max="15112" width="9" style="2027" customWidth="1"/>
    <col min="15113" max="15114" width="10.625" style="2027" customWidth="1"/>
    <col min="15115" max="15115" width="14.375" style="2027" customWidth="1"/>
    <col min="15116" max="15116" width="6.25" style="2027" customWidth="1"/>
    <col min="15117" max="15117" width="26.125" style="2027" customWidth="1"/>
    <col min="15118" max="15118" width="7.875" style="2027" customWidth="1"/>
    <col min="15119" max="15360" width="9" style="2027"/>
    <col min="15361" max="15361" width="42.625" style="2027" customWidth="1"/>
    <col min="15362" max="15362" width="6.25" style="2027" customWidth="1"/>
    <col min="15363" max="15363" width="7.875" style="2027" customWidth="1"/>
    <col min="15364" max="15365" width="13.875" style="2027" customWidth="1"/>
    <col min="15366" max="15366" width="20.75" style="2027" customWidth="1"/>
    <col min="15367" max="15367" width="7.875" style="2027" customWidth="1"/>
    <col min="15368" max="15368" width="9" style="2027" customWidth="1"/>
    <col min="15369" max="15370" width="10.625" style="2027" customWidth="1"/>
    <col min="15371" max="15371" width="14.375" style="2027" customWidth="1"/>
    <col min="15372" max="15372" width="6.25" style="2027" customWidth="1"/>
    <col min="15373" max="15373" width="26.125" style="2027" customWidth="1"/>
    <col min="15374" max="15374" width="7.875" style="2027" customWidth="1"/>
    <col min="15375" max="15616" width="9" style="2027"/>
    <col min="15617" max="15617" width="42.625" style="2027" customWidth="1"/>
    <col min="15618" max="15618" width="6.25" style="2027" customWidth="1"/>
    <col min="15619" max="15619" width="7.875" style="2027" customWidth="1"/>
    <col min="15620" max="15621" width="13.875" style="2027" customWidth="1"/>
    <col min="15622" max="15622" width="20.75" style="2027" customWidth="1"/>
    <col min="15623" max="15623" width="7.875" style="2027" customWidth="1"/>
    <col min="15624" max="15624" width="9" style="2027" customWidth="1"/>
    <col min="15625" max="15626" width="10.625" style="2027" customWidth="1"/>
    <col min="15627" max="15627" width="14.375" style="2027" customWidth="1"/>
    <col min="15628" max="15628" width="6.25" style="2027" customWidth="1"/>
    <col min="15629" max="15629" width="26.125" style="2027" customWidth="1"/>
    <col min="15630" max="15630" width="7.875" style="2027" customWidth="1"/>
    <col min="15631" max="15872" width="9" style="2027"/>
    <col min="15873" max="15873" width="42.625" style="2027" customWidth="1"/>
    <col min="15874" max="15874" width="6.25" style="2027" customWidth="1"/>
    <col min="15875" max="15875" width="7.875" style="2027" customWidth="1"/>
    <col min="15876" max="15877" width="13.875" style="2027" customWidth="1"/>
    <col min="15878" max="15878" width="20.75" style="2027" customWidth="1"/>
    <col min="15879" max="15879" width="7.875" style="2027" customWidth="1"/>
    <col min="15880" max="15880" width="9" style="2027" customWidth="1"/>
    <col min="15881" max="15882" width="10.625" style="2027" customWidth="1"/>
    <col min="15883" max="15883" width="14.375" style="2027" customWidth="1"/>
    <col min="15884" max="15884" width="6.25" style="2027" customWidth="1"/>
    <col min="15885" max="15885" width="26.125" style="2027" customWidth="1"/>
    <col min="15886" max="15886" width="7.875" style="2027" customWidth="1"/>
    <col min="15887" max="16128" width="9" style="2027"/>
    <col min="16129" max="16129" width="42.625" style="2027" customWidth="1"/>
    <col min="16130" max="16130" width="6.25" style="2027" customWidth="1"/>
    <col min="16131" max="16131" width="7.875" style="2027" customWidth="1"/>
    <col min="16132" max="16133" width="13.875" style="2027" customWidth="1"/>
    <col min="16134" max="16134" width="20.75" style="2027" customWidth="1"/>
    <col min="16135" max="16135" width="7.875" style="2027" customWidth="1"/>
    <col min="16136" max="16136" width="9" style="2027" customWidth="1"/>
    <col min="16137" max="16138" width="10.625" style="2027" customWidth="1"/>
    <col min="16139" max="16139" width="14.375" style="2027" customWidth="1"/>
    <col min="16140" max="16140" width="6.25" style="2027" customWidth="1"/>
    <col min="16141" max="16141" width="26.125" style="2027" customWidth="1"/>
    <col min="16142" max="16142" width="7.875" style="2027" customWidth="1"/>
    <col min="16143" max="16384" width="9" style="2027"/>
  </cols>
  <sheetData>
    <row r="1" spans="1:17">
      <c r="A1" s="2027" t="s">
        <v>1020</v>
      </c>
      <c r="B1" s="2027" t="s">
        <v>1021</v>
      </c>
      <c r="C1" s="2027" t="s">
        <v>1022</v>
      </c>
      <c r="D1" s="2027" t="s">
        <v>1023</v>
      </c>
      <c r="E1" s="2027" t="s">
        <v>1024</v>
      </c>
      <c r="F1" s="2027" t="s">
        <v>105</v>
      </c>
      <c r="G1" s="2027" t="s">
        <v>1025</v>
      </c>
      <c r="H1" s="2027" t="s">
        <v>1026</v>
      </c>
      <c r="I1" s="2027" t="s">
        <v>1027</v>
      </c>
      <c r="J1" s="2027" t="s">
        <v>1028</v>
      </c>
      <c r="K1" s="2027" t="s">
        <v>1029</v>
      </c>
      <c r="L1" s="2027" t="s">
        <v>1030</v>
      </c>
      <c r="M1" s="2027" t="s">
        <v>1031</v>
      </c>
      <c r="N1" s="2027" t="s">
        <v>1032</v>
      </c>
      <c r="O1" s="3179" t="s">
        <v>2496</v>
      </c>
      <c r="P1" s="3179" t="s">
        <v>2497</v>
      </c>
    </row>
    <row r="2" spans="1:17">
      <c r="A2" s="2027" t="s">
        <v>1033</v>
      </c>
      <c r="B2" s="2027" t="s">
        <v>1034</v>
      </c>
      <c r="C2" s="2027" t="s">
        <v>1035</v>
      </c>
      <c r="D2" s="2027">
        <v>24056</v>
      </c>
      <c r="E2" s="2027">
        <v>186434</v>
      </c>
      <c r="F2" s="2027" t="s">
        <v>1036</v>
      </c>
      <c r="G2" s="2027" t="s">
        <v>1037</v>
      </c>
      <c r="H2" s="2027" t="s">
        <v>1038</v>
      </c>
      <c r="I2" s="2027">
        <v>10500</v>
      </c>
      <c r="J2" s="2027">
        <v>20900</v>
      </c>
      <c r="K2" s="2027">
        <v>1121.03</v>
      </c>
      <c r="L2" s="2027">
        <v>99.05</v>
      </c>
      <c r="M2" s="2027" t="s">
        <v>1039</v>
      </c>
      <c r="N2" s="2027" t="s">
        <v>1040</v>
      </c>
    </row>
    <row r="3" spans="1:17">
      <c r="A3" s="2027" t="s">
        <v>2498</v>
      </c>
      <c r="B3" s="2027" t="s">
        <v>1034</v>
      </c>
      <c r="C3" s="2027" t="s">
        <v>1035</v>
      </c>
      <c r="D3" s="2027">
        <v>29252</v>
      </c>
      <c r="E3" s="2027">
        <v>87756</v>
      </c>
      <c r="F3" s="2027" t="s">
        <v>1041</v>
      </c>
      <c r="G3" s="2027" t="s">
        <v>1037</v>
      </c>
      <c r="H3" s="2027" t="s">
        <v>1042</v>
      </c>
      <c r="I3" s="2027">
        <v>23000</v>
      </c>
      <c r="J3" s="2027">
        <v>31100</v>
      </c>
      <c r="K3" s="2027">
        <v>3543.92</v>
      </c>
      <c r="L3" s="2027">
        <v>35.22</v>
      </c>
      <c r="M3" s="2027" t="s">
        <v>1043</v>
      </c>
      <c r="N3" s="2027" t="s">
        <v>1040</v>
      </c>
      <c r="O3" s="2027">
        <v>8600</v>
      </c>
      <c r="P3" s="2027">
        <v>10600</v>
      </c>
      <c r="Q3" s="3180">
        <f>K3/O3</f>
        <v>0.41208372093023254</v>
      </c>
    </row>
    <row r="4" spans="1:17" s="2024" customFormat="1">
      <c r="A4" s="2024" t="s">
        <v>2493</v>
      </c>
      <c r="B4" s="2024" t="s">
        <v>1034</v>
      </c>
      <c r="C4" s="2024" t="s">
        <v>1035</v>
      </c>
      <c r="D4" s="2024">
        <v>40000</v>
      </c>
      <c r="E4" s="2024">
        <v>100000</v>
      </c>
      <c r="F4" s="2024" t="s">
        <v>1044</v>
      </c>
      <c r="G4" s="2024" t="s">
        <v>1037</v>
      </c>
      <c r="H4" s="2024" t="s">
        <v>1045</v>
      </c>
      <c r="I4" s="2024">
        <v>12900</v>
      </c>
      <c r="J4" s="2024">
        <v>13000</v>
      </c>
      <c r="K4" s="2024">
        <v>1300</v>
      </c>
      <c r="L4" s="2024">
        <v>0.78</v>
      </c>
      <c r="M4" s="2024" t="s">
        <v>1046</v>
      </c>
      <c r="N4" s="2024" t="s">
        <v>1047</v>
      </c>
      <c r="O4" s="2024">
        <v>6600</v>
      </c>
      <c r="P4" s="2024">
        <v>8600</v>
      </c>
      <c r="Q4" s="3180">
        <f t="shared" ref="Q4:Q18" si="0">K4/O4</f>
        <v>0.19696969696969696</v>
      </c>
    </row>
    <row r="5" spans="1:17">
      <c r="A5" s="2027" t="s">
        <v>2492</v>
      </c>
      <c r="B5" s="2027" t="s">
        <v>1034</v>
      </c>
      <c r="C5" s="2027" t="s">
        <v>1035</v>
      </c>
      <c r="D5" s="2027">
        <v>10000</v>
      </c>
      <c r="E5" s="2027">
        <v>30000</v>
      </c>
      <c r="F5" s="2027" t="s">
        <v>1041</v>
      </c>
      <c r="G5" s="2027" t="s">
        <v>1037</v>
      </c>
      <c r="H5" s="2027" t="s">
        <v>1048</v>
      </c>
      <c r="I5" s="2027">
        <v>6750</v>
      </c>
      <c r="J5" s="2027">
        <v>11600</v>
      </c>
      <c r="K5" s="2027">
        <v>3866.67</v>
      </c>
      <c r="L5" s="2027">
        <v>71.849999999999994</v>
      </c>
      <c r="M5" s="2027" t="s">
        <v>1049</v>
      </c>
      <c r="N5" s="2027" t="s">
        <v>1040</v>
      </c>
      <c r="O5" s="2027">
        <v>8900</v>
      </c>
      <c r="Q5" s="3180">
        <f t="shared" si="0"/>
        <v>0.43445730337078653</v>
      </c>
    </row>
    <row r="6" spans="1:17">
      <c r="A6" s="2027" t="s">
        <v>2499</v>
      </c>
      <c r="B6" s="2027" t="s">
        <v>1034</v>
      </c>
      <c r="C6" s="2027" t="s">
        <v>1035</v>
      </c>
      <c r="D6" s="2027">
        <v>38171</v>
      </c>
      <c r="E6" s="2027">
        <v>117948.4</v>
      </c>
      <c r="F6" s="2027" t="s">
        <v>1050</v>
      </c>
      <c r="G6" s="2027" t="s">
        <v>1037</v>
      </c>
      <c r="H6" s="2027" t="s">
        <v>1051</v>
      </c>
      <c r="I6" s="2027">
        <v>25200</v>
      </c>
      <c r="J6" s="2027">
        <v>28500</v>
      </c>
      <c r="K6" s="2027">
        <v>2416.3000000000002</v>
      </c>
      <c r="L6" s="2027">
        <v>13.1</v>
      </c>
      <c r="M6" s="2027" t="s">
        <v>1052</v>
      </c>
      <c r="N6" s="2027" t="s">
        <v>1040</v>
      </c>
      <c r="O6" s="2027">
        <v>11000</v>
      </c>
      <c r="P6" s="2027">
        <v>13000</v>
      </c>
      <c r="Q6" s="3180">
        <f t="shared" si="0"/>
        <v>0.21966363636363637</v>
      </c>
    </row>
    <row r="7" spans="1:17">
      <c r="A7" s="2027" t="s">
        <v>2503</v>
      </c>
      <c r="B7" s="2027" t="s">
        <v>1034</v>
      </c>
      <c r="C7" s="2027" t="s">
        <v>1035</v>
      </c>
      <c r="D7" s="2027">
        <v>2338</v>
      </c>
      <c r="E7" s="2027">
        <v>14028</v>
      </c>
      <c r="F7" s="2027" t="s">
        <v>1053</v>
      </c>
      <c r="G7" s="2027" t="s">
        <v>1037</v>
      </c>
      <c r="H7" s="2027" t="s">
        <v>1054</v>
      </c>
      <c r="I7" s="2027">
        <v>3600</v>
      </c>
      <c r="J7" s="2027">
        <v>5050</v>
      </c>
      <c r="K7" s="2027">
        <v>3599.94</v>
      </c>
      <c r="L7" s="2027">
        <v>40.28</v>
      </c>
      <c r="M7" s="2027" t="s">
        <v>1055</v>
      </c>
      <c r="N7" s="2027" t="s">
        <v>1040</v>
      </c>
      <c r="O7" s="2027">
        <v>9699</v>
      </c>
      <c r="Q7" s="3180">
        <f t="shared" si="0"/>
        <v>0.3711660995978967</v>
      </c>
    </row>
    <row r="8" spans="1:17" s="2025" customFormat="1">
      <c r="A8" s="2025" t="s">
        <v>2495</v>
      </c>
      <c r="B8" s="2025" t="s">
        <v>1034</v>
      </c>
      <c r="C8" s="2025" t="s">
        <v>1035</v>
      </c>
      <c r="D8" s="2025">
        <v>10752</v>
      </c>
      <c r="E8" s="2025">
        <v>47953.919999999998</v>
      </c>
      <c r="F8" s="2025" t="s">
        <v>1056</v>
      </c>
      <c r="G8" s="2025" t="s">
        <v>1037</v>
      </c>
      <c r="H8" s="2025" t="s">
        <v>1057</v>
      </c>
      <c r="I8" s="2025">
        <v>6750</v>
      </c>
      <c r="J8" s="2025">
        <v>8150</v>
      </c>
      <c r="K8" s="2025">
        <v>1699.54</v>
      </c>
      <c r="L8" s="2025">
        <v>20.74</v>
      </c>
      <c r="M8" s="2025" t="s">
        <v>1055</v>
      </c>
      <c r="N8" s="2025" t="s">
        <v>1040</v>
      </c>
      <c r="Q8" s="3180" t="e">
        <f t="shared" si="0"/>
        <v>#DIV/0!</v>
      </c>
    </row>
    <row r="9" spans="1:17">
      <c r="A9" s="2027" t="s">
        <v>2494</v>
      </c>
      <c r="B9" s="2027" t="s">
        <v>1034</v>
      </c>
      <c r="C9" s="2027" t="s">
        <v>1035</v>
      </c>
      <c r="D9" s="2027">
        <v>19121</v>
      </c>
      <c r="E9" s="2027">
        <v>40154.1</v>
      </c>
      <c r="F9" s="2027" t="s">
        <v>1058</v>
      </c>
      <c r="G9" s="2027" t="s">
        <v>1037</v>
      </c>
      <c r="H9" s="2027" t="s">
        <v>1059</v>
      </c>
      <c r="I9" s="2027">
        <v>8400</v>
      </c>
      <c r="J9" s="2027">
        <v>8600</v>
      </c>
      <c r="K9" s="2027">
        <v>2141.75</v>
      </c>
      <c r="L9" s="2027">
        <v>2.38</v>
      </c>
      <c r="M9" s="2027" t="s">
        <v>1060</v>
      </c>
      <c r="N9" s="2027" t="s">
        <v>1040</v>
      </c>
      <c r="Q9" s="3180" t="e">
        <f t="shared" si="0"/>
        <v>#DIV/0!</v>
      </c>
    </row>
    <row r="10" spans="1:17" s="2025" customFormat="1">
      <c r="A10" s="2025" t="s">
        <v>1061</v>
      </c>
      <c r="B10" s="2025" t="s">
        <v>1034</v>
      </c>
      <c r="C10" s="2025" t="s">
        <v>1035</v>
      </c>
      <c r="D10" s="2025">
        <v>11129</v>
      </c>
      <c r="E10" s="2025">
        <v>28935.4</v>
      </c>
      <c r="F10" s="2025" t="s">
        <v>1062</v>
      </c>
      <c r="G10" s="2025" t="s">
        <v>1037</v>
      </c>
      <c r="H10" s="2025" t="s">
        <v>1059</v>
      </c>
      <c r="I10" s="2025">
        <v>6450</v>
      </c>
      <c r="J10" s="2025">
        <v>6550</v>
      </c>
      <c r="K10" s="2025">
        <v>2263.65</v>
      </c>
      <c r="L10" s="2025">
        <v>1.55</v>
      </c>
      <c r="M10" s="2025" t="s">
        <v>1060</v>
      </c>
      <c r="N10" s="2025" t="s">
        <v>1040</v>
      </c>
      <c r="Q10" s="3180" t="e">
        <f t="shared" si="0"/>
        <v>#DIV/0!</v>
      </c>
    </row>
    <row r="11" spans="1:17" s="2026" customFormat="1">
      <c r="A11" s="2026" t="s">
        <v>2507</v>
      </c>
      <c r="B11" s="2026" t="s">
        <v>1034</v>
      </c>
      <c r="C11" s="2026" t="s">
        <v>1035</v>
      </c>
      <c r="D11" s="2026">
        <v>3042</v>
      </c>
      <c r="E11" s="2026">
        <v>23271.3</v>
      </c>
      <c r="F11" s="2026" t="s">
        <v>1063</v>
      </c>
      <c r="G11" s="2026" t="s">
        <v>1037</v>
      </c>
      <c r="H11" s="2026" t="s">
        <v>1064</v>
      </c>
      <c r="I11" s="2026">
        <v>1850</v>
      </c>
      <c r="J11" s="2026">
        <v>4250</v>
      </c>
      <c r="K11" s="2026">
        <v>1826.27</v>
      </c>
      <c r="L11" s="2026">
        <v>129.72999999999999</v>
      </c>
      <c r="M11" s="2026" t="s">
        <v>1065</v>
      </c>
      <c r="N11" s="2026" t="s">
        <v>1040</v>
      </c>
      <c r="Q11" s="3182" t="e">
        <f t="shared" si="0"/>
        <v>#DIV/0!</v>
      </c>
    </row>
    <row r="12" spans="1:17" s="2025" customFormat="1">
      <c r="A12" s="2025" t="s">
        <v>2502</v>
      </c>
      <c r="B12" s="2025" t="s">
        <v>1034</v>
      </c>
      <c r="C12" s="2025" t="s">
        <v>1035</v>
      </c>
      <c r="D12" s="2025">
        <v>2000</v>
      </c>
      <c r="E12" s="2025">
        <v>2400</v>
      </c>
      <c r="F12" s="2025" t="s">
        <v>1066</v>
      </c>
      <c r="G12" s="2025" t="s">
        <v>1037</v>
      </c>
      <c r="H12" s="2025" t="s">
        <v>1067</v>
      </c>
      <c r="I12" s="2025">
        <v>111</v>
      </c>
      <c r="J12" s="2025">
        <v>121</v>
      </c>
      <c r="K12" s="2025">
        <v>504.17</v>
      </c>
      <c r="L12" s="2025">
        <v>9.01</v>
      </c>
      <c r="M12" s="2025" t="s">
        <v>1068</v>
      </c>
      <c r="N12" s="2025" t="s">
        <v>1069</v>
      </c>
      <c r="Q12" s="3180" t="e">
        <f t="shared" si="0"/>
        <v>#DIV/0!</v>
      </c>
    </row>
    <row r="13" spans="1:17" s="2025" customFormat="1">
      <c r="A13" s="2025" t="s">
        <v>2500</v>
      </c>
      <c r="B13" s="2025" t="s">
        <v>1034</v>
      </c>
      <c r="C13" s="2025" t="s">
        <v>1035</v>
      </c>
      <c r="D13" s="2025">
        <v>69896</v>
      </c>
      <c r="E13" s="2025">
        <v>181729.6</v>
      </c>
      <c r="F13" s="2025" t="s">
        <v>1062</v>
      </c>
      <c r="G13" s="2025" t="s">
        <v>1037</v>
      </c>
      <c r="H13" s="2025" t="s">
        <v>1070</v>
      </c>
      <c r="I13" s="2025">
        <v>40000</v>
      </c>
      <c r="J13" s="2025">
        <v>45000</v>
      </c>
      <c r="K13" s="2025">
        <v>2476.21</v>
      </c>
      <c r="L13" s="2025">
        <v>12.5</v>
      </c>
      <c r="M13" s="2025" t="s">
        <v>2501</v>
      </c>
      <c r="N13" s="2025" t="s">
        <v>1040</v>
      </c>
      <c r="O13" s="2025">
        <v>8988</v>
      </c>
      <c r="Q13" s="3180">
        <f t="shared" si="0"/>
        <v>0.27550178015131288</v>
      </c>
    </row>
    <row r="14" spans="1:17" s="2025" customFormat="1">
      <c r="A14" s="2025" t="s">
        <v>1071</v>
      </c>
      <c r="B14" s="2025" t="s">
        <v>1034</v>
      </c>
      <c r="C14" s="2025" t="s">
        <v>1035</v>
      </c>
      <c r="D14" s="2025">
        <v>19628.919999999998</v>
      </c>
      <c r="E14" s="2025">
        <v>68701.22</v>
      </c>
      <c r="F14" s="2025" t="s">
        <v>1072</v>
      </c>
      <c r="G14" s="2025" t="s">
        <v>1037</v>
      </c>
      <c r="H14" s="2025" t="s">
        <v>1073</v>
      </c>
      <c r="I14" s="2025">
        <v>9400</v>
      </c>
      <c r="J14" s="2025">
        <v>26000</v>
      </c>
      <c r="K14" s="2025">
        <v>3784.5</v>
      </c>
      <c r="L14" s="2025">
        <v>176.6</v>
      </c>
      <c r="M14" s="2025" t="s">
        <v>1074</v>
      </c>
      <c r="N14" s="2025" t="s">
        <v>1040</v>
      </c>
      <c r="Q14" s="3180" t="e">
        <f t="shared" si="0"/>
        <v>#DIV/0!</v>
      </c>
    </row>
    <row r="15" spans="1:17" s="2025" customFormat="1">
      <c r="A15" s="2025" t="s">
        <v>1075</v>
      </c>
      <c r="B15" s="2025" t="s">
        <v>1034</v>
      </c>
      <c r="C15" s="2025" t="s">
        <v>1035</v>
      </c>
      <c r="D15" s="2025">
        <v>780.51</v>
      </c>
      <c r="E15" s="2025">
        <v>1404.92</v>
      </c>
      <c r="F15" s="2025" t="s">
        <v>1076</v>
      </c>
      <c r="G15" s="2025" t="s">
        <v>1037</v>
      </c>
      <c r="H15" s="2025" t="s">
        <v>1077</v>
      </c>
      <c r="I15" s="2025">
        <v>60</v>
      </c>
      <c r="J15" s="2025">
        <v>123</v>
      </c>
      <c r="K15" s="2025">
        <v>875.49</v>
      </c>
      <c r="L15" s="2025">
        <v>105</v>
      </c>
      <c r="M15" s="2025" t="s">
        <v>1078</v>
      </c>
      <c r="N15" s="2025" t="s">
        <v>1047</v>
      </c>
      <c r="Q15" s="3180" t="e">
        <f t="shared" si="0"/>
        <v>#DIV/0!</v>
      </c>
    </row>
    <row r="16" spans="1:17" s="2025" customFormat="1">
      <c r="A16" s="2025" t="s">
        <v>1079</v>
      </c>
      <c r="B16" s="2025" t="s">
        <v>1034</v>
      </c>
      <c r="C16" s="2025" t="s">
        <v>1035</v>
      </c>
      <c r="D16" s="2025">
        <v>2660</v>
      </c>
      <c r="E16" s="2025">
        <v>5320</v>
      </c>
      <c r="F16" s="2025" t="s">
        <v>1080</v>
      </c>
      <c r="G16" s="2025" t="s">
        <v>1037</v>
      </c>
      <c r="H16" s="2025" t="s">
        <v>1081</v>
      </c>
      <c r="I16" s="2025">
        <v>405</v>
      </c>
      <c r="J16" s="2025">
        <v>435</v>
      </c>
      <c r="K16" s="2025">
        <v>817.66</v>
      </c>
      <c r="L16" s="2025">
        <v>7.41</v>
      </c>
      <c r="M16" s="2025" t="s">
        <v>1082</v>
      </c>
      <c r="N16" s="2025" t="s">
        <v>1040</v>
      </c>
      <c r="Q16" s="3180" t="e">
        <f t="shared" si="0"/>
        <v>#DIV/0!</v>
      </c>
    </row>
    <row r="17" spans="1:17" s="2026" customFormat="1" ht="14.25">
      <c r="A17" s="3183" t="s">
        <v>2506</v>
      </c>
      <c r="B17" s="2026" t="s">
        <v>1034</v>
      </c>
      <c r="C17" s="2026" t="s">
        <v>1035</v>
      </c>
      <c r="D17" s="2026">
        <v>49081</v>
      </c>
      <c r="E17" s="2026">
        <v>122702.5</v>
      </c>
      <c r="F17" s="2026" t="s">
        <v>1044</v>
      </c>
      <c r="G17" s="2026" t="s">
        <v>1037</v>
      </c>
      <c r="H17" s="2026" t="s">
        <v>1083</v>
      </c>
      <c r="I17" s="2026">
        <v>8900</v>
      </c>
      <c r="J17" s="2026">
        <v>23300</v>
      </c>
      <c r="K17" s="2026">
        <v>1898.9</v>
      </c>
      <c r="L17" s="2026">
        <v>161.80000000000001</v>
      </c>
      <c r="M17" s="2026" t="s">
        <v>1084</v>
      </c>
      <c r="N17" s="2026" t="s">
        <v>1047</v>
      </c>
      <c r="O17" s="2026">
        <v>5500</v>
      </c>
      <c r="P17" s="2026">
        <v>7500</v>
      </c>
      <c r="Q17" s="3180">
        <f t="shared" si="0"/>
        <v>0.34525454545454548</v>
      </c>
    </row>
    <row r="18" spans="1:17" s="2026" customFormat="1">
      <c r="A18" s="2026" t="s">
        <v>2505</v>
      </c>
      <c r="B18" s="2026" t="s">
        <v>1034</v>
      </c>
      <c r="C18" s="2026" t="s">
        <v>1035</v>
      </c>
      <c r="D18" s="2026">
        <v>69289</v>
      </c>
      <c r="E18" s="2026">
        <v>173222.5</v>
      </c>
      <c r="F18" s="2026" t="s">
        <v>1044</v>
      </c>
      <c r="G18" s="2026" t="s">
        <v>1037</v>
      </c>
      <c r="H18" s="2026" t="s">
        <v>1083</v>
      </c>
      <c r="I18" s="2026">
        <v>11900</v>
      </c>
      <c r="J18" s="2026">
        <v>36400</v>
      </c>
      <c r="K18" s="2026">
        <v>2101.34</v>
      </c>
      <c r="L18" s="2026">
        <v>205.88</v>
      </c>
      <c r="M18" s="2026" t="s">
        <v>1085</v>
      </c>
      <c r="N18" s="2026" t="s">
        <v>1047</v>
      </c>
      <c r="O18" s="2026">
        <v>6299</v>
      </c>
      <c r="P18" s="2026">
        <v>8299</v>
      </c>
      <c r="Q18" s="3180">
        <f t="shared" si="0"/>
        <v>0.33359898396570886</v>
      </c>
    </row>
    <row r="19" spans="1:17" s="2025" customFormat="1">
      <c r="A19" s="2025" t="s">
        <v>2504</v>
      </c>
      <c r="B19" s="2025" t="s">
        <v>1034</v>
      </c>
      <c r="C19" s="2025" t="s">
        <v>1035</v>
      </c>
      <c r="D19" s="2025">
        <v>67796</v>
      </c>
      <c r="E19" s="2025">
        <v>169490</v>
      </c>
      <c r="F19" s="2025" t="s">
        <v>1044</v>
      </c>
      <c r="G19" s="2025" t="s">
        <v>1037</v>
      </c>
      <c r="H19" s="2025" t="s">
        <v>1086</v>
      </c>
      <c r="I19" s="2025">
        <v>15300</v>
      </c>
      <c r="J19" s="2025">
        <v>37000</v>
      </c>
      <c r="K19" s="2025">
        <v>2183.0100000000002</v>
      </c>
      <c r="L19" s="2025">
        <v>141.83000000000001</v>
      </c>
      <c r="M19" s="2025" t="s">
        <v>1087</v>
      </c>
      <c r="N19" s="2025" t="s">
        <v>1040</v>
      </c>
      <c r="Q19" s="3181"/>
    </row>
    <row r="20" spans="1:17" s="2025" customFormat="1">
      <c r="A20" s="2025" t="s">
        <v>1088</v>
      </c>
      <c r="B20" s="2025" t="s">
        <v>1034</v>
      </c>
      <c r="C20" s="2025" t="s">
        <v>1035</v>
      </c>
      <c r="D20" s="2025">
        <v>8731</v>
      </c>
      <c r="E20" s="2025">
        <v>71070.34</v>
      </c>
      <c r="F20" s="2025" t="s">
        <v>1089</v>
      </c>
      <c r="G20" s="2025" t="s">
        <v>1090</v>
      </c>
      <c r="H20" s="2025" t="s">
        <v>1091</v>
      </c>
      <c r="I20" s="2025" t="s">
        <v>1092</v>
      </c>
      <c r="J20" s="2025">
        <v>5860</v>
      </c>
      <c r="K20" s="2025">
        <v>824.53</v>
      </c>
      <c r="L20" s="2025" t="s">
        <v>1092</v>
      </c>
      <c r="M20" s="2025" t="s">
        <v>1093</v>
      </c>
      <c r="N20" s="2025" t="s">
        <v>1040</v>
      </c>
      <c r="Q20" s="3181"/>
    </row>
    <row r="21" spans="1:17" s="2025" customFormat="1">
      <c r="A21" s="2025" t="s">
        <v>1094</v>
      </c>
      <c r="B21" s="2025" t="s">
        <v>1034</v>
      </c>
      <c r="C21" s="2025" t="s">
        <v>1035</v>
      </c>
      <c r="D21" s="2025">
        <v>68647.56</v>
      </c>
      <c r="E21" s="2025">
        <v>168186.5</v>
      </c>
      <c r="F21" s="2025" t="s">
        <v>1095</v>
      </c>
      <c r="G21" s="2025" t="s">
        <v>1090</v>
      </c>
      <c r="H21" s="2025" t="s">
        <v>1096</v>
      </c>
      <c r="I21" s="2025">
        <v>9910</v>
      </c>
      <c r="J21" s="2025">
        <v>24010</v>
      </c>
      <c r="K21" s="2025">
        <v>1427.57</v>
      </c>
      <c r="L21" s="2025">
        <v>142.28</v>
      </c>
      <c r="M21" s="2025" t="s">
        <v>1097</v>
      </c>
      <c r="N21" s="2025" t="s">
        <v>1040</v>
      </c>
      <c r="Q21" s="3181"/>
    </row>
    <row r="22" spans="1:17" s="2025" customFormat="1">
      <c r="A22" s="2025" t="s">
        <v>1098</v>
      </c>
      <c r="B22" s="2025" t="s">
        <v>1034</v>
      </c>
      <c r="C22" s="2025" t="s">
        <v>1035</v>
      </c>
      <c r="D22" s="2025">
        <v>11933</v>
      </c>
      <c r="E22" s="2025">
        <v>21479.4</v>
      </c>
      <c r="F22" s="2025" t="s">
        <v>1076</v>
      </c>
      <c r="G22" s="2025" t="s">
        <v>1090</v>
      </c>
      <c r="H22" s="2025" t="s">
        <v>1096</v>
      </c>
      <c r="I22" s="2025">
        <v>1430</v>
      </c>
      <c r="J22" s="2025">
        <v>5300</v>
      </c>
      <c r="K22" s="2025">
        <v>2467.48</v>
      </c>
      <c r="L22" s="2025">
        <v>270.63</v>
      </c>
      <c r="M22" s="2025" t="s">
        <v>1099</v>
      </c>
      <c r="N22" s="2025" t="s">
        <v>1040</v>
      </c>
      <c r="Q22" s="3181"/>
    </row>
    <row r="23" spans="1:17" s="2025" customFormat="1">
      <c r="A23" s="2025" t="s">
        <v>1100</v>
      </c>
      <c r="B23" s="2025" t="s">
        <v>1034</v>
      </c>
      <c r="C23" s="2025" t="s">
        <v>1035</v>
      </c>
      <c r="D23" s="2025">
        <v>26143</v>
      </c>
      <c r="E23" s="2025">
        <v>117643.5</v>
      </c>
      <c r="F23" s="2025" t="s">
        <v>1101</v>
      </c>
      <c r="G23" s="2025" t="s">
        <v>1037</v>
      </c>
      <c r="H23" s="2025" t="s">
        <v>1102</v>
      </c>
      <c r="I23" s="2025">
        <v>5120</v>
      </c>
      <c r="J23" s="2025">
        <v>5220</v>
      </c>
      <c r="K23" s="2025">
        <v>443.7</v>
      </c>
      <c r="L23" s="2025">
        <v>1.95</v>
      </c>
      <c r="M23" s="2025" t="s">
        <v>1060</v>
      </c>
      <c r="N23" s="2025" t="s">
        <v>1040</v>
      </c>
      <c r="Q23" s="3181"/>
    </row>
    <row r="24" spans="1:17" s="2025" customFormat="1">
      <c r="A24" s="2025" t="s">
        <v>1103</v>
      </c>
      <c r="B24" s="2025" t="s">
        <v>1034</v>
      </c>
      <c r="C24" s="2025" t="s">
        <v>1035</v>
      </c>
      <c r="D24" s="2025">
        <v>60038</v>
      </c>
      <c r="E24" s="2025">
        <v>120076</v>
      </c>
      <c r="F24" s="2025" t="s">
        <v>1080</v>
      </c>
      <c r="G24" s="2025" t="s">
        <v>1037</v>
      </c>
      <c r="H24" s="2025" t="s">
        <v>1104</v>
      </c>
      <c r="I24" s="2025">
        <v>3660</v>
      </c>
      <c r="J24" s="2025">
        <v>3700</v>
      </c>
      <c r="K24" s="2025">
        <v>308.13</v>
      </c>
      <c r="L24" s="2025">
        <v>1.0900000000000001</v>
      </c>
      <c r="M24" s="2025" t="s">
        <v>1105</v>
      </c>
      <c r="N24" s="2025" t="s">
        <v>1047</v>
      </c>
      <c r="Q24" s="3181"/>
    </row>
    <row r="25" spans="1:17">
      <c r="A25" s="2027" t="s">
        <v>1106</v>
      </c>
      <c r="B25" s="2027" t="s">
        <v>1034</v>
      </c>
      <c r="C25" s="2027" t="s">
        <v>1035</v>
      </c>
      <c r="D25" s="2027">
        <v>10445.75</v>
      </c>
      <c r="E25" s="2027">
        <v>31337.25</v>
      </c>
      <c r="F25" s="2027" t="s">
        <v>1041</v>
      </c>
      <c r="G25" s="2027" t="s">
        <v>1037</v>
      </c>
      <c r="H25" s="2027" t="s">
        <v>1107</v>
      </c>
      <c r="I25" s="2027">
        <v>990</v>
      </c>
      <c r="J25" s="2027">
        <v>1790</v>
      </c>
      <c r="K25" s="2027">
        <v>571.21</v>
      </c>
      <c r="L25" s="2027">
        <v>80.81</v>
      </c>
      <c r="M25" s="2027" t="s">
        <v>1108</v>
      </c>
      <c r="N25" s="2027" t="s">
        <v>1069</v>
      </c>
    </row>
    <row r="26" spans="1:17">
      <c r="A26" s="2027" t="s">
        <v>1109</v>
      </c>
      <c r="B26" s="2027" t="s">
        <v>1034</v>
      </c>
      <c r="C26" s="2027" t="s">
        <v>1035</v>
      </c>
      <c r="D26" s="2027">
        <v>58554.97</v>
      </c>
      <c r="E26" s="2027">
        <v>134676.43</v>
      </c>
      <c r="F26" s="2027" t="s">
        <v>1110</v>
      </c>
      <c r="G26" s="2027" t="s">
        <v>1037</v>
      </c>
      <c r="H26" s="2027" t="s">
        <v>1107</v>
      </c>
      <c r="I26" s="2027">
        <v>5560</v>
      </c>
      <c r="J26" s="2027">
        <v>5610</v>
      </c>
      <c r="K26" s="2027">
        <v>416.55</v>
      </c>
      <c r="L26" s="2027">
        <v>0.9</v>
      </c>
      <c r="M26" s="2027" t="s">
        <v>1111</v>
      </c>
      <c r="N26" s="2027" t="s">
        <v>1047</v>
      </c>
    </row>
    <row r="27" spans="1:17">
      <c r="A27" s="2027" t="s">
        <v>1112</v>
      </c>
      <c r="B27" s="2027" t="s">
        <v>1034</v>
      </c>
      <c r="C27" s="2027" t="s">
        <v>1035</v>
      </c>
      <c r="D27" s="2027">
        <v>14710</v>
      </c>
      <c r="E27" s="2027">
        <v>141216</v>
      </c>
      <c r="F27" s="2027" t="s">
        <v>1113</v>
      </c>
      <c r="G27" s="2027" t="s">
        <v>1037</v>
      </c>
      <c r="H27" s="2027" t="s">
        <v>1114</v>
      </c>
      <c r="I27" s="2027">
        <v>14460</v>
      </c>
      <c r="J27" s="2027">
        <v>14560</v>
      </c>
      <c r="K27" s="2027">
        <v>1031.03</v>
      </c>
      <c r="L27" s="2027">
        <v>0.69</v>
      </c>
      <c r="M27" s="2027" t="s">
        <v>1115</v>
      </c>
      <c r="N27" s="2027" t="s">
        <v>1040</v>
      </c>
    </row>
    <row r="28" spans="1:17">
      <c r="A28" s="2027" t="s">
        <v>1116</v>
      </c>
      <c r="B28" s="2027" t="s">
        <v>1034</v>
      </c>
      <c r="C28" s="2027" t="s">
        <v>1035</v>
      </c>
      <c r="D28" s="2027">
        <v>4475</v>
      </c>
      <c r="E28" s="2027">
        <v>12530</v>
      </c>
      <c r="F28" s="2027" t="s">
        <v>1117</v>
      </c>
      <c r="G28" s="2027" t="s">
        <v>1037</v>
      </c>
      <c r="H28" s="2027" t="s">
        <v>1118</v>
      </c>
      <c r="I28" s="2027">
        <v>925</v>
      </c>
      <c r="J28" s="2027">
        <v>935</v>
      </c>
      <c r="K28" s="2027">
        <v>746.21</v>
      </c>
      <c r="L28" s="2027">
        <v>1.08</v>
      </c>
      <c r="M28" s="2027" t="s">
        <v>1119</v>
      </c>
      <c r="N28" s="2027" t="s">
        <v>1120</v>
      </c>
    </row>
    <row r="29" spans="1:17">
      <c r="A29" s="2027" t="s">
        <v>1121</v>
      </c>
      <c r="B29" s="2027" t="s">
        <v>1034</v>
      </c>
      <c r="C29" s="2027" t="s">
        <v>1035</v>
      </c>
      <c r="D29" s="2027">
        <v>42614</v>
      </c>
      <c r="E29" s="2027">
        <v>63921</v>
      </c>
      <c r="F29" s="2027" t="s">
        <v>1122</v>
      </c>
      <c r="G29" s="2027" t="s">
        <v>1037</v>
      </c>
      <c r="H29" s="2027" t="s">
        <v>1123</v>
      </c>
      <c r="I29" s="2027">
        <v>3290</v>
      </c>
      <c r="J29" s="2027">
        <v>3320</v>
      </c>
      <c r="K29" s="2027">
        <v>519.38</v>
      </c>
      <c r="L29" s="2027">
        <v>0.91</v>
      </c>
      <c r="M29" s="2027" t="s">
        <v>1124</v>
      </c>
      <c r="N29" s="2027" t="s">
        <v>1040</v>
      </c>
    </row>
    <row r="30" spans="1:17">
      <c r="A30" s="2027" t="s">
        <v>1125</v>
      </c>
      <c r="B30" s="2027" t="s">
        <v>1034</v>
      </c>
      <c r="C30" s="2027" t="s">
        <v>1035</v>
      </c>
      <c r="D30" s="2027">
        <v>1797.6</v>
      </c>
      <c r="E30" s="2027">
        <v>7190.4</v>
      </c>
      <c r="F30" s="2027" t="s">
        <v>1126</v>
      </c>
      <c r="G30" s="2027" t="s">
        <v>1037</v>
      </c>
      <c r="H30" s="2027" t="s">
        <v>1127</v>
      </c>
      <c r="I30" s="2027">
        <v>377</v>
      </c>
      <c r="J30" s="2027">
        <v>407</v>
      </c>
      <c r="K30" s="2027">
        <v>566.02</v>
      </c>
      <c r="L30" s="2027">
        <v>7.96</v>
      </c>
      <c r="M30" s="2027" t="s">
        <v>1128</v>
      </c>
      <c r="N30" s="2027" t="s">
        <v>1040</v>
      </c>
    </row>
    <row r="31" spans="1:17">
      <c r="A31" s="2027" t="s">
        <v>1129</v>
      </c>
      <c r="B31" s="2027" t="s">
        <v>1034</v>
      </c>
      <c r="C31" s="2027" t="s">
        <v>1035</v>
      </c>
      <c r="D31" s="2027">
        <v>50302</v>
      </c>
      <c r="E31" s="2027">
        <v>125755</v>
      </c>
      <c r="F31" s="2027" t="s">
        <v>1130</v>
      </c>
      <c r="G31" s="2027" t="s">
        <v>1037</v>
      </c>
      <c r="H31" s="2027" t="s">
        <v>1131</v>
      </c>
      <c r="I31" s="2027">
        <v>4650</v>
      </c>
      <c r="J31" s="2027">
        <v>5200</v>
      </c>
      <c r="K31" s="2027">
        <v>413.5</v>
      </c>
      <c r="L31" s="2027">
        <v>11.83</v>
      </c>
      <c r="M31" s="2027" t="s">
        <v>1052</v>
      </c>
      <c r="N31" s="2027" t="s">
        <v>1047</v>
      </c>
    </row>
    <row r="32" spans="1:17">
      <c r="A32" s="2027" t="s">
        <v>1132</v>
      </c>
      <c r="B32" s="2027" t="s">
        <v>1034</v>
      </c>
      <c r="C32" s="2027" t="s">
        <v>1035</v>
      </c>
      <c r="D32" s="2027">
        <v>69794</v>
      </c>
      <c r="E32" s="2027">
        <v>132608.6</v>
      </c>
      <c r="F32" s="2027" t="s">
        <v>1133</v>
      </c>
      <c r="G32" s="2027" t="s">
        <v>1037</v>
      </c>
      <c r="H32" s="2027" t="s">
        <v>1134</v>
      </c>
      <c r="I32" s="2027">
        <v>12000</v>
      </c>
      <c r="J32" s="2027">
        <v>12100</v>
      </c>
      <c r="K32" s="2027">
        <v>912.46</v>
      </c>
      <c r="L32" s="2027">
        <v>0.83</v>
      </c>
      <c r="M32" s="2027" t="s">
        <v>1135</v>
      </c>
      <c r="N32" s="2027" t="s">
        <v>1040</v>
      </c>
    </row>
    <row r="33" spans="1:14">
      <c r="A33" s="2027" t="s">
        <v>1136</v>
      </c>
      <c r="B33" s="2027" t="s">
        <v>1034</v>
      </c>
      <c r="C33" s="2027" t="s">
        <v>1035</v>
      </c>
      <c r="D33" s="2027">
        <v>26667</v>
      </c>
      <c r="E33" s="2027">
        <v>61334.1</v>
      </c>
      <c r="F33" s="2027" t="s">
        <v>1137</v>
      </c>
      <c r="G33" s="2027" t="s">
        <v>1037</v>
      </c>
      <c r="H33" s="2027" t="s">
        <v>1138</v>
      </c>
      <c r="I33" s="2027">
        <v>3030</v>
      </c>
      <c r="J33" s="2027">
        <v>3600</v>
      </c>
      <c r="K33" s="2027">
        <v>586.95000000000005</v>
      </c>
      <c r="L33" s="2027">
        <v>18.809999999999999</v>
      </c>
      <c r="M33" s="2027" t="s">
        <v>1139</v>
      </c>
      <c r="N33" s="2027" t="s">
        <v>1040</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E10" sqref="E10"/>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1140</v>
      </c>
      <c r="B1" s="1842"/>
      <c r="C1" s="1843"/>
      <c r="D1" s="1843"/>
      <c r="E1" s="1843"/>
      <c r="F1" s="1843"/>
      <c r="G1" s="1843"/>
      <c r="H1" s="1843"/>
      <c r="I1" s="1843"/>
      <c r="J1" s="1843"/>
      <c r="K1" s="1927">
        <f>MATCH(B1,'数据-取费表'!A6:A16,0)+5</f>
        <v>10</v>
      </c>
    </row>
    <row r="2" spans="1:31" s="153" customFormat="1" ht="18" customHeight="1">
      <c r="A2" s="1944" t="s">
        <v>926</v>
      </c>
      <c r="B2" s="1945">
        <f ca="1">C36</f>
        <v>16169</v>
      </c>
      <c r="C2" s="1843"/>
      <c r="D2" s="1843"/>
      <c r="E2" s="1843"/>
      <c r="F2" s="1843"/>
      <c r="G2" s="1843"/>
      <c r="H2" s="1843"/>
      <c r="I2" s="1843"/>
      <c r="J2" s="1843"/>
      <c r="K2" s="1843"/>
    </row>
    <row r="3" spans="1:31" s="153" customFormat="1" ht="18" customHeight="1">
      <c r="A3" s="1946" t="s">
        <v>927</v>
      </c>
      <c r="B3" s="1947">
        <f ca="1">ROUND(B2*10000/IF(B1="",'数据-汇总表'!E3,INDIRECT("'数据-取费表'!K"&amp;$K$1)),0)</f>
        <v>1476</v>
      </c>
      <c r="C3" s="1843"/>
      <c r="D3" s="1843"/>
      <c r="E3" s="1843"/>
      <c r="F3" s="1843"/>
      <c r="G3" s="1843"/>
      <c r="H3" s="1843"/>
      <c r="I3" s="1843"/>
      <c r="J3" s="1843"/>
      <c r="K3" s="1843"/>
    </row>
    <row r="4" spans="1:31" s="153" customFormat="1" ht="18" customHeight="1">
      <c r="A4" s="973" t="s">
        <v>1141</v>
      </c>
      <c r="B4" s="974">
        <f ca="1">ROUND(B2*10000/IF(B1="",'数据-汇总表'!D3,INDIRECT("'数据-取费表'!R"&amp;$K$1)),0)</f>
        <v>4042</v>
      </c>
      <c r="C4" s="462"/>
      <c r="D4" s="1927"/>
      <c r="E4" s="1927"/>
      <c r="F4" s="1927"/>
      <c r="G4" s="1927"/>
      <c r="H4" s="1927"/>
      <c r="I4" s="1927"/>
      <c r="J4" s="1927"/>
      <c r="K4" s="1927"/>
    </row>
    <row r="5" spans="1:31" s="153" customFormat="1" ht="18" customHeight="1">
      <c r="A5" s="975"/>
      <c r="B5" s="976">
        <f ca="1">ROUND(B2/(IF(B1="",'数据-汇总表'!D3,INDIRECT("'数据-取费表'!R"&amp;$K$1))/666.67),0)</f>
        <v>269</v>
      </c>
      <c r="C5" s="977" t="s">
        <v>929</v>
      </c>
      <c r="D5" s="1927"/>
      <c r="E5" s="1927"/>
      <c r="F5" s="1927"/>
      <c r="G5" s="1927"/>
      <c r="H5" s="1927"/>
      <c r="I5" s="1927"/>
      <c r="J5" s="1927"/>
      <c r="K5" s="1927"/>
    </row>
    <row r="6" spans="1:31" s="1830" customFormat="1" ht="16.5" customHeight="1">
      <c r="A6" s="1948" t="s">
        <v>1142</v>
      </c>
      <c r="B6" s="1949"/>
      <c r="C6" s="1950">
        <f ca="1">SUM(C10:K10)</f>
        <v>59349</v>
      </c>
      <c r="D6" s="1949"/>
      <c r="E6" s="1949"/>
      <c r="F6" s="1949"/>
      <c r="G6" s="1949"/>
      <c r="H6" s="1949"/>
      <c r="I6" s="1949"/>
      <c r="J6" s="1949"/>
      <c r="K6" s="2014"/>
    </row>
    <row r="7" spans="1:31" s="1831" customFormat="1" ht="15">
      <c r="A7" s="1951" t="s">
        <v>1143</v>
      </c>
      <c r="B7" s="1952" t="s">
        <v>1144</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1145</v>
      </c>
      <c r="C8" s="1953">
        <f>'不动产比较法-住宅'!C49</f>
        <v>6295</v>
      </c>
      <c r="D8" s="1953">
        <f ca="1">'不动产收益法-商业'!B3</f>
        <v>6312</v>
      </c>
      <c r="E8" s="1953"/>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3164">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1146</v>
      </c>
      <c r="B10" s="1955" t="s">
        <v>1147</v>
      </c>
      <c r="C10" s="1956">
        <f>ROUND(C8*C9/10000,0)</f>
        <v>53663</v>
      </c>
      <c r="D10" s="1956">
        <f t="shared" ref="D10" ca="1" si="0">ROUND(D8*D9/10000,0)</f>
        <v>5686</v>
      </c>
      <c r="E10" s="1956"/>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1148</v>
      </c>
      <c r="B11" s="1949"/>
      <c r="C11" s="1949"/>
      <c r="D11" s="1949"/>
      <c r="E11" s="1949"/>
      <c r="F11" s="1949"/>
      <c r="G11" s="1949"/>
      <c r="H11" s="1949"/>
      <c r="I11" s="1949"/>
      <c r="J11" s="1949"/>
      <c r="K11" s="2014"/>
    </row>
    <row r="12" spans="1:31" s="742" customFormat="1" ht="13.5" customHeight="1">
      <c r="A12" s="1959" t="s">
        <v>1143</v>
      </c>
      <c r="B12" s="1960" t="s">
        <v>1144</v>
      </c>
      <c r="C12" s="1961" t="s">
        <v>1149</v>
      </c>
      <c r="D12" s="1962" t="s">
        <v>1150</v>
      </c>
      <c r="E12" s="1962" t="s">
        <v>1151</v>
      </c>
      <c r="F12" s="1962" t="s">
        <v>1152</v>
      </c>
      <c r="G12" s="1960"/>
      <c r="H12" s="1963"/>
      <c r="I12" s="1963"/>
      <c r="J12" s="1963"/>
      <c r="K12" s="2017"/>
    </row>
    <row r="13" spans="1:31" s="1833" customFormat="1" ht="13.5" customHeight="1">
      <c r="A13" s="1964" t="s">
        <v>886</v>
      </c>
      <c r="B13" s="1965" t="s">
        <v>1153</v>
      </c>
      <c r="C13" s="1868">
        <f ca="1">IF(B1="",'数据-取费表'!P16,INDIRECT("'数据-取费表'!p"&amp;$K$1)+INDIRECT("'数据-取费表'!t"&amp;$K$1))</f>
        <v>22987</v>
      </c>
      <c r="D13" s="1966"/>
      <c r="E13" s="1967"/>
      <c r="F13" s="1968"/>
      <c r="G13" s="1960"/>
      <c r="H13" s="1963"/>
      <c r="I13" s="1963"/>
      <c r="J13" s="1963"/>
      <c r="K13" s="2017"/>
    </row>
    <row r="14" spans="1:31" s="1833" customFormat="1" ht="13.5" customHeight="1">
      <c r="A14" s="1964" t="s">
        <v>1154</v>
      </c>
      <c r="B14" s="1965" t="s">
        <v>1155</v>
      </c>
      <c r="C14" s="121">
        <f ca="1">ROUND(C13*F14,0)</f>
        <v>690</v>
      </c>
      <c r="D14" s="1966"/>
      <c r="E14" s="1967"/>
      <c r="F14" s="1969">
        <f>'数据-取费表'!B33</f>
        <v>0.03</v>
      </c>
      <c r="G14" s="1960" t="s">
        <v>1156</v>
      </c>
      <c r="H14" s="1963"/>
      <c r="I14" s="1963"/>
      <c r="J14" s="1963"/>
      <c r="K14" s="2017"/>
    </row>
    <row r="15" spans="1:31" s="1833" customFormat="1" ht="13.5" customHeight="1">
      <c r="A15" s="1964" t="s">
        <v>1157</v>
      </c>
      <c r="B15" s="1965" t="s">
        <v>1158</v>
      </c>
      <c r="C15" s="121">
        <f ca="1">ROUND(IF(B1="",SUMIF('数据-取费表'!C:C,"住宅",'数据-取费表'!P:P)*F15,IF(INDIRECT("'数据-取费表'!c"&amp;$K$1)="住宅",INDIRECT("'数据-取费表'!P"&amp;$K$1)*F15,0)),0)</f>
        <v>938</v>
      </c>
      <c r="D15" s="1966"/>
      <c r="E15" s="1967"/>
      <c r="F15" s="1969">
        <f>'数据-取费表'!B34</f>
        <v>0.05</v>
      </c>
      <c r="G15" s="1960" t="s">
        <v>1159</v>
      </c>
      <c r="H15" s="1963"/>
      <c r="I15" s="1963"/>
      <c r="J15" s="1963"/>
      <c r="K15" s="2017"/>
    </row>
    <row r="16" spans="1:31" s="1834" customFormat="1" ht="13.5" customHeight="1">
      <c r="A16" s="1964" t="s">
        <v>1160</v>
      </c>
      <c r="B16" s="1965" t="s">
        <v>1161</v>
      </c>
      <c r="C16" s="121">
        <f ca="1">ROUND(D16*E16/10000,0)</f>
        <v>2191</v>
      </c>
      <c r="D16" s="1966">
        <f ca="1">IF(B1="",'数据-汇总表'!E3,INDIRECT("'数据-取费表'!K"&amp;$K$1)+INDIRECT("'数据-取费表'!S"&amp;$K$1))</f>
        <v>109558.57000000002</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1162</v>
      </c>
      <c r="B17" s="1965" t="s">
        <v>1163</v>
      </c>
      <c r="C17" s="1970">
        <f ca="1">ROUND(C13*F17,0)</f>
        <v>345</v>
      </c>
      <c r="D17" s="1971"/>
      <c r="E17" s="1970"/>
      <c r="F17" s="1972">
        <f>'数据-取费表'!B36</f>
        <v>1.4999999999999999E-2</v>
      </c>
      <c r="G17" s="690" t="s">
        <v>1164</v>
      </c>
      <c r="H17" s="1973"/>
      <c r="I17" s="1973"/>
      <c r="J17" s="1973"/>
      <c r="K17" s="2018"/>
    </row>
    <row r="18" spans="1:14" s="1833" customFormat="1" ht="13.5" customHeight="1">
      <c r="A18" s="1974" t="s">
        <v>1165</v>
      </c>
      <c r="B18" s="1975" t="s">
        <v>1166</v>
      </c>
      <c r="C18" s="1976">
        <f ca="1">SUM(C13:C17)</f>
        <v>27151</v>
      </c>
      <c r="D18" s="1977"/>
      <c r="E18" s="1978"/>
      <c r="F18" s="1978"/>
      <c r="G18" s="1979" t="s">
        <v>1167</v>
      </c>
      <c r="H18" s="1980"/>
      <c r="I18" s="1980"/>
      <c r="J18" s="1980"/>
      <c r="K18" s="2019"/>
    </row>
    <row r="19" spans="1:14" s="1833" customFormat="1" ht="13.5" customHeight="1">
      <c r="A19" s="1974" t="s">
        <v>1168</v>
      </c>
      <c r="B19" s="1975" t="s">
        <v>1169</v>
      </c>
      <c r="C19" s="1962">
        <f ca="1">ROUND(D19*E19/10000,0)</f>
        <v>1096</v>
      </c>
      <c r="D19" s="1981">
        <f ca="1">D16</f>
        <v>109558.57000000002</v>
      </c>
      <c r="E19" s="1962">
        <f>'数据-取费表'!B32</f>
        <v>100</v>
      </c>
      <c r="F19" s="1978"/>
      <c r="G19" s="1960" t="s">
        <v>1170</v>
      </c>
      <c r="H19" s="1963"/>
      <c r="I19" s="1980"/>
      <c r="J19" s="1980"/>
      <c r="K19" s="2019"/>
    </row>
    <row r="20" spans="1:14" s="1833" customFormat="1" ht="13.5" customHeight="1">
      <c r="A20" s="1974" t="s">
        <v>1171</v>
      </c>
      <c r="B20" s="1975" t="s">
        <v>1172</v>
      </c>
      <c r="C20" s="1962">
        <f ca="1">C21+C22-IF(B1="",'数据-取费表'!B29,IF(G20="已全部缴纳",C21+C22,H20))</f>
        <v>0</v>
      </c>
      <c r="D20" s="1981"/>
      <c r="E20" s="1962"/>
      <c r="F20" s="1982"/>
      <c r="G20" s="1983"/>
      <c r="H20" s="1984"/>
      <c r="I20" s="2020" t="s">
        <v>1173</v>
      </c>
      <c r="J20" s="1980"/>
      <c r="K20" s="2019"/>
    </row>
    <row r="21" spans="1:14" s="1833" customFormat="1" ht="13.5" customHeight="1">
      <c r="A21" s="1964" t="s">
        <v>886</v>
      </c>
      <c r="B21" s="1965" t="s">
        <v>1174</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1175</v>
      </c>
      <c r="C22" s="121">
        <f ca="1">ROUND(D22*E22/10000,0)</f>
        <v>194</v>
      </c>
      <c r="D22" s="1966">
        <f ca="1">IF(B1="",'数据-汇总表'!E6,IF(INDIRECT("'数据-取费表'!c"&amp;$K$1)="住宅",INDIRECT("'数据-取费表'!s"&amp;$K$1),INDIRECT("'数据-取费表'!k"&amp;$K$1)+INDIRECT("'数据-取费表'!s"&amp;$K$1)))</f>
        <v>24311.110000000015</v>
      </c>
      <c r="E22" s="121">
        <f>'数据-取费表'!B28</f>
        <v>80</v>
      </c>
      <c r="F22" s="1969"/>
      <c r="G22" s="762"/>
      <c r="H22" s="1985"/>
      <c r="I22" s="1985"/>
      <c r="J22" s="1985"/>
      <c r="K22" s="2021"/>
    </row>
    <row r="23" spans="1:14" s="1833" customFormat="1" ht="13.5" customHeight="1">
      <c r="A23" s="1974" t="s">
        <v>1176</v>
      </c>
      <c r="B23" s="1986" t="s">
        <v>1177</v>
      </c>
      <c r="C23" s="1976">
        <f ca="1">ROUND((C18+C19+C20)*F23,0)</f>
        <v>565</v>
      </c>
      <c r="D23" s="1978"/>
      <c r="E23" s="1978"/>
      <c r="F23" s="1987">
        <f>'数据-取费表'!B37</f>
        <v>0.02</v>
      </c>
      <c r="G23" s="1960" t="s">
        <v>1178</v>
      </c>
      <c r="H23" s="1963"/>
      <c r="I23" s="1963"/>
      <c r="J23" s="1963"/>
      <c r="K23" s="2017"/>
      <c r="L23" s="1937"/>
      <c r="M23" s="1937"/>
      <c r="N23" s="1937"/>
    </row>
    <row r="24" spans="1:14" s="1833" customFormat="1" ht="13.5" customHeight="1">
      <c r="A24" s="1974" t="s">
        <v>1179</v>
      </c>
      <c r="B24" s="1986" t="s">
        <v>1180</v>
      </c>
      <c r="C24" s="1976">
        <f ca="1">ROUND(C6*F24,0)</f>
        <v>1187</v>
      </c>
      <c r="D24" s="1971"/>
      <c r="E24" s="1892"/>
      <c r="F24" s="1987">
        <f>'数据-取费表'!B38</f>
        <v>0.02</v>
      </c>
      <c r="G24" s="1988" t="s">
        <v>1181</v>
      </c>
      <c r="H24" s="1973"/>
      <c r="I24" s="1973"/>
      <c r="J24" s="1973"/>
      <c r="K24" s="2018"/>
      <c r="L24" s="1937"/>
      <c r="M24" s="1937"/>
      <c r="N24" s="1937"/>
    </row>
    <row r="25" spans="1:14" s="1835" customFormat="1" ht="13.5" customHeight="1">
      <c r="A25" s="1974" t="s">
        <v>1182</v>
      </c>
      <c r="B25" s="1986" t="s">
        <v>1183</v>
      </c>
      <c r="C25" s="1989">
        <f>F25</f>
        <v>3.0499999999999999E-2</v>
      </c>
      <c r="D25" s="1880" t="s">
        <v>1184</v>
      </c>
      <c r="E25" s="1884"/>
      <c r="F25" s="1987">
        <f>IF(项目基本情况!B8="出让",0,'数据-取费表'!B48+'数据-取费表'!B49)</f>
        <v>3.0499999999999999E-2</v>
      </c>
      <c r="G25" s="1990" t="s">
        <v>1185</v>
      </c>
      <c r="H25" s="1963"/>
      <c r="I25" s="1963"/>
      <c r="J25" s="1963"/>
      <c r="K25" s="2017"/>
    </row>
    <row r="26" spans="1:14" s="1937" customFormat="1" ht="13.5" customHeight="1">
      <c r="A26" s="1974" t="s">
        <v>1186</v>
      </c>
      <c r="B26" s="1991" t="s">
        <v>1187</v>
      </c>
      <c r="C26" s="1992">
        <f ca="1">C28</f>
        <v>1425</v>
      </c>
      <c r="D26" s="1887">
        <f ca="1">C27</f>
        <v>0.1002</v>
      </c>
      <c r="E26" s="1884" t="s">
        <v>1184</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1188</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1189</v>
      </c>
      <c r="C28" s="1995">
        <f ca="1">ROUND(IF('数据-取费表'!B22&lt;=1,(C18+C19+C20+C23+C24)*F26*'数据-取费表'!B24/2,(C18+C19+C20+C23+C24)*(POWER((1+F26),'数据-取费表'!B24/2)-1)),0)</f>
        <v>1425</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1190</v>
      </c>
      <c r="B29" s="1975" t="s">
        <v>1191</v>
      </c>
      <c r="C29" s="1976">
        <f ca="1">ROUND(C6*F29/(1+'数据-取费表'!C42),0)</f>
        <v>3109</v>
      </c>
      <c r="D29" s="1978"/>
      <c r="E29" s="1978"/>
      <c r="F29" s="1997">
        <f>'数据-取费表'!B41</f>
        <v>5.5000000000000007E-2</v>
      </c>
      <c r="G29" s="1988" t="s">
        <v>1192</v>
      </c>
      <c r="H29" s="1963"/>
      <c r="I29" s="1963"/>
      <c r="J29" s="1963"/>
      <c r="K29" s="2017"/>
    </row>
    <row r="30" spans="1:14" s="1836" customFormat="1" ht="13.5" customHeight="1">
      <c r="A30" s="1998" t="s">
        <v>1193</v>
      </c>
      <c r="B30" s="1999" t="s">
        <v>1194</v>
      </c>
      <c r="C30" s="1992">
        <f ca="1">C31</f>
        <v>34533</v>
      </c>
      <c r="D30" s="1906">
        <f ca="1">C32</f>
        <v>0.13070000000000001</v>
      </c>
      <c r="E30" s="1884" t="s">
        <v>1184</v>
      </c>
      <c r="F30" s="1888"/>
      <c r="G30" s="1990" t="s">
        <v>1195</v>
      </c>
      <c r="H30" s="1963"/>
      <c r="I30" s="1963"/>
      <c r="J30" s="1963"/>
      <c r="K30" s="2017"/>
    </row>
    <row r="31" spans="1:14" s="1837" customFormat="1" ht="13.5" customHeight="1">
      <c r="A31" s="1068" t="s">
        <v>886</v>
      </c>
      <c r="B31" s="1993"/>
      <c r="C31" s="1868">
        <f ca="1">C18+C19+C20+C23+C24+C26+C29</f>
        <v>34533</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1196</v>
      </c>
      <c r="B33" s="1896" t="s">
        <v>1197</v>
      </c>
      <c r="C33" s="1897">
        <f ca="1">C35</f>
        <v>4200</v>
      </c>
      <c r="D33" s="1887">
        <f ca="1">C34</f>
        <v>0.14430000000000001</v>
      </c>
      <c r="E33" s="1884" t="s">
        <v>1184</v>
      </c>
      <c r="F33" s="1815">
        <f ca="1">IF(B1="",'数据-取费表'!Q16,INDIRECT("'数据-取费表'!q"&amp;$K$1))</f>
        <v>0.14000000000000001</v>
      </c>
      <c r="G33" s="1979"/>
      <c r="H33" s="1980"/>
      <c r="I33" s="1980"/>
      <c r="J33" s="1980"/>
      <c r="K33" s="2019"/>
    </row>
    <row r="34" spans="1:11" s="1942" customFormat="1" ht="13.5" customHeight="1">
      <c r="A34" s="2001" t="s">
        <v>886</v>
      </c>
      <c r="B34" s="2002" t="s">
        <v>1198</v>
      </c>
      <c r="C34" s="1891">
        <f ca="1">ROUND((1+C25)*F33,4)</f>
        <v>0.14430000000000001</v>
      </c>
      <c r="D34" s="1891"/>
      <c r="E34" s="1892"/>
      <c r="F34" s="1899"/>
      <c r="G34" s="690" t="s">
        <v>1199</v>
      </c>
      <c r="H34" s="1973"/>
      <c r="I34" s="1973"/>
      <c r="J34" s="1973"/>
      <c r="K34" s="2018"/>
    </row>
    <row r="35" spans="1:11" s="1942" customFormat="1" ht="13.5" customHeight="1">
      <c r="A35" s="2003" t="s">
        <v>891</v>
      </c>
      <c r="B35" s="2004" t="s">
        <v>1200</v>
      </c>
      <c r="C35" s="2005">
        <f ca="1">ROUND((C18+C19+C20+C23+C24)*F33,0)</f>
        <v>4200</v>
      </c>
      <c r="D35" s="2006"/>
      <c r="E35" s="2007"/>
      <c r="F35" s="2008"/>
      <c r="G35" s="1955"/>
      <c r="H35" s="2009"/>
      <c r="I35" s="2009"/>
      <c r="J35" s="2009"/>
      <c r="K35" s="2022"/>
    </row>
    <row r="36" spans="1:11" s="742" customFormat="1" ht="13.5" customHeight="1">
      <c r="A36" s="2010" t="s">
        <v>1201</v>
      </c>
      <c r="B36" s="2011"/>
      <c r="C36" s="2012">
        <f ca="1">ROUND((C6-C30-C33)/(1+D30+D33),0)</f>
        <v>16169</v>
      </c>
      <c r="D36" s="2011"/>
      <c r="E36" s="2011"/>
      <c r="F36" s="2011"/>
      <c r="G36" s="2013" t="s">
        <v>1202</v>
      </c>
      <c r="H36" s="2011"/>
      <c r="I36" s="2011"/>
      <c r="J36" s="2011"/>
      <c r="K36" s="2023"/>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1140</v>
      </c>
      <c r="B1" s="1842"/>
      <c r="C1" s="1843"/>
      <c r="D1" s="1843"/>
      <c r="E1" s="1843"/>
      <c r="F1" s="1843"/>
      <c r="G1" s="1843"/>
      <c r="H1" s="1843"/>
      <c r="I1" s="1843"/>
      <c r="J1" s="1843"/>
      <c r="K1" s="1927">
        <f>MATCH(B1,'数据-取费表'!A6:A16,0)+5</f>
        <v>10</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1141</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1203</v>
      </c>
      <c r="B6" s="1846"/>
      <c r="C6" s="1847">
        <f>SUM(C10:K10)</f>
        <v>0</v>
      </c>
      <c r="D6" s="1848"/>
      <c r="E6" s="1848"/>
      <c r="F6" s="1848"/>
      <c r="G6" s="1848"/>
      <c r="H6" s="1848"/>
      <c r="I6" s="1848"/>
      <c r="J6" s="1848"/>
      <c r="K6" s="1928"/>
    </row>
    <row r="7" spans="1:41" s="1831" customFormat="1" ht="15">
      <c r="A7" s="1849" t="s">
        <v>1143</v>
      </c>
      <c r="B7" s="1850" t="s">
        <v>1144</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1145</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1146</v>
      </c>
      <c r="B10" s="1857" t="s">
        <v>1147</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1204</v>
      </c>
      <c r="B11" s="1861"/>
      <c r="C11" s="1861"/>
      <c r="D11" s="1861"/>
      <c r="E11" s="1861"/>
      <c r="F11" s="1861"/>
      <c r="G11" s="1861"/>
      <c r="H11" s="1861"/>
      <c r="I11" s="1861"/>
      <c r="J11" s="1861"/>
      <c r="K11" s="1934"/>
    </row>
    <row r="12" spans="1:41" s="742" customFormat="1" ht="13.5" customHeight="1">
      <c r="A12" s="1849" t="s">
        <v>1143</v>
      </c>
      <c r="B12" s="1862" t="s">
        <v>1144</v>
      </c>
      <c r="C12" s="1863" t="s">
        <v>1149</v>
      </c>
      <c r="D12" s="1864" t="s">
        <v>1150</v>
      </c>
      <c r="E12" s="1864" t="s">
        <v>1151</v>
      </c>
      <c r="F12" s="1864" t="s">
        <v>1152</v>
      </c>
      <c r="G12" s="1862"/>
      <c r="H12" s="1865"/>
      <c r="I12" s="1865"/>
      <c r="J12" s="1865"/>
      <c r="K12" s="1935"/>
    </row>
    <row r="13" spans="1:41" s="1833" customFormat="1" ht="13.5" customHeight="1">
      <c r="A13" s="1866" t="s">
        <v>886</v>
      </c>
      <c r="B13" s="1867" t="s">
        <v>1153</v>
      </c>
      <c r="C13" s="1868">
        <f ca="1">IF(B1="",'数据-取费表'!M16,INDIRECT("'数据-取费表'!M"&amp;$K$1)+INDIRECT("'数据-取费表'!t"&amp;$K$1))</f>
        <v>22987</v>
      </c>
      <c r="D13" s="1869"/>
      <c r="E13" s="78"/>
      <c r="F13" s="1870"/>
      <c r="G13" s="1862"/>
      <c r="H13" s="1865"/>
      <c r="I13" s="1865"/>
      <c r="J13" s="1865"/>
      <c r="K13" s="1935"/>
    </row>
    <row r="14" spans="1:41" s="1833" customFormat="1" ht="13.5" customHeight="1">
      <c r="A14" s="1866" t="s">
        <v>1154</v>
      </c>
      <c r="B14" s="1867" t="s">
        <v>1155</v>
      </c>
      <c r="C14" s="121">
        <f ca="1">ROUND(C13*F14,0)</f>
        <v>690</v>
      </c>
      <c r="D14" s="1869"/>
      <c r="E14" s="78"/>
      <c r="F14" s="1871">
        <f>'数据-取费表'!B33</f>
        <v>0.03</v>
      </c>
      <c r="G14" s="1862" t="s">
        <v>1156</v>
      </c>
      <c r="H14" s="1865"/>
      <c r="I14" s="1865"/>
      <c r="J14" s="1865"/>
      <c r="K14" s="1935"/>
    </row>
    <row r="15" spans="1:41" s="1833" customFormat="1" ht="13.5" customHeight="1">
      <c r="A15" s="1866" t="s">
        <v>1157</v>
      </c>
      <c r="B15" s="1867" t="s">
        <v>1158</v>
      </c>
      <c r="C15" s="121">
        <f ca="1">ROUND(IF(B1="",SUMIF('数据-取费表'!C:C,"住宅",'数据-取费表'!M:M)*F15,IF(INDIRECT("'数据-取费表'!c"&amp;$K$1)="住宅",INDIRECT("'数据-取费表'!M"&amp;$K$1)*F15,0)),0)</f>
        <v>938</v>
      </c>
      <c r="D15" s="1869"/>
      <c r="E15" s="78"/>
      <c r="F15" s="1871">
        <f>'数据-取费表'!B34</f>
        <v>0.05</v>
      </c>
      <c r="G15" s="1862" t="s">
        <v>1156</v>
      </c>
      <c r="H15" s="1865"/>
      <c r="I15" s="1865"/>
      <c r="J15" s="1865"/>
      <c r="K15" s="1935"/>
    </row>
    <row r="16" spans="1:41" s="1834" customFormat="1" ht="13.5" customHeight="1">
      <c r="A16" s="1866" t="s">
        <v>1160</v>
      </c>
      <c r="B16" s="1867" t="s">
        <v>1161</v>
      </c>
      <c r="C16" s="121">
        <f ca="1">ROUND(D16*E16/10000,0)</f>
        <v>2191</v>
      </c>
      <c r="D16" s="1869">
        <f ca="1">IF(B1="",'数据-汇总表'!E3,INDIRECT("'数据-取费表'!K"&amp;$K$1)+INDIRECT("'数据-取费表'!S"&amp;$K$1))</f>
        <v>109558.57000000002</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1162</v>
      </c>
      <c r="B17" s="1867" t="s">
        <v>1163</v>
      </c>
      <c r="C17" s="1872">
        <f ca="1">ROUND(C13*F17,0)</f>
        <v>345</v>
      </c>
      <c r="D17" s="1873"/>
      <c r="E17" s="1872"/>
      <c r="F17" s="1874">
        <f>'数据-取费表'!B36</f>
        <v>1.4999999999999999E-2</v>
      </c>
      <c r="G17" s="1862" t="s">
        <v>1156</v>
      </c>
      <c r="H17" s="1875"/>
      <c r="I17" s="1875"/>
      <c r="J17" s="1875"/>
      <c r="K17" s="1936"/>
    </row>
    <row r="18" spans="1:14" s="1835" customFormat="1" ht="13.5" customHeight="1">
      <c r="A18" s="1876" t="s">
        <v>1165</v>
      </c>
      <c r="B18" s="1877" t="s">
        <v>1166</v>
      </c>
      <c r="C18" s="1878">
        <f ca="1">SUM(C13:C17)</f>
        <v>27151</v>
      </c>
      <c r="D18" s="1879"/>
      <c r="E18" s="1880"/>
      <c r="F18" s="1880"/>
      <c r="G18" s="1881" t="s">
        <v>1205</v>
      </c>
      <c r="H18" s="1865"/>
      <c r="I18" s="1865"/>
      <c r="J18" s="1865"/>
      <c r="K18" s="1935"/>
    </row>
    <row r="19" spans="1:14" s="1835" customFormat="1" ht="13.5" customHeight="1">
      <c r="A19" s="1876" t="s">
        <v>1168</v>
      </c>
      <c r="B19" s="1877" t="s">
        <v>1206</v>
      </c>
      <c r="C19" s="1878">
        <f ca="1">ROUND(C18*F19,0)</f>
        <v>543</v>
      </c>
      <c r="D19" s="1880"/>
      <c r="E19" s="1880"/>
      <c r="F19" s="1882">
        <f>'数据-取费表'!B37</f>
        <v>0.02</v>
      </c>
      <c r="G19" s="1862" t="s">
        <v>1207</v>
      </c>
      <c r="H19" s="1865"/>
      <c r="I19" s="1865"/>
      <c r="J19" s="1865"/>
      <c r="K19" s="1935"/>
      <c r="L19" s="1836"/>
      <c r="M19" s="1836"/>
      <c r="N19" s="1836"/>
    </row>
    <row r="20" spans="1:14" s="1835" customFormat="1" ht="13.5" customHeight="1">
      <c r="A20" s="1876" t="s">
        <v>1171</v>
      </c>
      <c r="B20" s="1877" t="s">
        <v>1208</v>
      </c>
      <c r="C20" s="1883">
        <f>F20</f>
        <v>0.02</v>
      </c>
      <c r="D20" s="1884" t="s">
        <v>1209</v>
      </c>
      <c r="E20" s="1884"/>
      <c r="F20" s="1885">
        <f>'数据-取费表'!B38</f>
        <v>0.02</v>
      </c>
      <c r="G20" s="1881" t="s">
        <v>1210</v>
      </c>
      <c r="H20" s="1865"/>
      <c r="I20" s="1865"/>
      <c r="J20" s="1865"/>
      <c r="K20" s="1935"/>
      <c r="L20" s="1836"/>
      <c r="M20" s="1836"/>
      <c r="N20" s="1836"/>
    </row>
    <row r="21" spans="1:14" s="1836" customFormat="1" ht="13.5" customHeight="1">
      <c r="A21" s="1876" t="s">
        <v>1176</v>
      </c>
      <c r="B21" s="1879" t="s">
        <v>1211</v>
      </c>
      <c r="C21" s="1886">
        <f ca="1">C22</f>
        <v>1315</v>
      </c>
      <c r="D21" s="1887">
        <f ca="1">C23</f>
        <v>1E-3</v>
      </c>
      <c r="E21" s="1884" t="s">
        <v>1212</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1213</v>
      </c>
    </row>
    <row r="22" spans="1:14" s="1837" customFormat="1" ht="13.5" customHeight="1">
      <c r="A22" s="1866" t="s">
        <v>886</v>
      </c>
      <c r="B22" s="1889" t="s">
        <v>1214</v>
      </c>
      <c r="C22" s="1890">
        <f ca="1">ROUND(IF('数据-取费表'!B22&lt;=1,(C18+C19)*F21*'数据-取费表'!B20/2,(C18+C19)*(POWER((1+F21),'数据-取费表'!B20/2)-1)),0)</f>
        <v>1315</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1154</v>
      </c>
      <c r="B23" s="1889" t="s">
        <v>1215</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1179</v>
      </c>
      <c r="B24" s="1896" t="s">
        <v>1197</v>
      </c>
      <c r="C24" s="1897">
        <f ca="1">C25</f>
        <v>3877</v>
      </c>
      <c r="D24" s="1898">
        <f ca="1">C26</f>
        <v>2.8E-3</v>
      </c>
      <c r="E24" s="1884" t="s">
        <v>1212</v>
      </c>
      <c r="F24" s="1815">
        <f ca="1">IF(B1="",'数据-取费表'!Q16,INDIRECT("'数据-取费表'!q"&amp;$K$1))</f>
        <v>0.14000000000000001</v>
      </c>
      <c r="G24" s="1862"/>
      <c r="H24" s="1865"/>
      <c r="I24" s="1865"/>
      <c r="J24" s="1865"/>
      <c r="K24" s="1935"/>
    </row>
    <row r="25" spans="1:14" s="1837" customFormat="1" ht="13.5" customHeight="1">
      <c r="A25" s="1866" t="s">
        <v>886</v>
      </c>
      <c r="B25" s="1889" t="s">
        <v>1216</v>
      </c>
      <c r="C25" s="182">
        <f ca="1">ROUND((C18+C19)*F24,0)</f>
        <v>3877</v>
      </c>
      <c r="D25" s="1891"/>
      <c r="E25" s="1892"/>
      <c r="F25" s="1899"/>
      <c r="G25" s="1900" t="s">
        <v>1217</v>
      </c>
      <c r="H25" s="1875"/>
      <c r="I25" s="1875"/>
      <c r="J25" s="1875"/>
      <c r="K25" s="1936"/>
    </row>
    <row r="26" spans="1:14" s="1837" customFormat="1" ht="13.5" customHeight="1">
      <c r="A26" s="1866" t="s">
        <v>1154</v>
      </c>
      <c r="B26" s="1889" t="s">
        <v>1218</v>
      </c>
      <c r="C26" s="183">
        <f ca="1">ROUND(F20*F24,4)</f>
        <v>2.8E-3</v>
      </c>
      <c r="D26" s="1891"/>
      <c r="E26" s="1901"/>
      <c r="F26" s="1899"/>
      <c r="G26" s="1900" t="s">
        <v>1219</v>
      </c>
      <c r="H26" s="1875"/>
      <c r="I26" s="1875"/>
      <c r="J26" s="1875"/>
      <c r="K26" s="1936"/>
    </row>
    <row r="27" spans="1:14" s="1837" customFormat="1" ht="13.5" customHeight="1">
      <c r="A27" s="1902" t="s">
        <v>920</v>
      </c>
      <c r="B27" s="1877" t="s">
        <v>1191</v>
      </c>
      <c r="C27" s="1903">
        <f>ROUND(F27/(1+'数据-取费表'!C42),4)</f>
        <v>5.2400000000000002E-2</v>
      </c>
      <c r="D27" s="1880" t="s">
        <v>1212</v>
      </c>
      <c r="E27" s="1880"/>
      <c r="F27" s="1882">
        <f>'数据-取费表'!B41</f>
        <v>5.5000000000000007E-2</v>
      </c>
      <c r="G27" s="1904" t="s">
        <v>1220</v>
      </c>
      <c r="H27" s="1865"/>
      <c r="I27" s="1865"/>
      <c r="J27" s="1865"/>
      <c r="K27" s="1935"/>
    </row>
    <row r="28" spans="1:14" s="1836" customFormat="1" ht="13.5" customHeight="1">
      <c r="A28" s="1902" t="s">
        <v>1221</v>
      </c>
      <c r="B28" s="1905" t="s">
        <v>1222</v>
      </c>
      <c r="C28" s="1886">
        <f ca="1">ROUND((C18+C19+C21+C24)/(1-C20-D21-D24-C27),0)</f>
        <v>35599</v>
      </c>
      <c r="D28" s="1906"/>
      <c r="E28" s="1884"/>
      <c r="F28" s="1888"/>
      <c r="G28" s="1881" t="s">
        <v>1223</v>
      </c>
      <c r="H28" s="1865"/>
      <c r="I28" s="1865"/>
      <c r="J28" s="1865"/>
      <c r="K28" s="1935"/>
    </row>
    <row r="29" spans="1:14" s="1836" customFormat="1" ht="13.5" customHeight="1">
      <c r="A29" s="1902" t="s">
        <v>1224</v>
      </c>
      <c r="B29" s="1905" t="s">
        <v>1225</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1226</v>
      </c>
      <c r="C30" s="1912">
        <f ca="1">ROUND(C28*C29,0)</f>
        <v>0</v>
      </c>
      <c r="D30" s="1908"/>
      <c r="E30" s="1913"/>
      <c r="F30" s="1914"/>
      <c r="G30" s="1915" t="s">
        <v>1227</v>
      </c>
      <c r="H30" s="1916"/>
      <c r="I30" s="1916"/>
      <c r="J30" s="1865"/>
      <c r="K30" s="1935"/>
    </row>
    <row r="31" spans="1:14" s="1838" customFormat="1" ht="13.5" customHeight="1">
      <c r="A31" s="1917" t="s">
        <v>1228</v>
      </c>
      <c r="B31" s="1918"/>
      <c r="C31" s="1919">
        <f>ROUND(C6*F31/(1+'数据-取费表'!C42),0)</f>
        <v>0</v>
      </c>
      <c r="D31" s="1920"/>
      <c r="E31" s="1920"/>
      <c r="F31" s="1921">
        <f>'数据-取费表'!B41</f>
        <v>5.5000000000000007E-2</v>
      </c>
      <c r="G31" s="1922"/>
      <c r="H31" s="1922"/>
      <c r="I31" s="1922"/>
      <c r="J31" s="1938"/>
      <c r="K31" s="1939"/>
    </row>
    <row r="32" spans="1:14" s="742" customFormat="1" ht="13.5" customHeight="1">
      <c r="A32" s="1923" t="s">
        <v>1229</v>
      </c>
      <c r="B32" s="1924"/>
      <c r="C32" s="1925">
        <f ca="1">IF('数据-取费表'!B20&lt;=1,(C6-C30-C31)/(1+F21*'数据-取费表'!B20+F24)/(1+'数据-取费表'!B48+'数据-取费表'!B49),(C6-C30-C31)/(1+(POWER((1+F21),'数据-取费表'!B20)-1)+F24)/(1+'数据-取费表'!B48+'数据-取费表'!B49))</f>
        <v>0</v>
      </c>
      <c r="D32" s="1924"/>
      <c r="E32" s="1924"/>
      <c r="F32" s="1924"/>
      <c r="G32" s="1926" t="s">
        <v>1230</v>
      </c>
      <c r="H32" s="1924"/>
      <c r="I32" s="1924"/>
      <c r="J32" s="1924"/>
      <c r="K32" s="1940"/>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1231</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86" t="s">
        <v>931</v>
      </c>
      <c r="D6" s="3387"/>
      <c r="E6" s="3397" t="s">
        <v>932</v>
      </c>
      <c r="F6" s="3398"/>
      <c r="G6" s="3386" t="s">
        <v>933</v>
      </c>
      <c r="H6" s="3387"/>
      <c r="I6" s="3386" t="s">
        <v>934</v>
      </c>
      <c r="J6" s="3387"/>
      <c r="K6" s="376" t="s">
        <v>935</v>
      </c>
      <c r="L6" s="377"/>
      <c r="M6" s="378"/>
      <c r="N6" s="378"/>
      <c r="O6" s="378"/>
      <c r="P6" s="3356" t="s">
        <v>936</v>
      </c>
      <c r="Q6" s="3357"/>
      <c r="R6" s="3362" t="s">
        <v>932</v>
      </c>
      <c r="S6" s="3363"/>
      <c r="T6" s="3362" t="s">
        <v>933</v>
      </c>
      <c r="U6" s="3363"/>
      <c r="V6" s="3368" t="s">
        <v>934</v>
      </c>
      <c r="W6" s="3368"/>
      <c r="X6" s="443"/>
      <c r="Y6" s="3362" t="s">
        <v>936</v>
      </c>
      <c r="Z6" s="3363"/>
      <c r="AA6" s="3349" t="s">
        <v>932</v>
      </c>
      <c r="AB6" s="3350" t="s">
        <v>933</v>
      </c>
      <c r="AC6" s="3349" t="s">
        <v>934</v>
      </c>
    </row>
    <row r="7" spans="1:29" ht="15">
      <c r="A7" s="216"/>
      <c r="B7" s="217"/>
      <c r="C7" s="3388" t="s">
        <v>937</v>
      </c>
      <c r="D7" s="3389"/>
      <c r="E7" s="3399" t="s">
        <v>1232</v>
      </c>
      <c r="F7" s="3400"/>
      <c r="G7" s="3388" t="s">
        <v>1233</v>
      </c>
      <c r="H7" s="3389"/>
      <c r="I7" s="3388" t="s">
        <v>1234</v>
      </c>
      <c r="J7" s="3389"/>
      <c r="K7" s="376"/>
      <c r="L7" s="377"/>
      <c r="M7" s="378"/>
      <c r="N7" s="378"/>
      <c r="O7" s="378"/>
      <c r="P7" s="3358"/>
      <c r="Q7" s="3359"/>
      <c r="R7" s="3364"/>
      <c r="S7" s="3365"/>
      <c r="T7" s="3364"/>
      <c r="U7" s="3365"/>
      <c r="V7" s="3368"/>
      <c r="W7" s="3368"/>
      <c r="X7" s="443"/>
      <c r="Y7" s="3364"/>
      <c r="Z7" s="3365"/>
      <c r="AA7" s="3350"/>
      <c r="AB7" s="3350"/>
      <c r="AC7" s="3350"/>
    </row>
    <row r="8" spans="1:29" ht="15">
      <c r="A8" s="218"/>
      <c r="B8" s="219"/>
      <c r="C8" s="3383" t="s">
        <v>939</v>
      </c>
      <c r="D8" s="3384"/>
      <c r="E8" s="3395" t="s">
        <v>939</v>
      </c>
      <c r="F8" s="3396"/>
      <c r="G8" s="3383" t="s">
        <v>939</v>
      </c>
      <c r="H8" s="3384"/>
      <c r="I8" s="3383" t="s">
        <v>939</v>
      </c>
      <c r="J8" s="3384"/>
      <c r="K8" s="376" t="s">
        <v>940</v>
      </c>
      <c r="L8" s="377"/>
      <c r="M8" s="378"/>
      <c r="N8" s="378"/>
      <c r="O8" s="378"/>
      <c r="P8" s="3360"/>
      <c r="Q8" s="3361"/>
      <c r="R8" s="3364"/>
      <c r="S8" s="3365"/>
      <c r="T8" s="3366"/>
      <c r="U8" s="3367"/>
      <c r="V8" s="3368"/>
      <c r="W8" s="3368"/>
      <c r="X8" s="443"/>
      <c r="Y8" s="3366"/>
      <c r="Z8" s="3367"/>
      <c r="AA8" s="3351"/>
      <c r="AB8" s="3351"/>
      <c r="AC8" s="3351"/>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9" t="s">
        <v>942</v>
      </c>
      <c r="Q9" s="3385"/>
      <c r="R9" s="444" t="s">
        <v>943</v>
      </c>
      <c r="S9" s="445">
        <f t="shared" ref="S9:S17" si="0">F9</f>
        <v>0</v>
      </c>
      <c r="T9" s="444" t="s">
        <v>943</v>
      </c>
      <c r="U9" s="445">
        <f t="shared" ref="U9:U17" si="1">H9</f>
        <v>0</v>
      </c>
      <c r="V9" s="444" t="s">
        <v>943</v>
      </c>
      <c r="W9" s="445">
        <f t="shared" ref="W9:W17" si="2">J9</f>
        <v>0</v>
      </c>
      <c r="X9" s="446"/>
      <c r="Y9" s="3369" t="s">
        <v>942</v>
      </c>
      <c r="Z9" s="3370"/>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9" t="s">
        <v>948</v>
      </c>
      <c r="Q10" s="3370"/>
      <c r="R10" s="444" t="s">
        <v>943</v>
      </c>
      <c r="S10" s="445">
        <f t="shared" si="0"/>
        <v>0</v>
      </c>
      <c r="T10" s="444" t="s">
        <v>943</v>
      </c>
      <c r="U10" s="445">
        <f t="shared" si="1"/>
        <v>0</v>
      </c>
      <c r="V10" s="444" t="s">
        <v>943</v>
      </c>
      <c r="W10" s="445">
        <f t="shared" si="2"/>
        <v>0</v>
      </c>
      <c r="X10" s="446"/>
      <c r="Y10" s="3369" t="s">
        <v>948</v>
      </c>
      <c r="Z10" s="3370"/>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72" t="s">
        <v>950</v>
      </c>
      <c r="Q11" s="447" t="str">
        <f t="shared" ref="Q11:Q17" si="6">B11</f>
        <v>用途</v>
      </c>
      <c r="R11" s="444" t="s">
        <v>943</v>
      </c>
      <c r="S11" s="445">
        <f t="shared" si="0"/>
        <v>100</v>
      </c>
      <c r="T11" s="444" t="s">
        <v>943</v>
      </c>
      <c r="U11" s="445">
        <f t="shared" si="1"/>
        <v>100</v>
      </c>
      <c r="V11" s="444" t="s">
        <v>943</v>
      </c>
      <c r="W11" s="445">
        <f t="shared" si="2"/>
        <v>100</v>
      </c>
      <c r="X11" s="446"/>
      <c r="Y11" s="3282"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72"/>
      <c r="Q12" s="447" t="str">
        <f t="shared" si="6"/>
        <v>土地使用年限（年）</v>
      </c>
      <c r="R12" s="444" t="s">
        <v>943</v>
      </c>
      <c r="S12" s="445">
        <f t="shared" si="0"/>
        <v>100</v>
      </c>
      <c r="T12" s="444" t="s">
        <v>943</v>
      </c>
      <c r="U12" s="445">
        <f t="shared" si="1"/>
        <v>100</v>
      </c>
      <c r="V12" s="444" t="s">
        <v>943</v>
      </c>
      <c r="W12" s="445">
        <f t="shared" si="2"/>
        <v>100</v>
      </c>
      <c r="X12" s="446"/>
      <c r="Y12" s="3282"/>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72"/>
      <c r="Q13" s="447" t="str">
        <f t="shared" si="6"/>
        <v>容积率</v>
      </c>
      <c r="R13" s="444" t="s">
        <v>943</v>
      </c>
      <c r="S13" s="445" t="e">
        <f t="shared" si="0"/>
        <v>#N/A</v>
      </c>
      <c r="T13" s="444" t="s">
        <v>943</v>
      </c>
      <c r="U13" s="445" t="e">
        <f t="shared" si="1"/>
        <v>#N/A</v>
      </c>
      <c r="V13" s="444" t="s">
        <v>943</v>
      </c>
      <c r="W13" s="445" t="e">
        <f t="shared" si="2"/>
        <v>#N/A</v>
      </c>
      <c r="X13" s="446"/>
      <c r="Y13" s="328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72"/>
      <c r="Q14" s="447">
        <f t="shared" si="6"/>
        <v>111</v>
      </c>
      <c r="R14" s="444" t="s">
        <v>943</v>
      </c>
      <c r="S14" s="445">
        <f t="shared" si="0"/>
        <v>100</v>
      </c>
      <c r="T14" s="444" t="s">
        <v>943</v>
      </c>
      <c r="U14" s="445">
        <f t="shared" si="1"/>
        <v>100</v>
      </c>
      <c r="V14" s="444" t="s">
        <v>943</v>
      </c>
      <c r="W14" s="445">
        <f t="shared" si="2"/>
        <v>100</v>
      </c>
      <c r="X14" s="446"/>
      <c r="Y14" s="328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72"/>
      <c r="Q15" s="447">
        <f t="shared" si="6"/>
        <v>111</v>
      </c>
      <c r="R15" s="444" t="s">
        <v>943</v>
      </c>
      <c r="S15" s="445">
        <f t="shared" si="0"/>
        <v>100</v>
      </c>
      <c r="T15" s="444" t="s">
        <v>943</v>
      </c>
      <c r="U15" s="445">
        <f t="shared" si="1"/>
        <v>100</v>
      </c>
      <c r="V15" s="444" t="s">
        <v>943</v>
      </c>
      <c r="W15" s="445">
        <f t="shared" si="2"/>
        <v>100</v>
      </c>
      <c r="X15" s="446"/>
      <c r="Y15" s="328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72"/>
      <c r="Q16" s="447">
        <f t="shared" si="6"/>
        <v>111</v>
      </c>
      <c r="R16" s="444" t="s">
        <v>943</v>
      </c>
      <c r="S16" s="445">
        <f t="shared" si="0"/>
        <v>100</v>
      </c>
      <c r="T16" s="444" t="s">
        <v>943</v>
      </c>
      <c r="U16" s="445">
        <f t="shared" si="1"/>
        <v>100</v>
      </c>
      <c r="V16" s="444" t="s">
        <v>943</v>
      </c>
      <c r="W16" s="445">
        <f t="shared" si="2"/>
        <v>100</v>
      </c>
      <c r="X16" s="446"/>
      <c r="Y16" s="3282"/>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73" t="s">
        <v>957</v>
      </c>
      <c r="Q17" s="383" t="str">
        <f t="shared" si="6"/>
        <v>产业集聚程度</v>
      </c>
      <c r="R17" s="448" t="s">
        <v>943</v>
      </c>
      <c r="S17" s="449">
        <f t="shared" si="0"/>
        <v>100</v>
      </c>
      <c r="T17" s="448" t="s">
        <v>943</v>
      </c>
      <c r="U17" s="449">
        <f t="shared" si="1"/>
        <v>100</v>
      </c>
      <c r="V17" s="448" t="s">
        <v>943</v>
      </c>
      <c r="W17" s="449">
        <f t="shared" si="2"/>
        <v>100</v>
      </c>
      <c r="X17" s="443"/>
      <c r="Y17" s="3373"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74"/>
      <c r="Q18" s="383"/>
      <c r="R18" s="448"/>
      <c r="S18" s="449"/>
      <c r="T18" s="448"/>
      <c r="U18" s="449"/>
      <c r="V18" s="448"/>
      <c r="W18" s="449"/>
      <c r="X18" s="443"/>
      <c r="Y18" s="3374"/>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74"/>
      <c r="Q19" s="383" t="str">
        <f>B19</f>
        <v>交通便捷度</v>
      </c>
      <c r="R19" s="448" t="s">
        <v>943</v>
      </c>
      <c r="S19" s="449">
        <f>F19</f>
        <v>100</v>
      </c>
      <c r="T19" s="448" t="s">
        <v>943</v>
      </c>
      <c r="U19" s="449">
        <f>H19</f>
        <v>100</v>
      </c>
      <c r="V19" s="448" t="s">
        <v>943</v>
      </c>
      <c r="W19" s="449">
        <f>J19</f>
        <v>100</v>
      </c>
      <c r="X19" s="443"/>
      <c r="Y19" s="3374"/>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74"/>
      <c r="Q20" s="383"/>
      <c r="R20" s="448"/>
      <c r="S20" s="449"/>
      <c r="T20" s="448"/>
      <c r="U20" s="449"/>
      <c r="V20" s="448"/>
      <c r="W20" s="449"/>
      <c r="X20" s="443"/>
      <c r="Y20" s="3374"/>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74"/>
      <c r="Q21" s="383" t="str">
        <f t="shared" ref="Q21:Q36" si="8">B21</f>
        <v>区域土地利用方向</v>
      </c>
      <c r="R21" s="448" t="s">
        <v>943</v>
      </c>
      <c r="S21" s="449">
        <f>F21</f>
        <v>100</v>
      </c>
      <c r="T21" s="448" t="s">
        <v>943</v>
      </c>
      <c r="U21" s="449">
        <f>H21</f>
        <v>100</v>
      </c>
      <c r="V21" s="448" t="s">
        <v>943</v>
      </c>
      <c r="W21" s="449">
        <f>J21</f>
        <v>100</v>
      </c>
      <c r="X21" s="443"/>
      <c r="Y21" s="3374"/>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74"/>
      <c r="Q22" s="383"/>
      <c r="R22" s="448"/>
      <c r="S22" s="449"/>
      <c r="T22" s="448"/>
      <c r="U22" s="449"/>
      <c r="V22" s="448"/>
      <c r="W22" s="449"/>
      <c r="X22" s="443"/>
      <c r="Y22" s="3374"/>
      <c r="Z22" s="442"/>
      <c r="AA22" s="454"/>
      <c r="AB22" s="454"/>
      <c r="AC22" s="454"/>
    </row>
    <row r="23" spans="1:29" ht="71.25">
      <c r="A23" s="216"/>
      <c r="B23" s="539" t="s">
        <v>1235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74"/>
      <c r="Q23" s="383" t="str">
        <f t="shared" si="8"/>
        <v>环境状况</v>
      </c>
      <c r="R23" s="448" t="s">
        <v>943</v>
      </c>
      <c r="S23" s="449">
        <f>F23</f>
        <v>100</v>
      </c>
      <c r="T23" s="448" t="s">
        <v>943</v>
      </c>
      <c r="U23" s="449">
        <f>H23</f>
        <v>100</v>
      </c>
      <c r="V23" s="448" t="s">
        <v>943</v>
      </c>
      <c r="W23" s="449">
        <f>J23</f>
        <v>100</v>
      </c>
      <c r="X23" s="443"/>
      <c r="Y23" s="3374"/>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74"/>
      <c r="Q24" s="383"/>
      <c r="R24" s="448"/>
      <c r="S24" s="449"/>
      <c r="T24" s="448"/>
      <c r="U24" s="449"/>
      <c r="V24" s="448"/>
      <c r="W24" s="449"/>
      <c r="X24" s="443"/>
      <c r="Y24" s="3374"/>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74"/>
      <c r="Q25" s="447" t="str">
        <f t="shared" si="8"/>
        <v>公共配套设施</v>
      </c>
      <c r="R25" s="444" t="s">
        <v>943</v>
      </c>
      <c r="S25" s="445">
        <f>F25</f>
        <v>100</v>
      </c>
      <c r="T25" s="444" t="s">
        <v>943</v>
      </c>
      <c r="U25" s="445">
        <f>H25</f>
        <v>100</v>
      </c>
      <c r="V25" s="444" t="s">
        <v>943</v>
      </c>
      <c r="W25" s="445">
        <f>J25</f>
        <v>100</v>
      </c>
      <c r="X25" s="446"/>
      <c r="Y25" s="3374"/>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74"/>
      <c r="Q26" s="447"/>
      <c r="R26" s="444"/>
      <c r="S26" s="445"/>
      <c r="T26" s="444"/>
      <c r="U26" s="445"/>
      <c r="V26" s="444"/>
      <c r="W26" s="445"/>
      <c r="X26" s="446"/>
      <c r="Y26" s="3374"/>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74"/>
      <c r="Q27" s="447" t="str">
        <f t="shared" ref="Q27" si="9">B27</f>
        <v>基础设施水平</v>
      </c>
      <c r="R27" s="444" t="s">
        <v>943</v>
      </c>
      <c r="S27" s="445">
        <f>F27</f>
        <v>100</v>
      </c>
      <c r="T27" s="444" t="s">
        <v>943</v>
      </c>
      <c r="U27" s="445">
        <f>H27</f>
        <v>100</v>
      </c>
      <c r="V27" s="444" t="s">
        <v>943</v>
      </c>
      <c r="W27" s="445">
        <f>J27</f>
        <v>100</v>
      </c>
      <c r="X27" s="446"/>
      <c r="Y27" s="3374"/>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74"/>
      <c r="Q28" s="447"/>
      <c r="R28" s="444"/>
      <c r="S28" s="445"/>
      <c r="T28" s="444"/>
      <c r="U28" s="445"/>
      <c r="V28" s="444"/>
      <c r="W28" s="445"/>
      <c r="X28" s="446"/>
      <c r="Y28" s="3374"/>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74"/>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74"/>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74"/>
      <c r="Q30" s="383" t="str">
        <f t="shared" si="8"/>
        <v>毗邻道路的类型与等级</v>
      </c>
      <c r="R30" s="448" t="s">
        <v>943</v>
      </c>
      <c r="S30" s="449">
        <f t="shared" si="10"/>
        <v>100</v>
      </c>
      <c r="T30" s="448" t="s">
        <v>943</v>
      </c>
      <c r="U30" s="449">
        <f t="shared" si="11"/>
        <v>100</v>
      </c>
      <c r="V30" s="448" t="s">
        <v>943</v>
      </c>
      <c r="W30" s="449">
        <f t="shared" si="12"/>
        <v>100</v>
      </c>
      <c r="X30" s="443"/>
      <c r="Y30" s="3374"/>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4"/>
      <c r="Q31" s="383"/>
      <c r="R31" s="448"/>
      <c r="S31" s="449"/>
      <c r="T31" s="448"/>
      <c r="U31" s="449"/>
      <c r="V31" s="448"/>
      <c r="W31" s="449"/>
      <c r="X31" s="443"/>
      <c r="Y31" s="3374"/>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74"/>
      <c r="Q32" s="383" t="str">
        <f t="shared" si="8"/>
        <v>土地级别</v>
      </c>
      <c r="R32" s="448" t="s">
        <v>943</v>
      </c>
      <c r="S32" s="449">
        <f t="shared" si="10"/>
        <v>100</v>
      </c>
      <c r="T32" s="448" t="s">
        <v>943</v>
      </c>
      <c r="U32" s="449">
        <f t="shared" si="11"/>
        <v>100</v>
      </c>
      <c r="V32" s="448" t="s">
        <v>943</v>
      </c>
      <c r="W32" s="449">
        <f t="shared" si="12"/>
        <v>100</v>
      </c>
      <c r="X32" s="443"/>
      <c r="Y32" s="3374"/>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74"/>
      <c r="Q33" s="383">
        <f t="shared" si="8"/>
        <v>111</v>
      </c>
      <c r="R33" s="448" t="s">
        <v>943</v>
      </c>
      <c r="S33" s="449">
        <f t="shared" si="10"/>
        <v>100</v>
      </c>
      <c r="T33" s="448" t="s">
        <v>943</v>
      </c>
      <c r="U33" s="449">
        <f t="shared" si="11"/>
        <v>100</v>
      </c>
      <c r="V33" s="448" t="s">
        <v>943</v>
      </c>
      <c r="W33" s="449">
        <f t="shared" si="12"/>
        <v>100</v>
      </c>
      <c r="X33" s="443"/>
      <c r="Y33" s="3374"/>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75" t="s">
        <v>965</v>
      </c>
      <c r="Q34" s="383">
        <f t="shared" si="8"/>
        <v>111</v>
      </c>
      <c r="R34" s="448" t="s">
        <v>943</v>
      </c>
      <c r="S34" s="449">
        <f t="shared" si="10"/>
        <v>100</v>
      </c>
      <c r="T34" s="448" t="s">
        <v>943</v>
      </c>
      <c r="U34" s="449">
        <f t="shared" si="11"/>
        <v>100</v>
      </c>
      <c r="V34" s="448" t="s">
        <v>943</v>
      </c>
      <c r="W34" s="449">
        <f t="shared" si="12"/>
        <v>100</v>
      </c>
      <c r="X34" s="443"/>
      <c r="Y34" s="3376"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76"/>
      <c r="Q35" s="383">
        <f t="shared" si="8"/>
        <v>111</v>
      </c>
      <c r="R35" s="451" t="s">
        <v>943</v>
      </c>
      <c r="S35" s="452">
        <f t="shared" si="10"/>
        <v>100</v>
      </c>
      <c r="T35" s="451" t="s">
        <v>943</v>
      </c>
      <c r="U35" s="452">
        <f t="shared" si="11"/>
        <v>100</v>
      </c>
      <c r="V35" s="451" t="s">
        <v>943</v>
      </c>
      <c r="W35" s="452">
        <f t="shared" si="12"/>
        <v>100</v>
      </c>
      <c r="X35" s="453"/>
      <c r="Y35" s="3376"/>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76"/>
      <c r="Q36" s="383" t="str">
        <f t="shared" si="8"/>
        <v>宗地面积</v>
      </c>
      <c r="R36" s="448" t="s">
        <v>943</v>
      </c>
      <c r="S36" s="449" t="e">
        <f t="shared" si="10"/>
        <v>#N/A</v>
      </c>
      <c r="T36" s="448" t="s">
        <v>943</v>
      </c>
      <c r="U36" s="449" t="e">
        <f t="shared" si="11"/>
        <v>#N/A</v>
      </c>
      <c r="V36" s="448" t="s">
        <v>943</v>
      </c>
      <c r="W36" s="449" t="e">
        <f t="shared" si="12"/>
        <v>#N/A</v>
      </c>
      <c r="X36" s="443"/>
      <c r="Y36" s="3376"/>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76"/>
      <c r="Q37" s="383" t="str">
        <f t="shared" ref="Q37:Q42" si="14">B37</f>
        <v>宗地形状</v>
      </c>
      <c r="R37" s="448" t="s">
        <v>943</v>
      </c>
      <c r="S37" s="449">
        <f t="shared" si="10"/>
        <v>100</v>
      </c>
      <c r="T37" s="448" t="s">
        <v>943</v>
      </c>
      <c r="U37" s="449">
        <f t="shared" si="11"/>
        <v>100</v>
      </c>
      <c r="V37" s="448" t="s">
        <v>943</v>
      </c>
      <c r="W37" s="449">
        <f t="shared" si="12"/>
        <v>100</v>
      </c>
      <c r="X37" s="443"/>
      <c r="Y37" s="3376"/>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76"/>
      <c r="Q38" s="383" t="str">
        <f t="shared" si="14"/>
        <v>宗地开发程度</v>
      </c>
      <c r="R38" s="444" t="s">
        <v>943</v>
      </c>
      <c r="S38" s="445">
        <f t="shared" si="10"/>
        <v>100</v>
      </c>
      <c r="T38" s="444" t="s">
        <v>943</v>
      </c>
      <c r="U38" s="445">
        <f t="shared" si="11"/>
        <v>100</v>
      </c>
      <c r="V38" s="444" t="s">
        <v>943</v>
      </c>
      <c r="W38" s="445">
        <f t="shared" si="12"/>
        <v>100</v>
      </c>
      <c r="X38" s="446"/>
      <c r="Y38" s="3376"/>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6" t="s">
        <v>965</v>
      </c>
      <c r="Q39" s="383" t="str">
        <f t="shared" si="14"/>
        <v>工程地质条件</v>
      </c>
      <c r="R39" s="448" t="s">
        <v>943</v>
      </c>
      <c r="S39" s="449">
        <f t="shared" si="10"/>
        <v>100</v>
      </c>
      <c r="T39" s="448" t="s">
        <v>943</v>
      </c>
      <c r="U39" s="449">
        <f t="shared" si="11"/>
        <v>100</v>
      </c>
      <c r="V39" s="448" t="s">
        <v>943</v>
      </c>
      <c r="W39" s="449">
        <f t="shared" si="12"/>
        <v>100</v>
      </c>
      <c r="X39" s="443"/>
      <c r="Y39" s="3376"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76"/>
      <c r="Q40" s="383">
        <f t="shared" si="14"/>
        <v>111</v>
      </c>
      <c r="R40" s="448" t="s">
        <v>943</v>
      </c>
      <c r="S40" s="449">
        <f t="shared" si="10"/>
        <v>100</v>
      </c>
      <c r="T40" s="448" t="s">
        <v>943</v>
      </c>
      <c r="U40" s="449">
        <f t="shared" si="11"/>
        <v>100</v>
      </c>
      <c r="V40" s="448" t="s">
        <v>943</v>
      </c>
      <c r="W40" s="449">
        <f t="shared" si="12"/>
        <v>100</v>
      </c>
      <c r="X40" s="443"/>
      <c r="Y40" s="3376"/>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76"/>
      <c r="Q41" s="383">
        <f t="shared" si="14"/>
        <v>111</v>
      </c>
      <c r="R41" s="448" t="s">
        <v>943</v>
      </c>
      <c r="S41" s="449">
        <f t="shared" si="10"/>
        <v>100</v>
      </c>
      <c r="T41" s="448" t="s">
        <v>943</v>
      </c>
      <c r="U41" s="449">
        <f t="shared" si="11"/>
        <v>100</v>
      </c>
      <c r="V41" s="448" t="s">
        <v>943</v>
      </c>
      <c r="W41" s="449">
        <f t="shared" si="12"/>
        <v>100</v>
      </c>
      <c r="X41" s="443"/>
      <c r="Y41" s="3376"/>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76"/>
      <c r="Q42" s="383">
        <f t="shared" si="14"/>
        <v>111</v>
      </c>
      <c r="R42" s="451" t="s">
        <v>943</v>
      </c>
      <c r="S42" s="452">
        <f t="shared" si="10"/>
        <v>100</v>
      </c>
      <c r="T42" s="451" t="s">
        <v>943</v>
      </c>
      <c r="U42" s="452">
        <f t="shared" si="11"/>
        <v>100</v>
      </c>
      <c r="V42" s="451" t="s">
        <v>943</v>
      </c>
      <c r="W42" s="452">
        <f t="shared" si="12"/>
        <v>100</v>
      </c>
      <c r="X42" s="453"/>
      <c r="Y42" s="3376"/>
      <c r="Z42" s="465">
        <f t="shared" si="13"/>
        <v>111</v>
      </c>
      <c r="AA42" s="454">
        <f t="shared" si="3"/>
        <v>1</v>
      </c>
      <c r="AB42" s="454">
        <f t="shared" si="4"/>
        <v>1</v>
      </c>
      <c r="AC42" s="454">
        <f t="shared" si="5"/>
        <v>1</v>
      </c>
    </row>
    <row r="43" spans="1:29" ht="15">
      <c r="A43" s="303" t="s">
        <v>972</v>
      </c>
      <c r="B43" s="1754" t="s">
        <v>1236</v>
      </c>
      <c r="C43" s="1755" t="s">
        <v>138</v>
      </c>
      <c r="D43" s="1756"/>
      <c r="E43" s="1757"/>
      <c r="F43" s="1758"/>
      <c r="G43" s="1759"/>
      <c r="H43" s="1760"/>
      <c r="I43" s="1757"/>
      <c r="J43" s="1760"/>
      <c r="K43" s="1800"/>
      <c r="L43" s="398"/>
      <c r="M43" s="378"/>
      <c r="N43" s="378"/>
      <c r="O43" s="319"/>
      <c r="P43" s="3372" t="str">
        <f>A43</f>
        <v>成交单价</v>
      </c>
      <c r="Q43" s="3372"/>
      <c r="R43" s="3368">
        <f>E43</f>
        <v>0</v>
      </c>
      <c r="S43" s="3368"/>
      <c r="T43" s="3368">
        <f>G43</f>
        <v>0</v>
      </c>
      <c r="U43" s="3368"/>
      <c r="V43" s="3368">
        <f>I43</f>
        <v>0</v>
      </c>
      <c r="W43" s="3368"/>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72" t="str">
        <f>A44</f>
        <v>比较价格（元/平方米）</v>
      </c>
      <c r="Q44" s="3372"/>
      <c r="R44" s="3377" t="e">
        <f>ROUND(PRODUCT(R43,AA9:AA42),0)</f>
        <v>#DIV/0!</v>
      </c>
      <c r="S44" s="3377"/>
      <c r="T44" s="3377" t="e">
        <f>ROUND(PRODUCT(T43,AB9:AB42),0)</f>
        <v>#DIV/0!</v>
      </c>
      <c r="U44" s="3377"/>
      <c r="V44" s="3377" t="e">
        <f>ROUND(PRODUCT(V43,AC9:AC42),0)</f>
        <v>#DIV/0!</v>
      </c>
      <c r="W44" s="3377"/>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78" t="str">
        <f>A45</f>
        <v>估价对象XX用房的比较价格（楼面单价，元/平方米）</v>
      </c>
      <c r="Q45" s="3379"/>
      <c r="R45" s="3380" t="e">
        <f>ROUND(AVERAGE(R44:V44),0)</f>
        <v>#DIV/0!</v>
      </c>
      <c r="S45" s="3380"/>
      <c r="T45" s="3380"/>
      <c r="U45" s="3380"/>
      <c r="V45" s="3380"/>
      <c r="W45" s="338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390" t="s">
        <v>984</v>
      </c>
      <c r="H52" s="3391"/>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95256.13</v>
      </c>
      <c r="F53" s="1777" t="e">
        <f t="shared" ref="F53:F62" si="15">ROUND(B53*E53/10000,0)</f>
        <v>#DIV/0!</v>
      </c>
      <c r="G53" s="3392"/>
      <c r="H53" s="3393"/>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394"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394"/>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394"/>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394"/>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6911.06</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1237</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1238</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1239</v>
      </c>
      <c r="B1" s="1391"/>
      <c r="C1" s="1392" t="s">
        <v>385</v>
      </c>
      <c r="D1" s="1393">
        <f>SUM(D29:D30,D33:D39)</f>
        <v>0</v>
      </c>
      <c r="E1" s="1392" t="s">
        <v>388</v>
      </c>
      <c r="F1" s="1394"/>
      <c r="G1" s="1395"/>
      <c r="H1" s="1395"/>
      <c r="I1" s="1395"/>
      <c r="J1" s="1395"/>
      <c r="K1" s="1395"/>
      <c r="L1" s="1580" t="s">
        <v>1240</v>
      </c>
      <c r="M1" s="1581">
        <f>SUMPRODUCT((区片价!B5:B9=I2)*(区片价!C3:F3=E2)*(区片价!C5:F9))</f>
        <v>0</v>
      </c>
      <c r="N1" s="1582">
        <f>SUMPRODUCT((因素修正幅度!B5:B9=I2)*(因素修正幅度!C3:F3=E2)*(因素修正幅度!C5:F9))</f>
        <v>0</v>
      </c>
      <c r="O1" s="1395"/>
      <c r="P1" s="1395"/>
      <c r="Q1" s="1658"/>
      <c r="R1" s="1668" t="s">
        <v>1241</v>
      </c>
      <c r="S1" s="1668" t="s">
        <v>1242</v>
      </c>
      <c r="T1" s="1668" t="s">
        <v>1243</v>
      </c>
      <c r="U1" s="1668" t="s">
        <v>1244</v>
      </c>
      <c r="V1" s="1668" t="s">
        <v>628</v>
      </c>
      <c r="W1" s="1658"/>
      <c r="X1" s="1658"/>
      <c r="Y1" s="1658"/>
      <c r="Z1" s="1658"/>
      <c r="AA1" s="1658"/>
      <c r="AB1" s="1658"/>
      <c r="AC1" s="1679"/>
    </row>
    <row r="2" spans="1:39" ht="15.75">
      <c r="A2" s="1392" t="s">
        <v>1245</v>
      </c>
      <c r="B2" s="1396" t="e">
        <f>C26</f>
        <v>#DIV/0!</v>
      </c>
      <c r="C2" s="1397" t="s">
        <v>1173</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1246</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1247</v>
      </c>
      <c r="D3" s="1398" t="s">
        <v>1248</v>
      </c>
      <c r="E3" s="1402"/>
      <c r="F3" s="1403"/>
      <c r="G3" s="1404">
        <f>IF(F3="宗地容积率",'数据-汇总表'!I4,IF(F3="估价对象容积率",'数据-汇总表'!I6,'数据-汇总表'!I7))</f>
        <v>4</v>
      </c>
      <c r="H3" s="1405" t="s">
        <v>1249</v>
      </c>
      <c r="I3" s="1588">
        <v>8</v>
      </c>
      <c r="J3" s="1584" t="s">
        <v>1250</v>
      </c>
      <c r="K3" s="1584"/>
      <c r="L3" s="1585" t="s">
        <v>1251</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1252</v>
      </c>
      <c r="B4" s="1407" t="e">
        <f>ROUND(B2*10000/F1,0)</f>
        <v>#DIV/0!</v>
      </c>
      <c r="C4" s="1408" t="s">
        <v>1247</v>
      </c>
      <c r="D4" s="1408" t="e">
        <f>ROUND(B2/(F1/666.67),0)</f>
        <v>#DIV/0!</v>
      </c>
      <c r="E4" s="1408" t="s">
        <v>1253</v>
      </c>
      <c r="F4" s="1409"/>
      <c r="G4" s="1409"/>
      <c r="H4" s="1409"/>
      <c r="I4" s="1409"/>
      <c r="J4" s="1589"/>
      <c r="K4" s="1590"/>
      <c r="L4" s="1585" t="s">
        <v>1254</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1255</v>
      </c>
      <c r="C5" s="1412" t="e">
        <f>ROUND(IF(E2="商业",C6*C7+C16,(IF(E2="住宅",C6*C12+C16,C6+C16))),0)</f>
        <v>#DIV/0!</v>
      </c>
      <c r="D5" s="1413" t="e">
        <f>ROUND(C6+C16,0)</f>
        <v>#DIV/0!</v>
      </c>
      <c r="E5" s="1413"/>
      <c r="F5" s="1414"/>
      <c r="G5" s="1415"/>
      <c r="H5" s="1415"/>
      <c r="I5" s="1415"/>
      <c r="J5" s="1591"/>
      <c r="K5" s="1470"/>
      <c r="L5" s="1585" t="s">
        <v>1256</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1257</v>
      </c>
      <c r="B6" s="1417" t="s">
        <v>1255</v>
      </c>
      <c r="C6" s="1418">
        <f>SUMIF(L1:L12,基准地价!G2,M1:M12)</f>
        <v>0</v>
      </c>
      <c r="D6" s="1419" t="s">
        <v>1258</v>
      </c>
      <c r="E6" s="1420"/>
      <c r="F6" s="1420"/>
      <c r="G6" s="1421"/>
      <c r="H6" s="1421"/>
      <c r="I6" s="1421"/>
      <c r="J6" s="1593"/>
      <c r="K6" s="1453"/>
      <c r="L6" s="1585" t="s">
        <v>1259</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07" t="str">
        <f>IF(E2="商业",IF(C8="不临58条商业街","",2),"")</f>
        <v/>
      </c>
      <c r="B7" s="1422" t="s">
        <v>1260</v>
      </c>
      <c r="C7" s="1423" t="e">
        <f>IF(C8="不临58条商业街",1,ROUND(1+(1.6*E8+1.2*E9+0.8*E10+0.4*E11)*C9,4))</f>
        <v>#DIV/0!</v>
      </c>
      <c r="D7" s="1424" t="s">
        <v>1261</v>
      </c>
      <c r="E7" s="1425"/>
      <c r="F7" s="1426"/>
      <c r="G7" s="1427"/>
      <c r="H7" s="1427"/>
      <c r="I7" s="1427"/>
      <c r="J7" s="1595"/>
      <c r="K7" s="1453"/>
      <c r="L7" s="1585" t="s">
        <v>1262</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1263</v>
      </c>
      <c r="X7" s="1672">
        <f>G2</f>
        <v>0</v>
      </c>
      <c r="Y7" s="1672" t="s">
        <v>1264</v>
      </c>
      <c r="Z7" s="1683">
        <f>G3</f>
        <v>4</v>
      </c>
      <c r="AA7" s="1675"/>
      <c r="AB7" s="1675"/>
      <c r="AC7" s="1676"/>
      <c r="AD7" s="1684"/>
      <c r="AE7" s="1684"/>
      <c r="AF7" s="1684"/>
      <c r="AG7" s="1684"/>
      <c r="AH7" s="1684"/>
      <c r="AI7" s="1684"/>
      <c r="AJ7" s="1692"/>
    </row>
    <row r="8" spans="1:39" ht="15">
      <c r="A8" s="3408"/>
      <c r="B8" s="1405" t="s">
        <v>1265</v>
      </c>
      <c r="C8" s="1428"/>
      <c r="D8" s="1429" t="s">
        <v>1266</v>
      </c>
      <c r="E8" s="1430" t="e">
        <f>ROUND(C11/E7,4)</f>
        <v>#DIV/0!</v>
      </c>
      <c r="F8" s="1431" t="s">
        <v>1267</v>
      </c>
      <c r="G8" s="1432"/>
      <c r="H8" s="1432"/>
      <c r="I8" s="1432"/>
      <c r="J8" s="1596"/>
      <c r="K8" s="1453"/>
      <c r="L8" s="1585" t="s">
        <v>1268</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401" t="s">
        <v>1269</v>
      </c>
      <c r="X8" s="3402"/>
      <c r="Y8" s="1519" t="s">
        <v>1270</v>
      </c>
      <c r="Z8" s="1519" t="s">
        <v>1271</v>
      </c>
      <c r="AA8" s="1519" t="s">
        <v>1272</v>
      </c>
      <c r="AB8" s="1519" t="s">
        <v>1273</v>
      </c>
      <c r="AC8" s="1519" t="s">
        <v>1274</v>
      </c>
      <c r="AD8" s="1519" t="s">
        <v>1275</v>
      </c>
      <c r="AE8" s="1519" t="s">
        <v>1276</v>
      </c>
      <c r="AF8" s="1519" t="s">
        <v>1277</v>
      </c>
      <c r="AG8" s="1519" t="s">
        <v>1278</v>
      </c>
      <c r="AH8" s="1519" t="s">
        <v>1279</v>
      </c>
      <c r="AI8" s="1519" t="s">
        <v>1280</v>
      </c>
      <c r="AJ8" s="1519" t="s">
        <v>1281</v>
      </c>
    </row>
    <row r="9" spans="1:39" ht="15">
      <c r="A9" s="3408"/>
      <c r="B9" s="1405" t="s">
        <v>1282</v>
      </c>
      <c r="C9" s="1433">
        <f>SUMIF(修正!C59:C119,C8,修正!E59:E119)</f>
        <v>0</v>
      </c>
      <c r="D9" s="1434" t="s">
        <v>1283</v>
      </c>
      <c r="E9" s="1434" t="e">
        <f>ROUND(C11/E7,4)</f>
        <v>#DIV/0!</v>
      </c>
      <c r="F9" s="1431" t="s">
        <v>1284</v>
      </c>
      <c r="G9" s="1432"/>
      <c r="H9" s="1432"/>
      <c r="I9" s="1432"/>
      <c r="J9" s="1596"/>
      <c r="K9" s="1453"/>
      <c r="L9" s="1585" t="s">
        <v>1285</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21" t="s">
        <v>1286</v>
      </c>
      <c r="X9" s="1673" t="s">
        <v>1287</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08"/>
      <c r="B10" s="1405" t="s">
        <v>1288</v>
      </c>
      <c r="C10" s="1434">
        <f>SUMIF(修正!C59:C119,C8,修正!F59:F119)</f>
        <v>0</v>
      </c>
      <c r="D10" s="1434" t="s">
        <v>1289</v>
      </c>
      <c r="E10" s="1434" t="e">
        <f>ROUND(C11/E7,4)</f>
        <v>#DIV/0!</v>
      </c>
      <c r="F10" s="1431" t="s">
        <v>1290</v>
      </c>
      <c r="G10" s="1432"/>
      <c r="H10" s="1432"/>
      <c r="I10" s="1432"/>
      <c r="J10" s="1596"/>
      <c r="K10" s="1453"/>
      <c r="L10" s="1585" t="s">
        <v>1291</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21"/>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08"/>
      <c r="B11" s="1435" t="s">
        <v>1292</v>
      </c>
      <c r="C11" s="1436">
        <f>C10/4</f>
        <v>0</v>
      </c>
      <c r="D11" s="1436" t="s">
        <v>1293</v>
      </c>
      <c r="E11" s="1436" t="e">
        <f>ROUND(C11/E7,4)</f>
        <v>#DIV/0!</v>
      </c>
      <c r="F11" s="1437" t="s">
        <v>1294</v>
      </c>
      <c r="G11" s="1438"/>
      <c r="H11" s="1438"/>
      <c r="I11" s="1438"/>
      <c r="J11" s="1597"/>
      <c r="K11" s="1453"/>
      <c r="L11" s="1585" t="s">
        <v>1295</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21" t="s">
        <v>1296</v>
      </c>
      <c r="X11" s="1434" t="s">
        <v>1264</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407" t="s">
        <v>1297</v>
      </c>
      <c r="B12" s="1439" t="s">
        <v>1298</v>
      </c>
      <c r="C12" s="1423">
        <f>ROUND(C15*D15*E15*F15*G15*H15*I15*J15,4)</f>
        <v>1</v>
      </c>
      <c r="D12" s="1440" t="s">
        <v>1299</v>
      </c>
      <c r="E12" s="1441"/>
      <c r="F12" s="1441"/>
      <c r="G12" s="1442"/>
      <c r="H12" s="1442"/>
      <c r="I12" s="1442"/>
      <c r="J12" s="1598"/>
      <c r="K12" s="1453"/>
      <c r="L12" s="1599" t="s">
        <v>1300</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21"/>
      <c r="X12" s="1674" t="s">
        <v>1301</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09"/>
      <c r="B13" s="1443" t="s">
        <v>1302</v>
      </c>
      <c r="C13" s="1444" t="s">
        <v>1303</v>
      </c>
      <c r="D13" s="1321" t="s">
        <v>1304</v>
      </c>
      <c r="E13" s="1321" t="s">
        <v>1305</v>
      </c>
      <c r="F13" s="1445" t="s">
        <v>1306</v>
      </c>
      <c r="G13" s="1446" t="s">
        <v>1307</v>
      </c>
      <c r="H13" s="1447" t="s">
        <v>1307</v>
      </c>
      <c r="I13" s="1602" t="s">
        <v>1307</v>
      </c>
      <c r="J13" s="1603" t="s">
        <v>1307</v>
      </c>
      <c r="K13" s="1604"/>
      <c r="L13" s="1604"/>
      <c r="M13" s="1604"/>
      <c r="N13" s="1604"/>
      <c r="O13" s="1604"/>
      <c r="P13" s="1395"/>
      <c r="Q13" s="1658"/>
      <c r="R13" s="1669">
        <v>12</v>
      </c>
      <c r="S13" s="1670"/>
      <c r="T13" s="1669" t="e">
        <f t="shared" si="0"/>
        <v>#DIV/0!</v>
      </c>
      <c r="U13" s="1670"/>
      <c r="V13" s="1669" t="e">
        <f t="shared" si="1"/>
        <v>#DIV/0!</v>
      </c>
      <c r="W13" s="3421"/>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409"/>
      <c r="B14" s="1448"/>
      <c r="C14" s="1449"/>
      <c r="D14" s="1450"/>
      <c r="E14" s="1450"/>
      <c r="F14" s="1451"/>
      <c r="G14" s="1452" t="s">
        <v>1308</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10"/>
      <c r="B15" s="1454" t="s">
        <v>1309</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07" t="s">
        <v>912</v>
      </c>
      <c r="B16" s="1422" t="s">
        <v>1310</v>
      </c>
      <c r="C16" s="1456" t="e">
        <f>ROUND(IF(F17="与级别开发程度一致",0,(G17-E17)/C17),0)</f>
        <v>#DIV/0!</v>
      </c>
      <c r="D16" s="3403" t="s">
        <v>1311</v>
      </c>
      <c r="E16" s="3404"/>
      <c r="F16" s="3403" t="s">
        <v>1312</v>
      </c>
      <c r="G16" s="3404"/>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11"/>
      <c r="B17" s="1458" t="s">
        <v>1313</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1314</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1315</v>
      </c>
      <c r="C19" s="1473">
        <f>ROUND(IF(H19="按公示增长率计算",SUMPRODUCT((地价!A3:A28=YEAR(G19)&amp;"-"&amp;ROUNDUP(MONTH(G19)/3,0))*(地价!X2:AB2=E2)*(地价!X3:AB28)),IF(H19="地价指数",M20/M19,(1+I19)^O19)),4)</f>
        <v>0</v>
      </c>
      <c r="D19" s="1474" t="s">
        <v>1316</v>
      </c>
      <c r="E19" s="1475">
        <v>41640</v>
      </c>
      <c r="F19" s="1474" t="s">
        <v>354</v>
      </c>
      <c r="G19" s="1476">
        <f>'数据-取费表'!B2</f>
        <v>43768</v>
      </c>
      <c r="H19" s="1477" t="s">
        <v>1317</v>
      </c>
      <c r="I19" s="1613" t="str">
        <f>IF(H19="季度增幅（自定义）",SUMIF(N21:N24,E2,O21:O24),"")</f>
        <v/>
      </c>
      <c r="J19" s="1614"/>
      <c r="K19" s="1470"/>
      <c r="L19" s="1615" t="s">
        <v>1318</v>
      </c>
      <c r="M19" s="1616">
        <f>ROUND(SUMIF(地价!B2:F2,E2,地价!B28:F28),0)</f>
        <v>0</v>
      </c>
      <c r="N19" s="1617" t="s">
        <v>1319</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1320</v>
      </c>
      <c r="C20" s="1479" t="e">
        <f>ROUND(POWER(1+G20,J20-I20)*(POWER(1+G20,I20)-1)/(POWER(1+G20,J20)-1),4)</f>
        <v>#DIV/0!</v>
      </c>
      <c r="D20" s="1480" t="s">
        <v>1321</v>
      </c>
      <c r="E20" s="1481">
        <f ca="1">存贷款利率!I4/100</f>
        <v>4.3499999999999997E-2</v>
      </c>
      <c r="F20" s="1480" t="s">
        <v>1322</v>
      </c>
      <c r="G20" s="1482">
        <f>SUMIF(M26:P26,E2,M28:P28)</f>
        <v>0</v>
      </c>
      <c r="H20" s="1480" t="s">
        <v>1323</v>
      </c>
      <c r="I20" s="1620" t="e">
        <f>SUMIF('数据-取费表'!C6:C15,E2,'数据-取费表'!F6:F15)/COUNTIF('数据-取费表'!C6:C15,E2)</f>
        <v>#DIV/0!</v>
      </c>
      <c r="J20" s="1621">
        <f>IF(E2="住宅",70,IF(E2="商业",40,50))</f>
        <v>50</v>
      </c>
      <c r="K20" s="1622"/>
      <c r="L20" s="1623" t="s">
        <v>1324</v>
      </c>
      <c r="M20" s="1624">
        <f>ROUND(SUMPRODUCT((地价!A4:A28=YEAR(G19)&amp;"-"&amp;ROUNDUP(MONTH(G19)/3,0))*(地价!B2:F2=E2)*(地价!B4:F28)),0)</f>
        <v>0</v>
      </c>
      <c r="N20" s="1625" t="s">
        <v>1325</v>
      </c>
      <c r="O20" s="1626" t="s">
        <v>1326</v>
      </c>
      <c r="P20" s="1627" t="s">
        <v>1327</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1328</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1257</v>
      </c>
      <c r="B22" s="1488" t="s">
        <v>1329</v>
      </c>
      <c r="C22" s="1489" t="s">
        <v>1330</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1331</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1297</v>
      </c>
      <c r="B23" s="1488" t="s">
        <v>1332</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1333</v>
      </c>
      <c r="B24" s="1411" t="s">
        <v>1334</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1335</v>
      </c>
      <c r="B25" s="1499" t="s">
        <v>1336</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1337</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1338</v>
      </c>
      <c r="C27" s="1507" t="e">
        <f>E30+SUM(I33:I39)</f>
        <v>#DIV/0!</v>
      </c>
      <c r="D27" s="1508"/>
      <c r="E27" s="1509"/>
      <c r="F27" s="1510"/>
      <c r="G27" s="1509"/>
      <c r="H27" s="1509"/>
      <c r="I27" s="1509"/>
      <c r="J27" s="1643"/>
      <c r="K27" s="1453"/>
      <c r="L27" s="1644" t="s">
        <v>1339</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1340</v>
      </c>
      <c r="C28" s="1513" t="s">
        <v>1341</v>
      </c>
      <c r="D28" s="1513" t="s">
        <v>385</v>
      </c>
      <c r="E28" s="1514" t="s">
        <v>628</v>
      </c>
      <c r="F28" s="1515"/>
      <c r="G28" s="1442"/>
      <c r="H28" s="1442"/>
      <c r="I28" s="1442"/>
      <c r="J28" s="1598"/>
      <c r="K28" s="1453"/>
      <c r="L28" s="1646" t="s">
        <v>1322</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1342</v>
      </c>
      <c r="C29" s="1503" t="e">
        <f>ROUND(C5*C18*C19*C20*C21*C24,0)</f>
        <v>#DIV/0!</v>
      </c>
      <c r="D29" s="1518"/>
      <c r="E29" s="1519" t="e">
        <f>ROUND(C29*D29/10000,0)</f>
        <v>#DIV/0!</v>
      </c>
      <c r="F29" s="1520" t="s">
        <v>1343</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1344</v>
      </c>
      <c r="C30" s="1463" t="e">
        <f>ROUND(IF(E2="工业",C29*M39,C29*M38),0)</f>
        <v>#DIV/0!</v>
      </c>
      <c r="D30" s="1524"/>
      <c r="E30" s="1519" t="e">
        <f>ROUND(C30*D30/10000,0)</f>
        <v>#DIV/0!</v>
      </c>
      <c r="F30" s="1525" t="s">
        <v>1345</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1346</v>
      </c>
      <c r="C31" s="1529" t="s">
        <v>1347</v>
      </c>
      <c r="D31" s="1442"/>
      <c r="E31" s="1529"/>
      <c r="F31" s="1529"/>
      <c r="G31" s="1440" t="s">
        <v>1345</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1341</v>
      </c>
      <c r="D32" s="1532" t="s">
        <v>385</v>
      </c>
      <c r="E32" s="1532" t="s">
        <v>628</v>
      </c>
      <c r="F32" s="1393" t="s">
        <v>1348</v>
      </c>
      <c r="G32" s="1533" t="s">
        <v>1341</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12" t="s">
        <v>1349</v>
      </c>
      <c r="B33" s="1534" t="s">
        <v>1350</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13"/>
      <c r="B34" s="1444" t="s">
        <v>1351</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13"/>
      <c r="B35" s="1444" t="s">
        <v>1352</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14"/>
      <c r="B36" s="1444" t="s">
        <v>1353</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1354</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1355</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1356</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1357</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1358</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1359</v>
      </c>
      <c r="C41" s="802" t="e">
        <f>ROUND(POWER(1+E41,H41-G41)*(POWER(1+E41,G41)-1)/(POWER(1+E41,H41)-1),4)</f>
        <v>#DIV/0!</v>
      </c>
      <c r="D41" s="1542" t="s">
        <v>1360</v>
      </c>
      <c r="E41" s="1543">
        <f>G20</f>
        <v>0</v>
      </c>
      <c r="F41" s="1542" t="s">
        <v>1361</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1362</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1363</v>
      </c>
      <c r="B46" s="1557" t="s">
        <v>1364</v>
      </c>
      <c r="C46" s="1558" t="s">
        <v>1365</v>
      </c>
      <c r="D46" s="1559" t="s">
        <v>1366</v>
      </c>
      <c r="E46" s="1560" t="s">
        <v>1367</v>
      </c>
      <c r="F46" s="1561" t="s">
        <v>1368</v>
      </c>
      <c r="G46" s="1559" t="s">
        <v>1369</v>
      </c>
      <c r="H46" s="1562" t="s">
        <v>1370</v>
      </c>
      <c r="I46" s="1559" t="s">
        <v>1371</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1372</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1373</v>
      </c>
      <c r="B50" s="1571" t="s">
        <v>1374</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1375</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1376</v>
      </c>
      <c r="B52" s="1572" t="s">
        <v>1377</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1378</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1379</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1380</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1363</v>
      </c>
      <c r="B57" s="1557"/>
      <c r="C57" s="1558" t="s">
        <v>1365</v>
      </c>
      <c r="D57" s="1559" t="s">
        <v>1366</v>
      </c>
      <c r="E57" s="1560" t="s">
        <v>1367</v>
      </c>
      <c r="F57" s="1561" t="s">
        <v>1368</v>
      </c>
      <c r="G57" s="1559" t="s">
        <v>1369</v>
      </c>
      <c r="H57" s="1562" t="s">
        <v>1370</v>
      </c>
      <c r="I57" s="1559" t="s">
        <v>1371</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1373</v>
      </c>
      <c r="B61" s="1571" t="s">
        <v>1374</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1375</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1376</v>
      </c>
      <c r="B63" s="1572" t="s">
        <v>1377</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1378</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1379</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1380</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1363</v>
      </c>
      <c r="B68" s="1557"/>
      <c r="C68" s="1558" t="s">
        <v>1365</v>
      </c>
      <c r="D68" s="1559" t="s">
        <v>1366</v>
      </c>
      <c r="E68" s="1560" t="s">
        <v>1367</v>
      </c>
      <c r="F68" s="1561" t="s">
        <v>1368</v>
      </c>
      <c r="G68" s="1559" t="s">
        <v>1369</v>
      </c>
      <c r="H68" s="1562" t="s">
        <v>1370</v>
      </c>
      <c r="I68" s="1559" t="s">
        <v>1371</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1381</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1378</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1379</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1376</v>
      </c>
      <c r="B75" s="1572" t="s">
        <v>1377</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1380</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1382</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1363</v>
      </c>
      <c r="B79" s="1557"/>
      <c r="C79" s="1558" t="s">
        <v>1365</v>
      </c>
      <c r="D79" s="1559" t="s">
        <v>1366</v>
      </c>
      <c r="E79" s="1560" t="s">
        <v>1367</v>
      </c>
      <c r="F79" s="1561" t="s">
        <v>1368</v>
      </c>
      <c r="G79" s="1559" t="s">
        <v>1369</v>
      </c>
      <c r="H79" s="1562" t="s">
        <v>1370</v>
      </c>
      <c r="I79" s="1559" t="s">
        <v>1371</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1381</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1378</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1379</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1376</v>
      </c>
      <c r="B86" s="1572" t="s">
        <v>1377</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405" t="s">
        <v>1383</v>
      </c>
      <c r="B90" s="3405"/>
      <c r="C90" s="3405"/>
      <c r="D90" s="3405"/>
      <c r="E90" s="3405"/>
      <c r="F90" s="3405"/>
      <c r="G90" s="3405"/>
      <c r="H90" s="3405"/>
      <c r="I90" s="3405"/>
      <c r="J90" s="3405"/>
      <c r="K90" s="1383"/>
      <c r="L90" s="1383"/>
      <c r="M90" s="1383"/>
      <c r="N90" s="1383"/>
    </row>
    <row r="91" spans="1:40">
      <c r="A91" s="3415" t="s">
        <v>348</v>
      </c>
      <c r="B91" s="3415" t="s">
        <v>1384</v>
      </c>
      <c r="C91" s="1701" t="s">
        <v>1242</v>
      </c>
      <c r="D91" s="1702"/>
      <c r="E91" s="1702"/>
      <c r="F91" s="1702"/>
      <c r="G91" s="1702"/>
      <c r="H91" s="1702"/>
      <c r="I91" s="1702"/>
      <c r="J91" s="1726"/>
      <c r="K91" s="1369"/>
      <c r="L91" s="1369"/>
      <c r="M91" s="1369"/>
      <c r="N91" s="1369"/>
    </row>
    <row r="92" spans="1:40">
      <c r="A92" s="3415"/>
      <c r="B92" s="3415"/>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16" t="s">
        <v>1385</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17"/>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17"/>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17"/>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17"/>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17"/>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17"/>
      <c r="B99" s="1703" t="s">
        <v>1386</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18"/>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0.44753760000000004</v>
      </c>
      <c r="K100" s="1706">
        <f>(-0.214*(K99^2)-21.991*K99+4665)*(10^(-4))</f>
        <v>0.44753760000000004</v>
      </c>
      <c r="L100" s="1706">
        <f>(-0.214*(L99^2)-21.991*L99+4665)*(10^(-4))</f>
        <v>0.44753760000000004</v>
      </c>
      <c r="M100" s="1706">
        <f>(-0.214*(M99^2)-21.991*M99+4665)*(10^(-4))</f>
        <v>0.44753760000000004</v>
      </c>
      <c r="N100" s="1706">
        <f>(-0.214*(N99^2)-21.991*N99+4665)*(10^(-4))</f>
        <v>0.44753760000000004</v>
      </c>
    </row>
    <row r="101" spans="1:14">
      <c r="A101" s="3416" t="s">
        <v>1387</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417"/>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417"/>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417"/>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417"/>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417"/>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417"/>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417"/>
      <c r="B108" s="3419" t="s">
        <v>1388</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18"/>
      <c r="B109" s="3420"/>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0.11188440000000001</v>
      </c>
      <c r="K109" s="1706">
        <f>(-0.214*(K108^2)-21.991*K108+4665)*(10^(-4))/K101</f>
        <v>0.11188440000000001</v>
      </c>
      <c r="L109" s="1706">
        <f>(-0.214*(L108^2)-21.991*L108+4665)*(10^(-4))/L101</f>
        <v>0.11188440000000001</v>
      </c>
      <c r="M109" s="1706">
        <f>(-0.214*(M108^2)-21.991*M108+4665)*(10^(-4))/M101</f>
        <v>0.11188440000000001</v>
      </c>
      <c r="N109" s="1706">
        <f>(-0.214*(N108^2)-21.991*N108+4665)*(10^(-4))/N101</f>
        <v>0.11188440000000001</v>
      </c>
    </row>
    <row r="110" spans="1:14">
      <c r="A110" s="3406" t="s">
        <v>1389</v>
      </c>
      <c r="B110" s="3406"/>
      <c r="C110" s="3406"/>
      <c r="D110" s="3406"/>
      <c r="E110" s="3406"/>
      <c r="F110" s="3406"/>
      <c r="G110" s="3406"/>
      <c r="H110" s="3406"/>
      <c r="I110" s="3406"/>
      <c r="J110" s="3406"/>
      <c r="K110" s="1709"/>
      <c r="L110" s="1709"/>
      <c r="M110" s="1709"/>
      <c r="N110" s="1709"/>
    </row>
    <row r="113" spans="1:13" ht="24.75">
      <c r="A113" s="1710" t="s">
        <v>1390</v>
      </c>
      <c r="B113" s="1711">
        <f>G3</f>
        <v>4</v>
      </c>
      <c r="C113" s="1712" t="s">
        <v>1391</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1392</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1393</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1394</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1395</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1396</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1397</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1398</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1399</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1400</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1401</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1402</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1311</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1403</v>
      </c>
      <c r="B16" s="1360"/>
      <c r="C16" s="1361"/>
      <c r="D16" s="1361"/>
      <c r="E16" s="1360"/>
      <c r="F16" s="1361"/>
      <c r="G16" s="1361"/>
    </row>
    <row r="17" spans="1:9" ht="19.5" customHeight="1">
      <c r="A17" s="1355" t="s">
        <v>348</v>
      </c>
      <c r="B17" s="1362" t="s">
        <v>1404</v>
      </c>
      <c r="C17" s="1362" t="s">
        <v>1405</v>
      </c>
      <c r="D17" s="1363"/>
      <c r="E17" s="1355" t="s">
        <v>1406</v>
      </c>
      <c r="F17" s="1364"/>
      <c r="G17" s="1364"/>
    </row>
    <row r="18" spans="1:9" s="1341" customFormat="1" ht="19.5" customHeight="1">
      <c r="A18" s="3415" t="s">
        <v>373</v>
      </c>
      <c r="B18" s="1365" t="s">
        <v>1407</v>
      </c>
      <c r="C18" s="1366" t="s">
        <v>1408</v>
      </c>
      <c r="D18" s="1367"/>
      <c r="E18" s="1365">
        <v>1</v>
      </c>
      <c r="F18" s="1368" t="s">
        <v>1409</v>
      </c>
      <c r="G18" s="1369"/>
      <c r="H18" s="1305"/>
      <c r="I18" s="1305"/>
    </row>
    <row r="19" spans="1:9" s="1341" customFormat="1" ht="19.5" customHeight="1">
      <c r="A19" s="3415"/>
      <c r="B19" s="3415" t="s">
        <v>1410</v>
      </c>
      <c r="C19" s="1366" t="s">
        <v>1411</v>
      </c>
      <c r="D19" s="1367"/>
      <c r="E19" s="1365">
        <v>0.9</v>
      </c>
      <c r="F19" s="1368" t="s">
        <v>1412</v>
      </c>
      <c r="G19" s="1369"/>
      <c r="H19" s="1305"/>
      <c r="I19" s="1305"/>
    </row>
    <row r="20" spans="1:9" s="1341" customFormat="1" ht="19.5" customHeight="1">
      <c r="A20" s="3415"/>
      <c r="B20" s="3415"/>
      <c r="C20" s="1366" t="s">
        <v>1413</v>
      </c>
      <c r="D20" s="1367"/>
      <c r="E20" s="1365">
        <v>1.1000000000000001</v>
      </c>
      <c r="F20" s="1368" t="s">
        <v>1414</v>
      </c>
      <c r="G20" s="1369"/>
      <c r="H20" s="1305"/>
      <c r="I20" s="1305"/>
    </row>
    <row r="21" spans="1:9" s="1341" customFormat="1" ht="19.5" customHeight="1">
      <c r="A21" s="3415"/>
      <c r="B21" s="3415"/>
      <c r="C21" s="1366" t="s">
        <v>1415</v>
      </c>
      <c r="D21" s="1367"/>
      <c r="E21" s="1365">
        <v>0.8</v>
      </c>
      <c r="F21" s="1368" t="s">
        <v>1416</v>
      </c>
      <c r="G21" s="1369"/>
      <c r="H21" s="1305"/>
      <c r="I21" s="1305"/>
    </row>
    <row r="22" spans="1:9" s="1341" customFormat="1" ht="19.5" customHeight="1">
      <c r="A22" s="3415"/>
      <c r="B22" s="3415"/>
      <c r="C22" s="1366" t="s">
        <v>1417</v>
      </c>
      <c r="D22" s="1367"/>
      <c r="E22" s="1365">
        <v>0.5</v>
      </c>
      <c r="F22" s="1368"/>
      <c r="G22" s="1369"/>
      <c r="H22" s="1305"/>
      <c r="I22" s="1305"/>
    </row>
    <row r="23" spans="1:9" s="1341" customFormat="1" ht="19.5" customHeight="1">
      <c r="A23" s="3415" t="s">
        <v>374</v>
      </c>
      <c r="B23" s="1365" t="s">
        <v>1407</v>
      </c>
      <c r="C23" s="1366" t="s">
        <v>1418</v>
      </c>
      <c r="D23" s="1367"/>
      <c r="E23" s="1365">
        <v>1</v>
      </c>
      <c r="F23" s="1368" t="s">
        <v>1419</v>
      </c>
      <c r="G23" s="1369"/>
      <c r="H23" s="1305"/>
      <c r="I23" s="1305"/>
    </row>
    <row r="24" spans="1:9" s="1341" customFormat="1" ht="19.5" customHeight="1">
      <c r="A24" s="3415"/>
      <c r="B24" s="3415" t="s">
        <v>1410</v>
      </c>
      <c r="C24" s="1366" t="s">
        <v>1420</v>
      </c>
      <c r="D24" s="1367"/>
      <c r="E24" s="1365">
        <v>0.5</v>
      </c>
      <c r="F24" s="1368"/>
      <c r="G24" s="1369"/>
      <c r="H24" s="1305"/>
      <c r="I24" s="1305"/>
    </row>
    <row r="25" spans="1:9" s="1341" customFormat="1" ht="19.5" customHeight="1">
      <c r="A25" s="3415"/>
      <c r="B25" s="3415"/>
      <c r="C25" s="1366" t="s">
        <v>1421</v>
      </c>
      <c r="D25" s="1367"/>
      <c r="E25" s="1365">
        <v>1.1000000000000001</v>
      </c>
      <c r="F25" s="1368"/>
      <c r="G25" s="1369"/>
      <c r="H25" s="1305"/>
      <c r="I25" s="1305"/>
    </row>
    <row r="26" spans="1:9" s="1341" customFormat="1" ht="19.5" customHeight="1">
      <c r="A26" s="3415"/>
      <c r="B26" s="3415"/>
      <c r="C26" s="1366" t="s">
        <v>1422</v>
      </c>
      <c r="D26" s="1367"/>
      <c r="E26" s="1365">
        <v>1.1000000000000001</v>
      </c>
      <c r="F26" s="1368"/>
      <c r="G26" s="1369"/>
      <c r="H26" s="1305"/>
      <c r="I26" s="1305"/>
    </row>
    <row r="27" spans="1:9" s="1341" customFormat="1" ht="19.5" customHeight="1">
      <c r="A27" s="3415"/>
      <c r="B27" s="3415"/>
      <c r="C27" s="1366" t="s">
        <v>1423</v>
      </c>
      <c r="D27" s="1367"/>
      <c r="E27" s="1365">
        <v>0.9</v>
      </c>
      <c r="F27" s="1368" t="s">
        <v>1424</v>
      </c>
      <c r="G27" s="1369"/>
      <c r="H27" s="1305"/>
      <c r="I27" s="1305"/>
    </row>
    <row r="28" spans="1:9" s="1341" customFormat="1" ht="19.5" customHeight="1">
      <c r="A28" s="3415"/>
      <c r="B28" s="3415"/>
      <c r="C28" s="1366" t="s">
        <v>1425</v>
      </c>
      <c r="D28" s="1367"/>
      <c r="E28" s="1365">
        <v>0.9</v>
      </c>
      <c r="F28" s="1368" t="s">
        <v>1426</v>
      </c>
      <c r="G28" s="1369"/>
      <c r="H28" s="1305"/>
      <c r="I28" s="1305"/>
    </row>
    <row r="29" spans="1:9" s="1341" customFormat="1" ht="19.5" customHeight="1">
      <c r="A29" s="3415"/>
      <c r="B29" s="3415"/>
      <c r="C29" s="1366" t="s">
        <v>1427</v>
      </c>
      <c r="D29" s="1367"/>
      <c r="E29" s="1365">
        <v>0.9</v>
      </c>
      <c r="F29" s="1368" t="s">
        <v>1428</v>
      </c>
      <c r="G29" s="1369"/>
      <c r="H29" s="1305"/>
      <c r="I29" s="1305"/>
    </row>
    <row r="30" spans="1:9" s="1341" customFormat="1" ht="19.5" customHeight="1">
      <c r="A30" s="3415"/>
      <c r="B30" s="3415"/>
      <c r="C30" s="1366" t="s">
        <v>1429</v>
      </c>
      <c r="D30" s="1367"/>
      <c r="E30" s="1365">
        <v>0.9</v>
      </c>
      <c r="F30" s="1368" t="s">
        <v>1430</v>
      </c>
      <c r="G30" s="1369"/>
      <c r="H30" s="1305"/>
      <c r="I30" s="1305"/>
    </row>
    <row r="31" spans="1:9" s="1341" customFormat="1" ht="19.5" customHeight="1">
      <c r="A31" s="3415"/>
      <c r="B31" s="3415"/>
      <c r="C31" s="1366" t="s">
        <v>1431</v>
      </c>
      <c r="D31" s="1367"/>
      <c r="E31" s="1365">
        <v>0.8</v>
      </c>
      <c r="F31" s="1368" t="s">
        <v>1432</v>
      </c>
      <c r="G31" s="1369"/>
      <c r="H31" s="1305"/>
      <c r="I31" s="1305"/>
    </row>
    <row r="32" spans="1:9" s="1341" customFormat="1" ht="19.5" customHeight="1">
      <c r="A32" s="3415"/>
      <c r="B32" s="3415"/>
      <c r="C32" s="1366" t="s">
        <v>1433</v>
      </c>
      <c r="D32" s="1367"/>
      <c r="E32" s="1365">
        <v>0.8</v>
      </c>
      <c r="F32" s="1368" t="s">
        <v>1434</v>
      </c>
      <c r="G32" s="1369"/>
      <c r="H32" s="1305"/>
      <c r="I32" s="1305"/>
    </row>
    <row r="33" spans="1:9" s="1341" customFormat="1" ht="19.5" customHeight="1">
      <c r="A33" s="3415" t="s">
        <v>1435</v>
      </c>
      <c r="B33" s="1365" t="s">
        <v>1407</v>
      </c>
      <c r="C33" s="1366" t="s">
        <v>1436</v>
      </c>
      <c r="D33" s="1367"/>
      <c r="E33" s="1365">
        <v>1</v>
      </c>
      <c r="F33" s="1368" t="s">
        <v>1437</v>
      </c>
      <c r="G33" s="1369"/>
      <c r="H33" s="1305"/>
      <c r="I33" s="1305"/>
    </row>
    <row r="34" spans="1:9" s="1341" customFormat="1" ht="19.5" customHeight="1">
      <c r="A34" s="3415"/>
      <c r="B34" s="1365" t="s">
        <v>1410</v>
      </c>
      <c r="C34" s="1366" t="s">
        <v>1438</v>
      </c>
      <c r="D34" s="1367"/>
      <c r="E34" s="1365">
        <v>1.5</v>
      </c>
      <c r="F34" s="1368" t="s">
        <v>1439</v>
      </c>
      <c r="G34" s="1369"/>
      <c r="H34" s="1305"/>
      <c r="I34" s="1305"/>
    </row>
    <row r="35" spans="1:9" s="1341" customFormat="1" ht="19.5" customHeight="1">
      <c r="A35" s="3415" t="s">
        <v>164</v>
      </c>
      <c r="B35" s="1365" t="s">
        <v>1407</v>
      </c>
      <c r="C35" s="1366" t="s">
        <v>1440</v>
      </c>
      <c r="D35" s="1367"/>
      <c r="E35" s="1365">
        <v>1</v>
      </c>
      <c r="F35" s="1368" t="s">
        <v>1441</v>
      </c>
      <c r="G35" s="1369"/>
      <c r="H35" s="1305"/>
      <c r="I35" s="1305"/>
    </row>
    <row r="36" spans="1:9" s="1341" customFormat="1" ht="19.5" customHeight="1">
      <c r="A36" s="3415"/>
      <c r="B36" s="3415" t="s">
        <v>1410</v>
      </c>
      <c r="C36" s="1366" t="s">
        <v>1442</v>
      </c>
      <c r="D36" s="1367"/>
      <c r="E36" s="1365">
        <v>1</v>
      </c>
      <c r="F36" s="1368" t="s">
        <v>1443</v>
      </c>
      <c r="G36" s="1369"/>
      <c r="H36" s="1305"/>
      <c r="I36" s="1305"/>
    </row>
    <row r="37" spans="1:9" s="1341" customFormat="1" ht="19.5" customHeight="1">
      <c r="A37" s="3415"/>
      <c r="B37" s="3415"/>
      <c r="C37" s="1366" t="s">
        <v>1444</v>
      </c>
      <c r="D37" s="1367"/>
      <c r="E37" s="1365">
        <v>1.5</v>
      </c>
      <c r="F37" s="1368" t="s">
        <v>1445</v>
      </c>
      <c r="G37" s="1369"/>
      <c r="H37" s="1305"/>
      <c r="I37" s="1305"/>
    </row>
    <row r="38" spans="1:9" s="1341" customFormat="1" ht="19.5" customHeight="1">
      <c r="A38" s="3415"/>
      <c r="B38" s="3415"/>
      <c r="C38" s="1366" t="s">
        <v>1446</v>
      </c>
      <c r="D38" s="1367"/>
      <c r="E38" s="1365">
        <v>1</v>
      </c>
      <c r="F38" s="1368" t="s">
        <v>1447</v>
      </c>
      <c r="G38" s="1369"/>
      <c r="H38" s="1305"/>
      <c r="I38" s="1305"/>
    </row>
    <row r="39" spans="1:9" s="1341" customFormat="1" ht="19.5" customHeight="1">
      <c r="A39" s="3415"/>
      <c r="B39" s="3415"/>
      <c r="C39" s="1366" t="s">
        <v>1448</v>
      </c>
      <c r="D39" s="1367"/>
      <c r="E39" s="1365">
        <v>1</v>
      </c>
      <c r="F39" s="1368" t="s">
        <v>1449</v>
      </c>
      <c r="G39" s="1369"/>
      <c r="H39" s="1305"/>
      <c r="I39" s="1305"/>
    </row>
    <row r="40" spans="1:9" s="1341" customFormat="1" ht="19.5" customHeight="1">
      <c r="A40" s="1370" t="s">
        <v>1450</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1356</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1451</v>
      </c>
      <c r="G44" s="1363" t="s">
        <v>1451</v>
      </c>
      <c r="H44" s="1363" t="s">
        <v>1451</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1452</v>
      </c>
      <c r="E58" s="1360"/>
      <c r="F58" s="1360"/>
    </row>
    <row r="59" spans="1:8" s="1305" customFormat="1" ht="19.5" customHeight="1">
      <c r="A59" s="1365" t="s">
        <v>1453</v>
      </c>
      <c r="B59" s="1365" t="s">
        <v>1454</v>
      </c>
      <c r="C59" s="1365" t="s">
        <v>1455</v>
      </c>
      <c r="D59" s="1365" t="s">
        <v>1456</v>
      </c>
      <c r="E59" s="1365" t="s">
        <v>1282</v>
      </c>
      <c r="F59" s="1365" t="s">
        <v>1457</v>
      </c>
    </row>
    <row r="60" spans="1:8" s="1305" customFormat="1" ht="19.5" customHeight="1">
      <c r="A60" s="1365"/>
      <c r="B60" s="1365"/>
      <c r="C60" s="1365" t="s">
        <v>1458</v>
      </c>
      <c r="D60" s="1365"/>
      <c r="E60" s="1376" t="s">
        <v>138</v>
      </c>
      <c r="F60" s="1365" t="s">
        <v>138</v>
      </c>
    </row>
    <row r="61" spans="1:8" s="1305" customFormat="1" ht="24">
      <c r="A61" s="1365">
        <v>1</v>
      </c>
      <c r="B61" s="3415" t="s">
        <v>1459</v>
      </c>
      <c r="C61" s="1355" t="s">
        <v>1460</v>
      </c>
      <c r="D61" s="1355" t="s">
        <v>1461</v>
      </c>
      <c r="E61" s="1376">
        <v>0.5</v>
      </c>
      <c r="F61" s="1365">
        <v>80</v>
      </c>
      <c r="H61" s="1305">
        <f>SUMIF(C59:C119,基准地价!C8,E59:E119)</f>
        <v>0</v>
      </c>
    </row>
    <row r="62" spans="1:8" s="1305" customFormat="1" ht="24">
      <c r="A62" s="1365">
        <v>2</v>
      </c>
      <c r="B62" s="3415"/>
      <c r="C62" s="1355" t="s">
        <v>1462</v>
      </c>
      <c r="D62" s="1355" t="s">
        <v>1463</v>
      </c>
      <c r="E62" s="1376">
        <v>0.5</v>
      </c>
      <c r="F62" s="1365">
        <v>80</v>
      </c>
    </row>
    <row r="63" spans="1:8" s="1305" customFormat="1" ht="36">
      <c r="A63" s="1365">
        <v>3</v>
      </c>
      <c r="B63" s="3415"/>
      <c r="C63" s="1355" t="s">
        <v>1464</v>
      </c>
      <c r="D63" s="1355" t="s">
        <v>1465</v>
      </c>
      <c r="E63" s="1376">
        <v>0.5</v>
      </c>
      <c r="F63" s="1365">
        <v>80</v>
      </c>
    </row>
    <row r="64" spans="1:8" s="1305" customFormat="1" ht="36">
      <c r="A64" s="1365">
        <v>4</v>
      </c>
      <c r="B64" s="3415"/>
      <c r="C64" s="1355" t="s">
        <v>1466</v>
      </c>
      <c r="D64" s="1355" t="s">
        <v>1467</v>
      </c>
      <c r="E64" s="1376">
        <v>0.4</v>
      </c>
      <c r="F64" s="1365">
        <v>60</v>
      </c>
    </row>
    <row r="65" spans="1:6" s="1305" customFormat="1" ht="36">
      <c r="A65" s="1365">
        <v>5</v>
      </c>
      <c r="B65" s="3415"/>
      <c r="C65" s="1355" t="s">
        <v>1468</v>
      </c>
      <c r="D65" s="1355" t="s">
        <v>1469</v>
      </c>
      <c r="E65" s="1376">
        <v>0.2</v>
      </c>
      <c r="F65" s="1365">
        <v>30</v>
      </c>
    </row>
    <row r="66" spans="1:6" s="1305" customFormat="1" ht="36">
      <c r="A66" s="1365">
        <v>6</v>
      </c>
      <c r="B66" s="3415"/>
      <c r="C66" s="1355" t="s">
        <v>1470</v>
      </c>
      <c r="D66" s="1355" t="s">
        <v>1471</v>
      </c>
      <c r="E66" s="1376">
        <v>0.3</v>
      </c>
      <c r="F66" s="1365">
        <v>50</v>
      </c>
    </row>
    <row r="67" spans="1:6" s="1305" customFormat="1" ht="36">
      <c r="A67" s="1365">
        <v>7</v>
      </c>
      <c r="B67" s="3415"/>
      <c r="C67" s="1355" t="s">
        <v>1472</v>
      </c>
      <c r="D67" s="1355" t="s">
        <v>1473</v>
      </c>
      <c r="E67" s="1376">
        <v>0.2</v>
      </c>
      <c r="F67" s="1365">
        <v>30</v>
      </c>
    </row>
    <row r="68" spans="1:6" s="1305" customFormat="1" ht="36">
      <c r="A68" s="1365">
        <v>8</v>
      </c>
      <c r="B68" s="3415"/>
      <c r="C68" s="1355" t="s">
        <v>1474</v>
      </c>
      <c r="D68" s="1355" t="s">
        <v>1475</v>
      </c>
      <c r="E68" s="1376">
        <v>0.2</v>
      </c>
      <c r="F68" s="1365">
        <v>30</v>
      </c>
    </row>
    <row r="69" spans="1:6" s="1305" customFormat="1" ht="36">
      <c r="A69" s="1365">
        <v>9</v>
      </c>
      <c r="B69" s="3415"/>
      <c r="C69" s="1355" t="s">
        <v>1476</v>
      </c>
      <c r="D69" s="1355" t="s">
        <v>1477</v>
      </c>
      <c r="E69" s="1376">
        <v>0.2</v>
      </c>
      <c r="F69" s="1365">
        <v>30</v>
      </c>
    </row>
    <row r="70" spans="1:6" s="1305" customFormat="1" ht="48">
      <c r="A70" s="1365">
        <v>10</v>
      </c>
      <c r="B70" s="3415"/>
      <c r="C70" s="1355" t="s">
        <v>1478</v>
      </c>
      <c r="D70" s="1355" t="s">
        <v>1479</v>
      </c>
      <c r="E70" s="1376">
        <v>0.2</v>
      </c>
      <c r="F70" s="1365">
        <v>30</v>
      </c>
    </row>
    <row r="71" spans="1:6" s="1305" customFormat="1" ht="48">
      <c r="A71" s="1365">
        <v>11</v>
      </c>
      <c r="B71" s="3415"/>
      <c r="C71" s="1355" t="s">
        <v>1480</v>
      </c>
      <c r="D71" s="1355" t="s">
        <v>1481</v>
      </c>
      <c r="E71" s="1376">
        <v>0.2</v>
      </c>
      <c r="F71" s="1365">
        <v>30</v>
      </c>
    </row>
    <row r="72" spans="1:6" s="1305" customFormat="1" ht="36">
      <c r="A72" s="1365">
        <v>12</v>
      </c>
      <c r="B72" s="3415"/>
      <c r="C72" s="1355" t="s">
        <v>1482</v>
      </c>
      <c r="D72" s="1355" t="s">
        <v>1483</v>
      </c>
      <c r="E72" s="1376">
        <v>0.5</v>
      </c>
      <c r="F72" s="1365">
        <v>80</v>
      </c>
    </row>
    <row r="73" spans="1:6" s="1305" customFormat="1" ht="24">
      <c r="A73" s="1365">
        <v>13</v>
      </c>
      <c r="B73" s="3415"/>
      <c r="C73" s="1355" t="s">
        <v>1484</v>
      </c>
      <c r="D73" s="1355" t="s">
        <v>1485</v>
      </c>
      <c r="E73" s="1376">
        <v>0.4</v>
      </c>
      <c r="F73" s="1365">
        <v>60</v>
      </c>
    </row>
    <row r="74" spans="1:6" s="1305" customFormat="1" ht="24">
      <c r="A74" s="1365">
        <v>14</v>
      </c>
      <c r="B74" s="3415"/>
      <c r="C74" s="1355" t="s">
        <v>1486</v>
      </c>
      <c r="D74" s="1355" t="s">
        <v>1487</v>
      </c>
      <c r="E74" s="1376">
        <v>0.2</v>
      </c>
      <c r="F74" s="1365">
        <v>30</v>
      </c>
    </row>
    <row r="75" spans="1:6" s="1305" customFormat="1" ht="24">
      <c r="A75" s="1365">
        <v>15</v>
      </c>
      <c r="B75" s="3415"/>
      <c r="C75" s="1355" t="s">
        <v>1488</v>
      </c>
      <c r="D75" s="1355" t="s">
        <v>1489</v>
      </c>
      <c r="E75" s="1376">
        <v>0.2</v>
      </c>
      <c r="F75" s="1365">
        <v>30</v>
      </c>
    </row>
    <row r="76" spans="1:6" s="1305" customFormat="1" ht="24">
      <c r="A76" s="1365">
        <v>16</v>
      </c>
      <c r="B76" s="3415" t="s">
        <v>1490</v>
      </c>
      <c r="C76" s="1355" t="s">
        <v>1491</v>
      </c>
      <c r="D76" s="1355" t="s">
        <v>1492</v>
      </c>
      <c r="E76" s="1376">
        <v>0.5</v>
      </c>
      <c r="F76" s="1365">
        <v>80</v>
      </c>
    </row>
    <row r="77" spans="1:6" s="1305" customFormat="1" ht="24">
      <c r="A77" s="1365">
        <v>17</v>
      </c>
      <c r="B77" s="3415"/>
      <c r="C77" s="1355" t="s">
        <v>1493</v>
      </c>
      <c r="D77" s="1355" t="s">
        <v>1494</v>
      </c>
      <c r="E77" s="1376">
        <v>0.5</v>
      </c>
      <c r="F77" s="1365">
        <v>80</v>
      </c>
    </row>
    <row r="78" spans="1:6" s="1305" customFormat="1" ht="24">
      <c r="A78" s="1365">
        <v>18</v>
      </c>
      <c r="B78" s="3415"/>
      <c r="C78" s="1355" t="s">
        <v>1495</v>
      </c>
      <c r="D78" s="1355" t="s">
        <v>1496</v>
      </c>
      <c r="E78" s="1376">
        <v>0.2</v>
      </c>
      <c r="F78" s="1365">
        <v>30</v>
      </c>
    </row>
    <row r="79" spans="1:6" s="1305" customFormat="1" ht="24">
      <c r="A79" s="1365">
        <v>19</v>
      </c>
      <c r="B79" s="3415"/>
      <c r="C79" s="1355" t="s">
        <v>1497</v>
      </c>
      <c r="D79" s="1355" t="s">
        <v>1498</v>
      </c>
      <c r="E79" s="1376">
        <v>0.5</v>
      </c>
      <c r="F79" s="1365">
        <v>80</v>
      </c>
    </row>
    <row r="80" spans="1:6" s="1305" customFormat="1" ht="36">
      <c r="A80" s="1365">
        <v>20</v>
      </c>
      <c r="B80" s="3415"/>
      <c r="C80" s="1355" t="s">
        <v>1499</v>
      </c>
      <c r="D80" s="1355" t="s">
        <v>1500</v>
      </c>
      <c r="E80" s="1376">
        <v>0.2</v>
      </c>
      <c r="F80" s="1365">
        <v>30</v>
      </c>
    </row>
    <row r="81" spans="1:6" s="1305" customFormat="1" ht="36">
      <c r="A81" s="1365">
        <v>21</v>
      </c>
      <c r="B81" s="3415"/>
      <c r="C81" s="1355" t="s">
        <v>1501</v>
      </c>
      <c r="D81" s="1355" t="s">
        <v>1502</v>
      </c>
      <c r="E81" s="1376">
        <v>0.2</v>
      </c>
      <c r="F81" s="1365">
        <v>30</v>
      </c>
    </row>
    <row r="82" spans="1:6" s="1305" customFormat="1" ht="48">
      <c r="A82" s="1365">
        <v>22</v>
      </c>
      <c r="B82" s="3415"/>
      <c r="C82" s="1355" t="s">
        <v>1503</v>
      </c>
      <c r="D82" s="1355" t="s">
        <v>1504</v>
      </c>
      <c r="E82" s="1376">
        <v>0.2</v>
      </c>
      <c r="F82" s="1365">
        <v>30</v>
      </c>
    </row>
    <row r="83" spans="1:6" s="1305" customFormat="1" ht="48">
      <c r="A83" s="1365">
        <v>23</v>
      </c>
      <c r="B83" s="3415"/>
      <c r="C83" s="1355" t="s">
        <v>1505</v>
      </c>
      <c r="D83" s="1355" t="s">
        <v>1506</v>
      </c>
      <c r="E83" s="1376">
        <v>0.2</v>
      </c>
      <c r="F83" s="1365">
        <v>30</v>
      </c>
    </row>
    <row r="84" spans="1:6" s="1305" customFormat="1" ht="36">
      <c r="A84" s="1365">
        <v>24</v>
      </c>
      <c r="B84" s="3415"/>
      <c r="C84" s="1355" t="s">
        <v>1507</v>
      </c>
      <c r="D84" s="1355" t="s">
        <v>1508</v>
      </c>
      <c r="E84" s="1376">
        <v>0.2</v>
      </c>
      <c r="F84" s="1365">
        <v>30</v>
      </c>
    </row>
    <row r="85" spans="1:6" s="1305" customFormat="1" ht="36">
      <c r="A85" s="1365">
        <v>25</v>
      </c>
      <c r="B85" s="3415"/>
      <c r="C85" s="1355" t="s">
        <v>1509</v>
      </c>
      <c r="D85" s="1355" t="s">
        <v>1510</v>
      </c>
      <c r="E85" s="1376">
        <v>0.5</v>
      </c>
      <c r="F85" s="1365">
        <v>80</v>
      </c>
    </row>
    <row r="86" spans="1:6" s="1305" customFormat="1" ht="36">
      <c r="A86" s="1365">
        <v>26</v>
      </c>
      <c r="B86" s="3415"/>
      <c r="C86" s="1355" t="s">
        <v>1511</v>
      </c>
      <c r="D86" s="1355" t="s">
        <v>1512</v>
      </c>
      <c r="E86" s="1376">
        <v>0.2</v>
      </c>
      <c r="F86" s="1365">
        <v>30</v>
      </c>
    </row>
    <row r="87" spans="1:6" s="1305" customFormat="1" ht="36">
      <c r="A87" s="1365">
        <v>27</v>
      </c>
      <c r="B87" s="3415"/>
      <c r="C87" s="1355" t="s">
        <v>1513</v>
      </c>
      <c r="D87" s="1355" t="s">
        <v>1514</v>
      </c>
      <c r="E87" s="1376">
        <v>0.2</v>
      </c>
      <c r="F87" s="1365">
        <v>30</v>
      </c>
    </row>
    <row r="88" spans="1:6" s="1305" customFormat="1" ht="36">
      <c r="A88" s="1365">
        <v>28</v>
      </c>
      <c r="B88" s="3415"/>
      <c r="C88" s="1355" t="s">
        <v>1515</v>
      </c>
      <c r="D88" s="1355" t="s">
        <v>1516</v>
      </c>
      <c r="E88" s="1376">
        <v>0.2</v>
      </c>
      <c r="F88" s="1365">
        <v>30</v>
      </c>
    </row>
    <row r="89" spans="1:6" s="1305" customFormat="1" ht="24">
      <c r="A89" s="1365">
        <v>29</v>
      </c>
      <c r="B89" s="3415"/>
      <c r="C89" s="1355" t="s">
        <v>1517</v>
      </c>
      <c r="D89" s="1355" t="s">
        <v>1518</v>
      </c>
      <c r="E89" s="1376">
        <v>0.2</v>
      </c>
      <c r="F89" s="1365">
        <v>30</v>
      </c>
    </row>
    <row r="90" spans="1:6" s="1305" customFormat="1" ht="24">
      <c r="A90" s="1365">
        <v>30</v>
      </c>
      <c r="B90" s="3415"/>
      <c r="C90" s="1355" t="s">
        <v>1519</v>
      </c>
      <c r="D90" s="1355" t="s">
        <v>1520</v>
      </c>
      <c r="E90" s="1376">
        <v>0.2</v>
      </c>
      <c r="F90" s="1365">
        <v>30</v>
      </c>
    </row>
    <row r="91" spans="1:6" s="1305" customFormat="1" ht="36">
      <c r="A91" s="1365">
        <v>31</v>
      </c>
      <c r="B91" s="3415"/>
      <c r="C91" s="1355" t="s">
        <v>1521</v>
      </c>
      <c r="D91" s="1355" t="s">
        <v>1522</v>
      </c>
      <c r="E91" s="1376">
        <v>0.2</v>
      </c>
      <c r="F91" s="1365">
        <v>30</v>
      </c>
    </row>
    <row r="92" spans="1:6" s="1305" customFormat="1" ht="24">
      <c r="A92" s="1365">
        <v>32</v>
      </c>
      <c r="B92" s="3415" t="s">
        <v>1523</v>
      </c>
      <c r="C92" s="1365" t="s">
        <v>1524</v>
      </c>
      <c r="D92" s="1355" t="s">
        <v>1525</v>
      </c>
      <c r="E92" s="1376">
        <v>0.2</v>
      </c>
      <c r="F92" s="1365">
        <v>30</v>
      </c>
    </row>
    <row r="93" spans="1:6" s="1305" customFormat="1" ht="36">
      <c r="A93" s="1365">
        <v>33</v>
      </c>
      <c r="B93" s="3415"/>
      <c r="C93" s="1365" t="s">
        <v>1526</v>
      </c>
      <c r="D93" s="1355" t="s">
        <v>1527</v>
      </c>
      <c r="E93" s="1376">
        <v>0.2</v>
      </c>
      <c r="F93" s="1365">
        <v>30</v>
      </c>
    </row>
    <row r="94" spans="1:6" s="1305" customFormat="1" ht="48">
      <c r="A94" s="1365">
        <v>34</v>
      </c>
      <c r="B94" s="3415"/>
      <c r="C94" s="1365" t="s">
        <v>1528</v>
      </c>
      <c r="D94" s="1355" t="s">
        <v>1529</v>
      </c>
      <c r="E94" s="1376">
        <v>0.2</v>
      </c>
      <c r="F94" s="1365">
        <v>30</v>
      </c>
    </row>
    <row r="95" spans="1:6" s="1305" customFormat="1" ht="36">
      <c r="A95" s="1365">
        <v>35</v>
      </c>
      <c r="B95" s="3415"/>
      <c r="C95" s="1365" t="s">
        <v>1530</v>
      </c>
      <c r="D95" s="1355" t="s">
        <v>1531</v>
      </c>
      <c r="E95" s="1376">
        <v>0.2</v>
      </c>
      <c r="F95" s="1365">
        <v>30</v>
      </c>
    </row>
    <row r="96" spans="1:6" s="1305" customFormat="1" ht="48">
      <c r="A96" s="1365">
        <v>36</v>
      </c>
      <c r="B96" s="3415"/>
      <c r="C96" s="1355" t="s">
        <v>1532</v>
      </c>
      <c r="D96" s="1355" t="s">
        <v>1533</v>
      </c>
      <c r="E96" s="1376">
        <v>0.2</v>
      </c>
      <c r="F96" s="1365">
        <v>30</v>
      </c>
    </row>
    <row r="97" spans="1:6" s="1305" customFormat="1" ht="36">
      <c r="A97" s="1365">
        <v>37</v>
      </c>
      <c r="B97" s="3415"/>
      <c r="C97" s="1365" t="s">
        <v>1534</v>
      </c>
      <c r="D97" s="1355" t="s">
        <v>1535</v>
      </c>
      <c r="E97" s="1376">
        <v>0.2</v>
      </c>
      <c r="F97" s="1365">
        <v>30</v>
      </c>
    </row>
    <row r="98" spans="1:6" s="1305" customFormat="1" ht="36">
      <c r="A98" s="1365">
        <v>38</v>
      </c>
      <c r="B98" s="3415"/>
      <c r="C98" s="1365" t="s">
        <v>1536</v>
      </c>
      <c r="D98" s="1355" t="s">
        <v>1537</v>
      </c>
      <c r="E98" s="1376">
        <v>0.2</v>
      </c>
      <c r="F98" s="1365">
        <v>30</v>
      </c>
    </row>
    <row r="99" spans="1:6" s="1305" customFormat="1" ht="36">
      <c r="A99" s="1365">
        <v>39</v>
      </c>
      <c r="B99" s="3415" t="s">
        <v>1538</v>
      </c>
      <c r="C99" s="1365" t="s">
        <v>1539</v>
      </c>
      <c r="D99" s="1355" t="s">
        <v>1540</v>
      </c>
      <c r="E99" s="1376">
        <v>0.3</v>
      </c>
      <c r="F99" s="1365">
        <v>50</v>
      </c>
    </row>
    <row r="100" spans="1:6" s="1305" customFormat="1" ht="24">
      <c r="A100" s="1365">
        <v>40</v>
      </c>
      <c r="B100" s="3415"/>
      <c r="C100" s="1365" t="s">
        <v>1541</v>
      </c>
      <c r="D100" s="1355" t="s">
        <v>1542</v>
      </c>
      <c r="E100" s="1376">
        <v>0.2</v>
      </c>
      <c r="F100" s="1365">
        <v>30</v>
      </c>
    </row>
    <row r="101" spans="1:6" s="1305" customFormat="1" ht="36">
      <c r="A101" s="1365">
        <v>41</v>
      </c>
      <c r="B101" s="3415"/>
      <c r="C101" s="1365" t="s">
        <v>1543</v>
      </c>
      <c r="D101" s="1355" t="s">
        <v>1540</v>
      </c>
      <c r="E101" s="1376">
        <v>0.2</v>
      </c>
      <c r="F101" s="1365">
        <v>30</v>
      </c>
    </row>
    <row r="102" spans="1:6" s="1305" customFormat="1" ht="48">
      <c r="A102" s="1365">
        <v>42</v>
      </c>
      <c r="B102" s="1365" t="s">
        <v>1544</v>
      </c>
      <c r="C102" s="1355" t="s">
        <v>1545</v>
      </c>
      <c r="D102" s="1355" t="s">
        <v>1546</v>
      </c>
      <c r="E102" s="1376">
        <v>0.2</v>
      </c>
      <c r="F102" s="1365">
        <v>30</v>
      </c>
    </row>
    <row r="103" spans="1:6" s="1305" customFormat="1" ht="24">
      <c r="A103" s="1365">
        <v>43</v>
      </c>
      <c r="B103" s="1365" t="s">
        <v>1547</v>
      </c>
      <c r="C103" s="1365" t="s">
        <v>1548</v>
      </c>
      <c r="D103" s="1355" t="s">
        <v>1549</v>
      </c>
      <c r="E103" s="1376">
        <v>0.2</v>
      </c>
      <c r="F103" s="1365">
        <v>30</v>
      </c>
    </row>
    <row r="104" spans="1:6" s="1305" customFormat="1" ht="36">
      <c r="A104" s="1365">
        <v>44</v>
      </c>
      <c r="B104" s="1365" t="s">
        <v>1550</v>
      </c>
      <c r="C104" s="1365" t="s">
        <v>1551</v>
      </c>
      <c r="D104" s="1355" t="s">
        <v>1552</v>
      </c>
      <c r="E104" s="1376">
        <v>0.2</v>
      </c>
      <c r="F104" s="1365">
        <v>30</v>
      </c>
    </row>
    <row r="105" spans="1:6" s="1305" customFormat="1" ht="36">
      <c r="A105" s="1365">
        <v>45</v>
      </c>
      <c r="B105" s="3415" t="s">
        <v>1553</v>
      </c>
      <c r="C105" s="1365" t="s">
        <v>1554</v>
      </c>
      <c r="D105" s="1355" t="s">
        <v>1555</v>
      </c>
      <c r="E105" s="1376">
        <v>0.2</v>
      </c>
      <c r="F105" s="1365">
        <v>30</v>
      </c>
    </row>
    <row r="106" spans="1:6" s="1305" customFormat="1" ht="36">
      <c r="A106" s="1365">
        <v>46</v>
      </c>
      <c r="B106" s="3415"/>
      <c r="C106" s="1365" t="s">
        <v>1556</v>
      </c>
      <c r="D106" s="1355" t="s">
        <v>1557</v>
      </c>
      <c r="E106" s="1376">
        <v>0.2</v>
      </c>
      <c r="F106" s="1365">
        <v>30</v>
      </c>
    </row>
    <row r="107" spans="1:6" s="1305" customFormat="1" ht="36">
      <c r="A107" s="1365">
        <v>47</v>
      </c>
      <c r="B107" s="3415" t="s">
        <v>1558</v>
      </c>
      <c r="C107" s="1365" t="s">
        <v>1559</v>
      </c>
      <c r="D107" s="1355" t="s">
        <v>1560</v>
      </c>
      <c r="E107" s="1376">
        <v>0.3</v>
      </c>
      <c r="F107" s="1365">
        <v>50</v>
      </c>
    </row>
    <row r="108" spans="1:6" s="1305" customFormat="1" ht="36">
      <c r="A108" s="1365">
        <v>48</v>
      </c>
      <c r="B108" s="3415"/>
      <c r="C108" s="1365" t="s">
        <v>1561</v>
      </c>
      <c r="D108" s="1355" t="s">
        <v>1562</v>
      </c>
      <c r="E108" s="1376">
        <v>0.2</v>
      </c>
      <c r="F108" s="1365">
        <v>30</v>
      </c>
    </row>
    <row r="109" spans="1:6" s="1305" customFormat="1" ht="36">
      <c r="A109" s="1365">
        <v>49</v>
      </c>
      <c r="B109" s="1365" t="s">
        <v>1563</v>
      </c>
      <c r="C109" s="1365" t="s">
        <v>1564</v>
      </c>
      <c r="D109" s="1355" t="s">
        <v>1565</v>
      </c>
      <c r="E109" s="1376">
        <v>0.2</v>
      </c>
      <c r="F109" s="1365">
        <v>30</v>
      </c>
    </row>
    <row r="110" spans="1:6" s="1305" customFormat="1" ht="36">
      <c r="A110" s="1365">
        <v>50</v>
      </c>
      <c r="B110" s="1365" t="s">
        <v>1566</v>
      </c>
      <c r="C110" s="1365" t="s">
        <v>1567</v>
      </c>
      <c r="D110" s="1355" t="s">
        <v>1568</v>
      </c>
      <c r="E110" s="1376">
        <v>0.2</v>
      </c>
      <c r="F110" s="1365">
        <v>30</v>
      </c>
    </row>
    <row r="111" spans="1:6" s="1305" customFormat="1" ht="36">
      <c r="A111" s="1365">
        <v>51</v>
      </c>
      <c r="B111" s="3415" t="s">
        <v>1569</v>
      </c>
      <c r="C111" s="1365" t="s">
        <v>1570</v>
      </c>
      <c r="D111" s="1355" t="s">
        <v>1571</v>
      </c>
      <c r="E111" s="1376">
        <v>0.2</v>
      </c>
      <c r="F111" s="1365">
        <v>30</v>
      </c>
    </row>
    <row r="112" spans="1:6" s="1305" customFormat="1" ht="24">
      <c r="A112" s="1365">
        <v>52</v>
      </c>
      <c r="B112" s="3415"/>
      <c r="C112" s="1365" t="s">
        <v>1572</v>
      </c>
      <c r="D112" s="1355" t="s">
        <v>1573</v>
      </c>
      <c r="E112" s="1376">
        <v>0.2</v>
      </c>
      <c r="F112" s="1365">
        <v>30</v>
      </c>
    </row>
    <row r="113" spans="1:14" s="1305" customFormat="1" ht="24">
      <c r="A113" s="1365">
        <v>53</v>
      </c>
      <c r="B113" s="3415"/>
      <c r="C113" s="1365" t="s">
        <v>1574</v>
      </c>
      <c r="D113" s="1355" t="s">
        <v>1575</v>
      </c>
      <c r="E113" s="1376">
        <v>0.2</v>
      </c>
      <c r="F113" s="1365">
        <v>30</v>
      </c>
    </row>
    <row r="114" spans="1:14" ht="36">
      <c r="A114" s="1365">
        <v>54</v>
      </c>
      <c r="B114" s="1365" t="s">
        <v>1576</v>
      </c>
      <c r="C114" s="1365" t="s">
        <v>1577</v>
      </c>
      <c r="D114" s="1355" t="s">
        <v>1578</v>
      </c>
      <c r="E114" s="1376">
        <v>0.2</v>
      </c>
      <c r="F114" s="1365">
        <v>30</v>
      </c>
    </row>
    <row r="115" spans="1:14" ht="24">
      <c r="A115" s="1365">
        <v>55</v>
      </c>
      <c r="B115" s="1365" t="s">
        <v>1579</v>
      </c>
      <c r="C115" s="1365" t="s">
        <v>1580</v>
      </c>
      <c r="D115" s="1355" t="s">
        <v>1581</v>
      </c>
      <c r="E115" s="1376">
        <v>0.2</v>
      </c>
      <c r="F115" s="1365">
        <v>30</v>
      </c>
    </row>
    <row r="116" spans="1:14" ht="24">
      <c r="A116" s="1365">
        <v>56</v>
      </c>
      <c r="B116" s="3415" t="s">
        <v>1582</v>
      </c>
      <c r="C116" s="1365" t="s">
        <v>1583</v>
      </c>
      <c r="D116" s="1355" t="s">
        <v>1584</v>
      </c>
      <c r="E116" s="1376">
        <v>0.2</v>
      </c>
      <c r="F116" s="1365">
        <v>30</v>
      </c>
    </row>
    <row r="117" spans="1:14" ht="36">
      <c r="A117" s="1365">
        <v>57</v>
      </c>
      <c r="B117" s="3415"/>
      <c r="C117" s="1365" t="s">
        <v>1585</v>
      </c>
      <c r="D117" s="1355" t="s">
        <v>1586</v>
      </c>
      <c r="E117" s="1376">
        <v>0.2</v>
      </c>
      <c r="F117" s="1365">
        <v>30</v>
      </c>
    </row>
    <row r="118" spans="1:14" ht="36">
      <c r="A118" s="1365">
        <v>58</v>
      </c>
      <c r="B118" s="1365" t="s">
        <v>1587</v>
      </c>
      <c r="C118" s="1365" t="s">
        <v>1588</v>
      </c>
      <c r="D118" s="1355" t="s">
        <v>1589</v>
      </c>
      <c r="E118" s="1376">
        <v>0.2</v>
      </c>
      <c r="F118" s="1365">
        <v>30</v>
      </c>
    </row>
    <row r="119" spans="1:14" ht="13.5">
      <c r="A119" s="1365"/>
      <c r="B119" s="1365"/>
      <c r="C119" s="1365"/>
      <c r="D119" s="1365"/>
      <c r="E119" s="1376"/>
      <c r="F119" s="1365"/>
    </row>
    <row r="121" spans="1:14" ht="19.5" customHeight="1">
      <c r="A121" s="3405" t="s">
        <v>1383</v>
      </c>
      <c r="B121" s="3405"/>
      <c r="C121" s="3405"/>
      <c r="D121" s="3405"/>
      <c r="E121" s="3405"/>
      <c r="F121" s="3405"/>
      <c r="G121" s="3405"/>
      <c r="H121" s="3405"/>
      <c r="I121" s="3405"/>
      <c r="J121" s="3405"/>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22" t="s">
        <v>1590</v>
      </c>
      <c r="B1" s="3422"/>
      <c r="C1" s="3422"/>
      <c r="D1" s="3422"/>
      <c r="E1" s="3422"/>
      <c r="F1" s="3422"/>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23" t="s">
        <v>1591</v>
      </c>
      <c r="B2" s="3423"/>
      <c r="C2" s="3423"/>
      <c r="D2" s="3423"/>
      <c r="E2" s="3423"/>
      <c r="F2" s="3423"/>
      <c r="I2" s="1337" t="s">
        <v>1592</v>
      </c>
      <c r="J2" s="1317" t="s">
        <v>1593</v>
      </c>
      <c r="K2" s="1317" t="s">
        <v>1594</v>
      </c>
      <c r="L2" s="1317" t="s">
        <v>1595</v>
      </c>
      <c r="M2" s="1317" t="s">
        <v>1596</v>
      </c>
      <c r="N2" s="1317" t="s">
        <v>1597</v>
      </c>
      <c r="O2" s="1317" t="s">
        <v>1598</v>
      </c>
      <c r="P2" s="1317" t="s">
        <v>1599</v>
      </c>
      <c r="Q2" s="1317" t="s">
        <v>1600</v>
      </c>
      <c r="R2" s="1317" t="s">
        <v>1601</v>
      </c>
      <c r="S2" s="1317" t="s">
        <v>1602</v>
      </c>
      <c r="T2" s="1317" t="s">
        <v>1603</v>
      </c>
    </row>
    <row r="3" spans="1:20" s="1303" customFormat="1" ht="19.5" customHeight="1">
      <c r="A3" s="3424" t="s">
        <v>1604</v>
      </c>
      <c r="B3" s="1307"/>
      <c r="C3" s="1308" t="s">
        <v>373</v>
      </c>
      <c r="D3" s="1308" t="s">
        <v>374</v>
      </c>
      <c r="E3" s="1308" t="s">
        <v>372</v>
      </c>
      <c r="F3" s="1308" t="s">
        <v>164</v>
      </c>
      <c r="G3" s="1309"/>
      <c r="I3" s="1337" t="s">
        <v>1605</v>
      </c>
      <c r="J3" s="1317" t="s">
        <v>1606</v>
      </c>
      <c r="K3" s="1317" t="s">
        <v>1607</v>
      </c>
      <c r="L3" s="1317" t="s">
        <v>1608</v>
      </c>
      <c r="M3" s="1317" t="s">
        <v>1609</v>
      </c>
      <c r="N3" s="1317" t="s">
        <v>1610</v>
      </c>
      <c r="O3" s="1317" t="s">
        <v>1611</v>
      </c>
      <c r="P3" s="1317" t="s">
        <v>1612</v>
      </c>
      <c r="Q3" s="1317" t="s">
        <v>1613</v>
      </c>
      <c r="R3" s="1317" t="s">
        <v>1614</v>
      </c>
      <c r="S3" s="1317" t="s">
        <v>1615</v>
      </c>
      <c r="T3" s="1317" t="s">
        <v>1616</v>
      </c>
    </row>
    <row r="4" spans="1:20" s="1303" customFormat="1" ht="19.5" customHeight="1">
      <c r="A4" s="3425"/>
      <c r="B4" s="1310" t="s">
        <v>421</v>
      </c>
      <c r="C4" s="1310" t="s">
        <v>1617</v>
      </c>
      <c r="D4" s="1310" t="s">
        <v>1617</v>
      </c>
      <c r="E4" s="1310" t="s">
        <v>1617</v>
      </c>
      <c r="F4" s="1311" t="s">
        <v>1617</v>
      </c>
      <c r="G4" s="1309"/>
      <c r="I4" s="1337" t="s">
        <v>1618</v>
      </c>
      <c r="J4" s="1317" t="s">
        <v>1619</v>
      </c>
      <c r="K4" s="1317" t="s">
        <v>1620</v>
      </c>
      <c r="L4" s="1317" t="s">
        <v>1621</v>
      </c>
      <c r="M4" s="1317" t="s">
        <v>1622</v>
      </c>
      <c r="N4" s="1317" t="s">
        <v>1623</v>
      </c>
      <c r="O4" s="1317" t="s">
        <v>1624</v>
      </c>
      <c r="P4" s="1317" t="s">
        <v>1625</v>
      </c>
      <c r="Q4" s="1317" t="s">
        <v>1626</v>
      </c>
      <c r="R4" s="1317" t="s">
        <v>1627</v>
      </c>
      <c r="S4" s="1317" t="s">
        <v>1628</v>
      </c>
      <c r="T4" s="1317" t="s">
        <v>1629</v>
      </c>
    </row>
    <row r="5" spans="1:20" ht="14.25" customHeight="1">
      <c r="A5" s="1312" t="s">
        <v>242</v>
      </c>
      <c r="B5" s="1313" t="s">
        <v>1592</v>
      </c>
      <c r="C5" s="1313">
        <v>29530</v>
      </c>
      <c r="D5" s="1313">
        <v>28130</v>
      </c>
      <c r="E5" s="1313">
        <v>27930</v>
      </c>
      <c r="F5" s="1314">
        <v>11300</v>
      </c>
      <c r="G5" s="1315" t="s">
        <v>242</v>
      </c>
      <c r="H5" s="1316">
        <f>SUMPRODUCT((B5:B9=基准地价!I2)*(C3:F3=基准地价!E2)*(C5:F9))</f>
        <v>0</v>
      </c>
      <c r="I5" s="1337" t="s">
        <v>1630</v>
      </c>
      <c r="J5" s="1317" t="s">
        <v>1631</v>
      </c>
      <c r="K5" s="1317" t="s">
        <v>1632</v>
      </c>
      <c r="L5" s="1317" t="s">
        <v>1633</v>
      </c>
      <c r="M5" s="1317" t="s">
        <v>1634</v>
      </c>
      <c r="N5" s="1317" t="s">
        <v>1635</v>
      </c>
      <c r="O5" s="1317" t="s">
        <v>1636</v>
      </c>
      <c r="P5" s="1317" t="s">
        <v>1637</v>
      </c>
      <c r="Q5" s="1317" t="s">
        <v>1638</v>
      </c>
      <c r="R5" s="1317" t="s">
        <v>1639</v>
      </c>
      <c r="S5" s="1317" t="s">
        <v>1640</v>
      </c>
      <c r="T5" s="1317" t="s">
        <v>1641</v>
      </c>
    </row>
    <row r="6" spans="1:20" ht="14.25" customHeight="1">
      <c r="A6" s="1312" t="s">
        <v>242</v>
      </c>
      <c r="B6" s="1317" t="s">
        <v>1605</v>
      </c>
      <c r="C6" s="1317">
        <v>30290</v>
      </c>
      <c r="D6" s="1317">
        <v>29210</v>
      </c>
      <c r="E6" s="1317">
        <v>28860</v>
      </c>
      <c r="F6" s="1318">
        <v>12600</v>
      </c>
      <c r="G6" s="1319" t="s">
        <v>255</v>
      </c>
      <c r="H6" s="1320">
        <f>SUMPRODUCT((B10:B28=基准地价!I2)*(C3:F3=基准地价!E2)*(C10:F28))</f>
        <v>0</v>
      </c>
      <c r="I6" s="1337" t="s">
        <v>1642</v>
      </c>
      <c r="J6" s="1317" t="s">
        <v>1643</v>
      </c>
      <c r="K6" s="1317" t="s">
        <v>1644</v>
      </c>
      <c r="L6" s="1317" t="s">
        <v>1645</v>
      </c>
      <c r="M6" s="1317" t="s">
        <v>1646</v>
      </c>
      <c r="N6" s="1317" t="s">
        <v>1647</v>
      </c>
      <c r="O6" s="1317" t="s">
        <v>1648</v>
      </c>
      <c r="P6" s="1317" t="s">
        <v>1649</v>
      </c>
      <c r="Q6" s="1317" t="s">
        <v>1650</v>
      </c>
      <c r="R6" s="1317" t="s">
        <v>1651</v>
      </c>
      <c r="S6" s="1317" t="s">
        <v>1652</v>
      </c>
      <c r="T6" s="1317" t="s">
        <v>1653</v>
      </c>
    </row>
    <row r="7" spans="1:20" ht="14.25" customHeight="1">
      <c r="A7" s="1312" t="s">
        <v>242</v>
      </c>
      <c r="B7" s="1321" t="s">
        <v>1618</v>
      </c>
      <c r="C7" s="1317">
        <v>29350</v>
      </c>
      <c r="D7" s="1317">
        <v>28410</v>
      </c>
      <c r="E7" s="1317">
        <v>27990</v>
      </c>
      <c r="F7" s="1318">
        <v>12300</v>
      </c>
      <c r="G7" s="1319" t="s">
        <v>267</v>
      </c>
      <c r="H7" s="1320">
        <f>SUMPRODUCT((B29:B48=基准地价!I2)*(C3:F3=基准地价!E2)*(C29:F48))</f>
        <v>0</v>
      </c>
      <c r="J7" s="1317" t="s">
        <v>1654</v>
      </c>
      <c r="K7" s="1317" t="s">
        <v>1655</v>
      </c>
      <c r="L7" s="1317" t="s">
        <v>1656</v>
      </c>
      <c r="M7" s="1317" t="s">
        <v>1657</v>
      </c>
      <c r="N7" s="1317" t="s">
        <v>1658</v>
      </c>
      <c r="O7" s="1317" t="s">
        <v>1659</v>
      </c>
      <c r="P7" s="1317" t="s">
        <v>1660</v>
      </c>
      <c r="Q7" s="1317" t="s">
        <v>1661</v>
      </c>
      <c r="R7" s="1317" t="s">
        <v>1662</v>
      </c>
      <c r="S7" s="1317" t="s">
        <v>1663</v>
      </c>
      <c r="T7" s="1321" t="s">
        <v>1664</v>
      </c>
    </row>
    <row r="8" spans="1:20" ht="14.25" customHeight="1">
      <c r="A8" s="1312" t="s">
        <v>242</v>
      </c>
      <c r="B8" s="1317" t="s">
        <v>1630</v>
      </c>
      <c r="C8" s="1317">
        <v>30890</v>
      </c>
      <c r="D8" s="1317">
        <v>29780</v>
      </c>
      <c r="E8" s="1317">
        <v>29270</v>
      </c>
      <c r="F8" s="1318">
        <v>11600</v>
      </c>
      <c r="G8" s="1319" t="s">
        <v>277</v>
      </c>
      <c r="H8" s="1320">
        <f>SUMPRODUCT((B49:B75=基准地价!I2)*(C3:F3=基准地价!E2)*(C49:F75))</f>
        <v>0</v>
      </c>
      <c r="J8" s="1317" t="s">
        <v>1665</v>
      </c>
      <c r="K8" s="1317" t="s">
        <v>1666</v>
      </c>
      <c r="L8" s="1317" t="s">
        <v>1667</v>
      </c>
      <c r="M8" s="1317" t="s">
        <v>1668</v>
      </c>
      <c r="N8" s="1317" t="s">
        <v>1669</v>
      </c>
      <c r="O8" s="1317" t="s">
        <v>1670</v>
      </c>
      <c r="P8" s="1317" t="s">
        <v>1671</v>
      </c>
      <c r="Q8" s="1317" t="s">
        <v>1672</v>
      </c>
      <c r="R8" s="1317" t="s">
        <v>1673</v>
      </c>
      <c r="S8" s="1317" t="s">
        <v>1674</v>
      </c>
      <c r="T8" s="1317" t="s">
        <v>1675</v>
      </c>
    </row>
    <row r="9" spans="1:20" ht="14.25" customHeight="1">
      <c r="A9" s="1312" t="s">
        <v>242</v>
      </c>
      <c r="B9" s="1322" t="s">
        <v>1642</v>
      </c>
      <c r="C9" s="1323">
        <v>28140</v>
      </c>
      <c r="D9" s="1323"/>
      <c r="E9" s="1323"/>
      <c r="F9" s="1324"/>
      <c r="G9" s="1319" t="s">
        <v>286</v>
      </c>
      <c r="H9" s="1320">
        <f>SUMPRODUCT((B76:B109=基准地价!I2)*(C3:F3=基准地价!E2)*(C76:F109))</f>
        <v>0</v>
      </c>
      <c r="J9" s="1317" t="s">
        <v>1676</v>
      </c>
      <c r="K9" s="1317" t="s">
        <v>1677</v>
      </c>
      <c r="L9" s="1317" t="s">
        <v>1678</v>
      </c>
      <c r="M9" s="1317" t="s">
        <v>1679</v>
      </c>
      <c r="N9" s="1317" t="s">
        <v>1680</v>
      </c>
      <c r="O9" s="1317" t="s">
        <v>1681</v>
      </c>
      <c r="P9" s="1317" t="s">
        <v>1682</v>
      </c>
      <c r="Q9" s="1317" t="s">
        <v>1683</v>
      </c>
      <c r="R9" s="1317" t="s">
        <v>1684</v>
      </c>
      <c r="S9" s="1317" t="s">
        <v>1685</v>
      </c>
    </row>
    <row r="10" spans="1:20" ht="14.25" customHeight="1">
      <c r="A10" s="1312" t="s">
        <v>255</v>
      </c>
      <c r="B10" s="1313" t="s">
        <v>1593</v>
      </c>
      <c r="C10" s="1313">
        <v>27450</v>
      </c>
      <c r="D10" s="1313">
        <v>26180</v>
      </c>
      <c r="E10" s="1313">
        <v>25980</v>
      </c>
      <c r="F10" s="1314">
        <v>8910</v>
      </c>
      <c r="G10" s="1319" t="s">
        <v>294</v>
      </c>
      <c r="H10" s="1320">
        <f>SUMPRODUCT((B110:B157=基准地价!I2)*(C3:F3=基准地价!E2)*(C110:F157))</f>
        <v>0</v>
      </c>
      <c r="J10" s="1317" t="s">
        <v>1686</v>
      </c>
      <c r="K10" s="1317" t="s">
        <v>1687</v>
      </c>
      <c r="L10" s="1317" t="s">
        <v>1688</v>
      </c>
      <c r="M10" s="1317" t="s">
        <v>1689</v>
      </c>
      <c r="N10" s="1317" t="s">
        <v>1690</v>
      </c>
      <c r="O10" s="1317" t="s">
        <v>1691</v>
      </c>
      <c r="P10" s="1317" t="s">
        <v>1692</v>
      </c>
      <c r="Q10" s="1317" t="s">
        <v>1693</v>
      </c>
      <c r="R10" s="1317" t="s">
        <v>1694</v>
      </c>
      <c r="S10" s="1317" t="s">
        <v>1695</v>
      </c>
    </row>
    <row r="11" spans="1:20" ht="14.25" customHeight="1">
      <c r="A11" s="1312" t="s">
        <v>255</v>
      </c>
      <c r="B11" s="1321" t="s">
        <v>1606</v>
      </c>
      <c r="C11" s="1317">
        <v>22950</v>
      </c>
      <c r="D11" s="1317">
        <v>22630</v>
      </c>
      <c r="E11" s="1317">
        <v>22030</v>
      </c>
      <c r="F11" s="1325">
        <v>8330</v>
      </c>
      <c r="G11" s="1319" t="s">
        <v>299</v>
      </c>
      <c r="H11" s="1320">
        <f>SUMPRODUCT((B158:B205=基准地价!I2)*(C3:F3=基准地价!E2)*(C158:F205))</f>
        <v>0</v>
      </c>
      <c r="J11" s="1317" t="s">
        <v>1696</v>
      </c>
      <c r="K11" s="1317" t="s">
        <v>1697</v>
      </c>
      <c r="L11" s="1317" t="s">
        <v>1698</v>
      </c>
      <c r="M11" s="1317" t="s">
        <v>1699</v>
      </c>
      <c r="N11" s="1317" t="s">
        <v>1700</v>
      </c>
      <c r="O11" s="1317" t="s">
        <v>1701</v>
      </c>
      <c r="P11" s="1317" t="s">
        <v>1702</v>
      </c>
      <c r="Q11" s="1317" t="s">
        <v>1703</v>
      </c>
      <c r="R11" s="1317" t="s">
        <v>1704</v>
      </c>
      <c r="S11" s="1317" t="s">
        <v>1705</v>
      </c>
    </row>
    <row r="12" spans="1:20" ht="14.25" customHeight="1">
      <c r="A12" s="1312" t="s">
        <v>255</v>
      </c>
      <c r="B12" s="1321" t="s">
        <v>1619</v>
      </c>
      <c r="C12" s="1317">
        <v>24940</v>
      </c>
      <c r="D12" s="1317">
        <v>23180</v>
      </c>
      <c r="E12" s="1317">
        <v>22910</v>
      </c>
      <c r="F12" s="1325">
        <v>7180</v>
      </c>
      <c r="G12" s="1319" t="s">
        <v>304</v>
      </c>
      <c r="H12" s="1320">
        <f>SUMPRODUCT((B206:B244=基准地价!I2)*(C3:F3=基准地价!E2)*(C206:F244))</f>
        <v>0</v>
      </c>
      <c r="J12" s="1317" t="s">
        <v>1706</v>
      </c>
      <c r="K12" s="1317" t="s">
        <v>1707</v>
      </c>
      <c r="L12" s="1317" t="s">
        <v>1708</v>
      </c>
      <c r="M12" s="1317" t="s">
        <v>1709</v>
      </c>
      <c r="N12" s="1317" t="s">
        <v>1710</v>
      </c>
      <c r="O12" s="1317" t="s">
        <v>1711</v>
      </c>
      <c r="P12" s="1317" t="s">
        <v>1712</v>
      </c>
      <c r="Q12" s="1317" t="s">
        <v>1713</v>
      </c>
      <c r="R12" s="1317" t="s">
        <v>1714</v>
      </c>
      <c r="S12" s="1317" t="s">
        <v>1715</v>
      </c>
    </row>
    <row r="13" spans="1:20" ht="14.25" customHeight="1">
      <c r="A13" s="1312" t="s">
        <v>255</v>
      </c>
      <c r="B13" s="1321" t="s">
        <v>1631</v>
      </c>
      <c r="C13" s="1317">
        <v>24140</v>
      </c>
      <c r="D13" s="1317">
        <v>22270</v>
      </c>
      <c r="E13" s="1317">
        <v>21950</v>
      </c>
      <c r="F13" s="1325">
        <v>7600</v>
      </c>
      <c r="G13" s="1319" t="s">
        <v>307</v>
      </c>
      <c r="H13" s="1320">
        <f>SUMPRODUCT((B245:B289=基准地价!I2)*(C3:F3=基准地价!E2)*(C245:F289))</f>
        <v>0</v>
      </c>
      <c r="J13" s="1317" t="s">
        <v>1716</v>
      </c>
      <c r="K13" s="1317" t="s">
        <v>1717</v>
      </c>
      <c r="L13" s="1317" t="s">
        <v>1718</v>
      </c>
      <c r="M13" s="1317" t="s">
        <v>1719</v>
      </c>
      <c r="N13" s="1317" t="s">
        <v>1720</v>
      </c>
      <c r="O13" s="1317" t="s">
        <v>1721</v>
      </c>
      <c r="P13" s="1317" t="s">
        <v>1722</v>
      </c>
      <c r="Q13" s="1317" t="s">
        <v>1723</v>
      </c>
      <c r="R13" s="1317" t="s">
        <v>1724</v>
      </c>
      <c r="S13" s="1317" t="s">
        <v>1725</v>
      </c>
    </row>
    <row r="14" spans="1:20" ht="14.25" customHeight="1">
      <c r="A14" s="1312" t="s">
        <v>255</v>
      </c>
      <c r="B14" s="1321" t="s">
        <v>1643</v>
      </c>
      <c r="C14" s="1317">
        <v>25600</v>
      </c>
      <c r="D14" s="1317">
        <v>22260</v>
      </c>
      <c r="E14" s="1317">
        <v>22110</v>
      </c>
      <c r="F14" s="1325">
        <v>7630</v>
      </c>
      <c r="G14" s="1319" t="s">
        <v>310</v>
      </c>
      <c r="H14" s="1320">
        <f>SUMPRODUCT((B290:B316=基准地价!I2)*(C3:F3=基准地价!E2)*(C290:F316))</f>
        <v>0</v>
      </c>
      <c r="J14" s="1317" t="s">
        <v>1726</v>
      </c>
      <c r="K14" s="1317" t="s">
        <v>1727</v>
      </c>
      <c r="L14" s="1317" t="s">
        <v>1728</v>
      </c>
      <c r="M14" s="1317" t="s">
        <v>1729</v>
      </c>
      <c r="N14" s="1317" t="s">
        <v>1730</v>
      </c>
      <c r="O14" s="1317" t="s">
        <v>1731</v>
      </c>
      <c r="P14" s="1317" t="s">
        <v>1732</v>
      </c>
      <c r="Q14" s="1317" t="s">
        <v>1733</v>
      </c>
      <c r="R14" s="1317" t="s">
        <v>1734</v>
      </c>
      <c r="S14" s="1317" t="s">
        <v>1735</v>
      </c>
    </row>
    <row r="15" spans="1:20" ht="14.25" customHeight="1">
      <c r="A15" s="1312" t="s">
        <v>255</v>
      </c>
      <c r="B15" s="1321" t="s">
        <v>1654</v>
      </c>
      <c r="C15" s="1317">
        <v>24760</v>
      </c>
      <c r="D15" s="1317">
        <v>24440</v>
      </c>
      <c r="E15" s="1317">
        <v>24130</v>
      </c>
      <c r="F15" s="1325">
        <v>9480</v>
      </c>
      <c r="G15" s="1319" t="s">
        <v>313</v>
      </c>
      <c r="H15" s="1320">
        <f>SUMPRODUCT((B317:B337=基准地价!I2)*(C3:F3=基准地价!E2)*(C317:F337))</f>
        <v>0</v>
      </c>
      <c r="J15" s="1317" t="s">
        <v>1736</v>
      </c>
      <c r="K15" s="1317" t="s">
        <v>1737</v>
      </c>
      <c r="L15" s="1317" t="s">
        <v>1738</v>
      </c>
      <c r="M15" s="1317" t="s">
        <v>1739</v>
      </c>
      <c r="N15" s="1317" t="s">
        <v>1740</v>
      </c>
      <c r="O15" s="1317" t="s">
        <v>1741</v>
      </c>
      <c r="P15" s="1317" t="s">
        <v>1742</v>
      </c>
      <c r="Q15" s="1317" t="s">
        <v>1743</v>
      </c>
      <c r="R15" s="1317" t="s">
        <v>1744</v>
      </c>
      <c r="S15" s="1317" t="s">
        <v>1745</v>
      </c>
    </row>
    <row r="16" spans="1:20" ht="14.25" customHeight="1">
      <c r="A16" s="1312" t="s">
        <v>255</v>
      </c>
      <c r="B16" s="1321" t="s">
        <v>1665</v>
      </c>
      <c r="C16" s="1317">
        <v>22220</v>
      </c>
      <c r="D16" s="1317">
        <v>22310</v>
      </c>
      <c r="E16" s="1317">
        <v>22000</v>
      </c>
      <c r="F16" s="1325">
        <v>8900</v>
      </c>
      <c r="G16" s="1326" t="s">
        <v>316</v>
      </c>
      <c r="H16" s="1327">
        <f>SUMPRODUCT((B338:B344=基准地价!I2)*(C3:F3=基准地价!E2)*(C338:F344))</f>
        <v>0</v>
      </c>
      <c r="J16" s="1317" t="s">
        <v>1746</v>
      </c>
      <c r="K16" s="1317" t="s">
        <v>1747</v>
      </c>
      <c r="L16" s="1317" t="s">
        <v>1748</v>
      </c>
      <c r="M16" s="1317" t="s">
        <v>1749</v>
      </c>
      <c r="N16" s="1317" t="s">
        <v>1750</v>
      </c>
      <c r="O16" s="1317" t="s">
        <v>1751</v>
      </c>
      <c r="P16" s="1317" t="s">
        <v>1752</v>
      </c>
      <c r="Q16" s="1317" t="s">
        <v>1753</v>
      </c>
      <c r="R16" s="1317" t="s">
        <v>1754</v>
      </c>
      <c r="S16" s="1317" t="s">
        <v>1755</v>
      </c>
    </row>
    <row r="17" spans="1:19" ht="14.25" customHeight="1">
      <c r="A17" s="1312" t="s">
        <v>255</v>
      </c>
      <c r="B17" s="1321" t="s">
        <v>1676</v>
      </c>
      <c r="C17" s="1317">
        <v>24700</v>
      </c>
      <c r="D17" s="1317">
        <v>25150</v>
      </c>
      <c r="E17" s="1317">
        <v>24700</v>
      </c>
      <c r="F17" s="1328"/>
      <c r="H17" s="1329"/>
      <c r="J17" s="1317" t="s">
        <v>1756</v>
      </c>
      <c r="K17" s="1317" t="s">
        <v>1757</v>
      </c>
      <c r="L17" s="1317" t="s">
        <v>1758</v>
      </c>
      <c r="M17" s="1317" t="s">
        <v>1759</v>
      </c>
      <c r="N17" s="1317" t="s">
        <v>1760</v>
      </c>
      <c r="O17" s="1317" t="s">
        <v>1761</v>
      </c>
      <c r="P17" s="1317" t="s">
        <v>1762</v>
      </c>
      <c r="Q17" s="1317" t="s">
        <v>1763</v>
      </c>
      <c r="R17" s="1317" t="s">
        <v>1764</v>
      </c>
      <c r="S17" s="1317" t="s">
        <v>1765</v>
      </c>
    </row>
    <row r="18" spans="1:19" ht="14.25" customHeight="1">
      <c r="A18" s="1312" t="s">
        <v>255</v>
      </c>
      <c r="B18" s="1321" t="s">
        <v>1686</v>
      </c>
      <c r="C18" s="1317">
        <v>22350</v>
      </c>
      <c r="D18" s="1317">
        <v>24340</v>
      </c>
      <c r="E18" s="1317">
        <v>24100</v>
      </c>
      <c r="F18" s="1328"/>
      <c r="H18" s="1329"/>
      <c r="J18" s="1317" t="s">
        <v>1766</v>
      </c>
      <c r="K18" s="1317" t="s">
        <v>1767</v>
      </c>
      <c r="L18" s="1317" t="s">
        <v>1768</v>
      </c>
      <c r="M18" s="1317" t="s">
        <v>1769</v>
      </c>
      <c r="N18" s="1317" t="s">
        <v>1770</v>
      </c>
      <c r="O18" s="1317" t="s">
        <v>1771</v>
      </c>
      <c r="P18" s="1317" t="s">
        <v>1772</v>
      </c>
      <c r="Q18" s="1317" t="s">
        <v>1773</v>
      </c>
      <c r="R18" s="1317" t="s">
        <v>1774</v>
      </c>
      <c r="S18" s="1317" t="s">
        <v>1775</v>
      </c>
    </row>
    <row r="19" spans="1:19" ht="14.25" customHeight="1">
      <c r="A19" s="1312" t="s">
        <v>255</v>
      </c>
      <c r="B19" s="1321" t="s">
        <v>1696</v>
      </c>
      <c r="C19" s="1317">
        <v>23430</v>
      </c>
      <c r="D19" s="1317">
        <v>21580</v>
      </c>
      <c r="E19" s="1317">
        <v>21350</v>
      </c>
      <c r="F19" s="1328"/>
      <c r="H19" s="1329"/>
      <c r="J19" s="1317" t="s">
        <v>1776</v>
      </c>
      <c r="K19" s="1317" t="s">
        <v>1777</v>
      </c>
      <c r="L19" s="1317" t="s">
        <v>1778</v>
      </c>
      <c r="M19" s="1317" t="s">
        <v>1779</v>
      </c>
      <c r="N19" s="1317" t="s">
        <v>1780</v>
      </c>
      <c r="O19" s="1317" t="s">
        <v>1781</v>
      </c>
      <c r="P19" s="1317" t="s">
        <v>1782</v>
      </c>
      <c r="Q19" s="1317" t="s">
        <v>1783</v>
      </c>
      <c r="R19" s="1317" t="s">
        <v>1784</v>
      </c>
      <c r="S19" s="1317" t="s">
        <v>1785</v>
      </c>
    </row>
    <row r="20" spans="1:19" ht="14.25" customHeight="1">
      <c r="A20" s="1312" t="s">
        <v>255</v>
      </c>
      <c r="B20" s="1321" t="s">
        <v>1706</v>
      </c>
      <c r="C20" s="1317">
        <v>27660</v>
      </c>
      <c r="D20" s="1317">
        <v>24240</v>
      </c>
      <c r="E20" s="1317">
        <v>24020</v>
      </c>
      <c r="F20" s="1328"/>
      <c r="J20" s="1317" t="s">
        <v>1786</v>
      </c>
      <c r="K20" s="1317" t="s">
        <v>1787</v>
      </c>
      <c r="L20" s="1317" t="s">
        <v>1788</v>
      </c>
      <c r="M20" s="1317" t="s">
        <v>1789</v>
      </c>
      <c r="N20" s="1317" t="s">
        <v>1790</v>
      </c>
      <c r="O20" s="1317" t="s">
        <v>1791</v>
      </c>
      <c r="P20" s="1317" t="s">
        <v>1792</v>
      </c>
      <c r="Q20" s="1317" t="s">
        <v>1793</v>
      </c>
      <c r="R20" s="1317" t="s">
        <v>1794</v>
      </c>
      <c r="S20" s="1317" t="s">
        <v>1795</v>
      </c>
    </row>
    <row r="21" spans="1:19" ht="14.25" customHeight="1">
      <c r="A21" s="1312" t="s">
        <v>255</v>
      </c>
      <c r="B21" s="1321" t="s">
        <v>1716</v>
      </c>
      <c r="C21" s="1317">
        <v>24720</v>
      </c>
      <c r="D21" s="1317">
        <v>21670</v>
      </c>
      <c r="E21" s="1317">
        <v>21510</v>
      </c>
      <c r="F21" s="1328"/>
      <c r="K21" s="1317" t="s">
        <v>1796</v>
      </c>
      <c r="L21" s="1317" t="s">
        <v>1797</v>
      </c>
      <c r="M21" s="1317" t="s">
        <v>1798</v>
      </c>
      <c r="N21" s="1317" t="s">
        <v>1799</v>
      </c>
      <c r="O21" s="1317" t="s">
        <v>1800</v>
      </c>
      <c r="P21" s="1317" t="s">
        <v>1801</v>
      </c>
      <c r="Q21" s="1317" t="s">
        <v>1802</v>
      </c>
      <c r="R21" s="1317" t="s">
        <v>1803</v>
      </c>
      <c r="S21" s="1317" t="s">
        <v>1804</v>
      </c>
    </row>
    <row r="22" spans="1:19" ht="14.25" customHeight="1">
      <c r="A22" s="1312" t="s">
        <v>255</v>
      </c>
      <c r="B22" s="1321" t="s">
        <v>1726</v>
      </c>
      <c r="C22" s="1317">
        <v>26530</v>
      </c>
      <c r="D22" s="1317">
        <v>22980</v>
      </c>
      <c r="E22" s="1317">
        <v>22650</v>
      </c>
      <c r="F22" s="1328"/>
      <c r="L22" s="1317" t="s">
        <v>1805</v>
      </c>
      <c r="M22" s="1317" t="s">
        <v>1806</v>
      </c>
      <c r="N22" s="1317" t="s">
        <v>1807</v>
      </c>
      <c r="O22" s="1317" t="s">
        <v>1808</v>
      </c>
      <c r="P22" s="1317" t="s">
        <v>1809</v>
      </c>
      <c r="Q22" s="1317" t="s">
        <v>1810</v>
      </c>
      <c r="R22" s="1317" t="s">
        <v>1811</v>
      </c>
      <c r="S22" s="1321" t="s">
        <v>1812</v>
      </c>
    </row>
    <row r="23" spans="1:19" ht="14.25" customHeight="1">
      <c r="A23" s="1312" t="s">
        <v>255</v>
      </c>
      <c r="B23" s="1321" t="s">
        <v>1736</v>
      </c>
      <c r="C23" s="1317">
        <v>24700</v>
      </c>
      <c r="D23" s="1317">
        <v>27290</v>
      </c>
      <c r="E23" s="1317">
        <v>26710</v>
      </c>
      <c r="F23" s="1328"/>
      <c r="L23" s="1317" t="s">
        <v>1813</v>
      </c>
      <c r="M23" s="1317" t="s">
        <v>1814</v>
      </c>
      <c r="N23" s="1317" t="s">
        <v>1815</v>
      </c>
      <c r="O23" s="1317" t="s">
        <v>1816</v>
      </c>
      <c r="P23" s="1317" t="s">
        <v>1817</v>
      </c>
      <c r="Q23" s="1317" t="s">
        <v>1818</v>
      </c>
      <c r="R23" s="1317" t="s">
        <v>1819</v>
      </c>
    </row>
    <row r="24" spans="1:19" ht="14.25" customHeight="1">
      <c r="A24" s="1312" t="s">
        <v>255</v>
      </c>
      <c r="B24" s="1321" t="s">
        <v>1746</v>
      </c>
      <c r="C24" s="1317">
        <v>23070</v>
      </c>
      <c r="D24" s="1317">
        <v>24130</v>
      </c>
      <c r="E24" s="1317">
        <v>23860</v>
      </c>
      <c r="F24" s="1328"/>
      <c r="L24" s="1317" t="s">
        <v>1820</v>
      </c>
      <c r="M24" s="1317" t="s">
        <v>1821</v>
      </c>
      <c r="N24" s="1317" t="s">
        <v>1822</v>
      </c>
      <c r="O24" s="1317" t="s">
        <v>1823</v>
      </c>
      <c r="P24" s="1317" t="s">
        <v>1824</v>
      </c>
      <c r="Q24" s="1317" t="s">
        <v>1825</v>
      </c>
      <c r="R24" s="1317" t="s">
        <v>1826</v>
      </c>
    </row>
    <row r="25" spans="1:19" ht="14.25" customHeight="1">
      <c r="A25" s="1312" t="s">
        <v>255</v>
      </c>
      <c r="B25" s="1321" t="s">
        <v>1756</v>
      </c>
      <c r="C25" s="1317">
        <v>27550</v>
      </c>
      <c r="D25" s="1317">
        <v>25850</v>
      </c>
      <c r="E25" s="1317">
        <v>25340</v>
      </c>
      <c r="F25" s="1328"/>
      <c r="L25" s="1317" t="s">
        <v>1827</v>
      </c>
      <c r="M25" s="1317" t="s">
        <v>1828</v>
      </c>
      <c r="N25" s="1317" t="s">
        <v>1829</v>
      </c>
      <c r="O25" s="1317" t="s">
        <v>1830</v>
      </c>
      <c r="P25" s="1317" t="s">
        <v>1831</v>
      </c>
      <c r="Q25" s="1317" t="s">
        <v>1832</v>
      </c>
      <c r="R25" s="1317" t="s">
        <v>1833</v>
      </c>
    </row>
    <row r="26" spans="1:19" ht="14.25" customHeight="1">
      <c r="A26" s="1312" t="s">
        <v>255</v>
      </c>
      <c r="B26" s="1321" t="s">
        <v>1766</v>
      </c>
      <c r="C26" s="1317"/>
      <c r="D26" s="1317">
        <v>23900</v>
      </c>
      <c r="E26" s="1317">
        <v>23590</v>
      </c>
      <c r="F26" s="1328"/>
      <c r="L26" s="1317" t="s">
        <v>1834</v>
      </c>
      <c r="M26" s="1317" t="s">
        <v>1835</v>
      </c>
      <c r="N26" s="1317" t="s">
        <v>1836</v>
      </c>
      <c r="O26" s="1317" t="s">
        <v>1837</v>
      </c>
      <c r="P26" s="1317" t="s">
        <v>1838</v>
      </c>
      <c r="Q26" s="1317" t="s">
        <v>1839</v>
      </c>
      <c r="R26" s="1317" t="s">
        <v>1840</v>
      </c>
    </row>
    <row r="27" spans="1:19" ht="14.25" customHeight="1">
      <c r="A27" s="1312" t="s">
        <v>255</v>
      </c>
      <c r="B27" s="1321" t="s">
        <v>1776</v>
      </c>
      <c r="C27" s="1317"/>
      <c r="D27" s="1317">
        <v>22850</v>
      </c>
      <c r="E27" s="1317">
        <v>21920</v>
      </c>
      <c r="F27" s="1328"/>
      <c r="L27" s="1317" t="s">
        <v>1841</v>
      </c>
      <c r="M27" s="1317" t="s">
        <v>1842</v>
      </c>
      <c r="N27" s="1317" t="s">
        <v>1843</v>
      </c>
      <c r="O27" s="1317" t="s">
        <v>1844</v>
      </c>
      <c r="P27" s="1317" t="s">
        <v>1845</v>
      </c>
      <c r="Q27" s="1317" t="s">
        <v>1846</v>
      </c>
      <c r="R27" s="1317" t="s">
        <v>1847</v>
      </c>
    </row>
    <row r="28" spans="1:19" ht="14.25" customHeight="1">
      <c r="A28" s="1330" t="s">
        <v>255</v>
      </c>
      <c r="B28" s="1322" t="s">
        <v>1786</v>
      </c>
      <c r="C28" s="1323"/>
      <c r="D28" s="1323">
        <v>26610</v>
      </c>
      <c r="E28" s="1323">
        <v>26370</v>
      </c>
      <c r="F28" s="1324"/>
      <c r="L28" s="1317" t="s">
        <v>1848</v>
      </c>
      <c r="M28" s="1317" t="s">
        <v>1849</v>
      </c>
      <c r="N28" s="1317" t="s">
        <v>1850</v>
      </c>
      <c r="O28" s="1317" t="s">
        <v>1851</v>
      </c>
      <c r="P28" s="1317" t="s">
        <v>1852</v>
      </c>
      <c r="Q28" s="1317" t="s">
        <v>1853</v>
      </c>
    </row>
    <row r="29" spans="1:19" ht="14.25" customHeight="1">
      <c r="A29" s="1312" t="s">
        <v>267</v>
      </c>
      <c r="B29" s="1313" t="s">
        <v>1594</v>
      </c>
      <c r="C29" s="1313">
        <v>22090</v>
      </c>
      <c r="D29" s="1313">
        <v>21860</v>
      </c>
      <c r="E29" s="1313">
        <v>19380</v>
      </c>
      <c r="F29" s="1314">
        <v>6610</v>
      </c>
      <c r="M29" s="1317" t="s">
        <v>1854</v>
      </c>
      <c r="N29" s="1317" t="s">
        <v>1855</v>
      </c>
      <c r="O29" s="1317" t="s">
        <v>1856</v>
      </c>
      <c r="P29" s="1317" t="s">
        <v>1857</v>
      </c>
      <c r="Q29" s="1317" t="s">
        <v>1858</v>
      </c>
    </row>
    <row r="30" spans="1:19" ht="14.25" customHeight="1">
      <c r="A30" s="1312" t="s">
        <v>267</v>
      </c>
      <c r="B30" s="1321" t="s">
        <v>1607</v>
      </c>
      <c r="C30" s="1317">
        <v>21380</v>
      </c>
      <c r="D30" s="1317">
        <v>19930</v>
      </c>
      <c r="E30" s="1317">
        <v>19860</v>
      </c>
      <c r="F30" s="1325">
        <v>6010</v>
      </c>
      <c r="H30" s="1329"/>
      <c r="M30" s="1317" t="s">
        <v>1859</v>
      </c>
      <c r="N30" s="1317" t="s">
        <v>1860</v>
      </c>
      <c r="O30" s="1317" t="s">
        <v>1861</v>
      </c>
      <c r="P30" s="1317" t="s">
        <v>1862</v>
      </c>
      <c r="Q30" s="1317" t="s">
        <v>1863</v>
      </c>
    </row>
    <row r="31" spans="1:19" ht="14.25" customHeight="1">
      <c r="A31" s="1312" t="s">
        <v>267</v>
      </c>
      <c r="B31" s="1321" t="s">
        <v>1620</v>
      </c>
      <c r="C31" s="1317">
        <v>21670</v>
      </c>
      <c r="D31" s="1317">
        <v>20660</v>
      </c>
      <c r="E31" s="1317">
        <v>20290</v>
      </c>
      <c r="F31" s="1325">
        <v>5840</v>
      </c>
      <c r="H31" s="1329"/>
      <c r="M31" s="1317" t="s">
        <v>1864</v>
      </c>
      <c r="N31" s="1317" t="s">
        <v>1865</v>
      </c>
      <c r="O31" s="1317" t="s">
        <v>1866</v>
      </c>
      <c r="P31" s="1317" t="s">
        <v>1867</v>
      </c>
      <c r="Q31" s="1317" t="s">
        <v>1868</v>
      </c>
    </row>
    <row r="32" spans="1:19" ht="14.25" customHeight="1">
      <c r="A32" s="1312" t="s">
        <v>267</v>
      </c>
      <c r="B32" s="1321" t="s">
        <v>1632</v>
      </c>
      <c r="C32" s="1317">
        <v>22280</v>
      </c>
      <c r="D32" s="1317">
        <v>21800</v>
      </c>
      <c r="E32" s="1317">
        <v>17650</v>
      </c>
      <c r="F32" s="1325">
        <v>4690</v>
      </c>
      <c r="H32" s="1329"/>
      <c r="M32" s="1317" t="s">
        <v>1869</v>
      </c>
      <c r="N32" s="1317" t="s">
        <v>1870</v>
      </c>
      <c r="O32" s="1317" t="s">
        <v>1871</v>
      </c>
      <c r="P32" s="1317" t="s">
        <v>1872</v>
      </c>
      <c r="Q32" s="1317" t="s">
        <v>1873</v>
      </c>
    </row>
    <row r="33" spans="1:17" ht="14.25" customHeight="1">
      <c r="A33" s="1312" t="s">
        <v>267</v>
      </c>
      <c r="B33" s="1321" t="s">
        <v>1644</v>
      </c>
      <c r="C33" s="1317">
        <v>22130</v>
      </c>
      <c r="D33" s="1317">
        <v>20460</v>
      </c>
      <c r="E33" s="1317">
        <v>18500</v>
      </c>
      <c r="F33" s="1325">
        <v>5340</v>
      </c>
      <c r="H33" s="1329"/>
      <c r="M33" s="1317" t="s">
        <v>1874</v>
      </c>
      <c r="N33" s="1317" t="s">
        <v>1875</v>
      </c>
      <c r="O33" s="1317" t="s">
        <v>1876</v>
      </c>
      <c r="P33" s="1317" t="s">
        <v>1877</v>
      </c>
      <c r="Q33" s="1317" t="s">
        <v>1878</v>
      </c>
    </row>
    <row r="34" spans="1:17" ht="14.25" customHeight="1">
      <c r="A34" s="1312" t="s">
        <v>267</v>
      </c>
      <c r="B34" s="1321" t="s">
        <v>1655</v>
      </c>
      <c r="C34" s="1317">
        <v>22070</v>
      </c>
      <c r="D34" s="1317">
        <v>20110</v>
      </c>
      <c r="E34" s="1317">
        <v>18830</v>
      </c>
      <c r="F34" s="1325">
        <v>5190</v>
      </c>
      <c r="H34" s="1329"/>
      <c r="M34" s="1317" t="s">
        <v>1879</v>
      </c>
      <c r="N34" s="1317" t="s">
        <v>1880</v>
      </c>
      <c r="O34" s="1317" t="s">
        <v>1881</v>
      </c>
      <c r="P34" s="1317" t="s">
        <v>1882</v>
      </c>
      <c r="Q34" s="1317" t="s">
        <v>1883</v>
      </c>
    </row>
    <row r="35" spans="1:17" ht="14.25" customHeight="1">
      <c r="A35" s="1312" t="s">
        <v>267</v>
      </c>
      <c r="B35" s="1321" t="s">
        <v>1666</v>
      </c>
      <c r="C35" s="1317">
        <v>22240</v>
      </c>
      <c r="D35" s="1317">
        <v>19550</v>
      </c>
      <c r="E35" s="1317">
        <v>19220</v>
      </c>
      <c r="F35" s="1325">
        <v>5800</v>
      </c>
      <c r="H35" s="1329"/>
      <c r="M35" s="1317" t="s">
        <v>1884</v>
      </c>
      <c r="N35" s="1317" t="s">
        <v>1885</v>
      </c>
      <c r="O35" s="1317" t="s">
        <v>1886</v>
      </c>
      <c r="P35" s="1317" t="s">
        <v>1887</v>
      </c>
      <c r="Q35" s="1317" t="s">
        <v>1888</v>
      </c>
    </row>
    <row r="36" spans="1:17" ht="14.25" customHeight="1">
      <c r="A36" s="1312" t="s">
        <v>267</v>
      </c>
      <c r="B36" s="1321" t="s">
        <v>1677</v>
      </c>
      <c r="C36" s="1317">
        <v>19750</v>
      </c>
      <c r="D36" s="1317">
        <v>19790</v>
      </c>
      <c r="E36" s="1317">
        <v>18510</v>
      </c>
      <c r="F36" s="1325">
        <v>6520</v>
      </c>
      <c r="H36" s="1329"/>
      <c r="N36" s="1317" t="s">
        <v>1889</v>
      </c>
      <c r="O36" s="1317" t="s">
        <v>1890</v>
      </c>
      <c r="P36" s="1317" t="s">
        <v>1891</v>
      </c>
      <c r="Q36" s="1317" t="s">
        <v>1892</v>
      </c>
    </row>
    <row r="37" spans="1:17" ht="14.25" customHeight="1">
      <c r="A37" s="1312" t="s">
        <v>267</v>
      </c>
      <c r="B37" s="1321" t="s">
        <v>1687</v>
      </c>
      <c r="C37" s="1317">
        <v>22380</v>
      </c>
      <c r="D37" s="1317">
        <v>18530</v>
      </c>
      <c r="E37" s="1317">
        <v>17930</v>
      </c>
      <c r="F37" s="1325">
        <v>6270</v>
      </c>
      <c r="H37" s="1331"/>
      <c r="N37" s="1317" t="s">
        <v>1893</v>
      </c>
      <c r="O37" s="1317" t="s">
        <v>1894</v>
      </c>
      <c r="P37" s="1317" t="s">
        <v>1895</v>
      </c>
      <c r="Q37" s="1317" t="s">
        <v>1896</v>
      </c>
    </row>
    <row r="38" spans="1:17" ht="14.25" customHeight="1">
      <c r="A38" s="1312" t="s">
        <v>267</v>
      </c>
      <c r="B38" s="1321" t="s">
        <v>1697</v>
      </c>
      <c r="C38" s="1317">
        <v>20200</v>
      </c>
      <c r="D38" s="1317">
        <v>20070</v>
      </c>
      <c r="E38" s="1317">
        <v>19950</v>
      </c>
      <c r="F38" s="1325"/>
      <c r="H38" s="1332"/>
      <c r="N38" s="1317" t="s">
        <v>1897</v>
      </c>
      <c r="O38" s="1317" t="s">
        <v>1898</v>
      </c>
      <c r="P38" s="1317" t="s">
        <v>1899</v>
      </c>
      <c r="Q38" s="1317" t="s">
        <v>1900</v>
      </c>
    </row>
    <row r="39" spans="1:17" ht="14.25" customHeight="1">
      <c r="A39" s="1312" t="s">
        <v>267</v>
      </c>
      <c r="B39" s="1321" t="s">
        <v>1707</v>
      </c>
      <c r="C39" s="1317">
        <v>19300</v>
      </c>
      <c r="D39" s="1317">
        <v>20360</v>
      </c>
      <c r="E39" s="1317">
        <v>20230</v>
      </c>
      <c r="F39" s="1325"/>
      <c r="H39" s="1332"/>
      <c r="N39" s="1317" t="s">
        <v>1901</v>
      </c>
      <c r="O39" s="1317" t="s">
        <v>1902</v>
      </c>
      <c r="P39" s="1317" t="s">
        <v>1903</v>
      </c>
      <c r="Q39" s="1317" t="s">
        <v>1904</v>
      </c>
    </row>
    <row r="40" spans="1:17" ht="14.25" customHeight="1">
      <c r="A40" s="1312" t="s">
        <v>267</v>
      </c>
      <c r="B40" s="1321" t="s">
        <v>1717</v>
      </c>
      <c r="C40" s="1317">
        <v>20210</v>
      </c>
      <c r="D40" s="1317">
        <v>19060</v>
      </c>
      <c r="E40" s="1317">
        <v>18890</v>
      </c>
      <c r="F40" s="1325"/>
      <c r="H40" s="1332"/>
      <c r="N40" s="1317" t="s">
        <v>1905</v>
      </c>
      <c r="O40" s="1317" t="s">
        <v>1906</v>
      </c>
      <c r="P40" s="1317" t="s">
        <v>1907</v>
      </c>
      <c r="Q40" s="1317" t="s">
        <v>1908</v>
      </c>
    </row>
    <row r="41" spans="1:17" ht="14.25" customHeight="1">
      <c r="A41" s="1312" t="s">
        <v>267</v>
      </c>
      <c r="B41" s="1321" t="s">
        <v>1727</v>
      </c>
      <c r="C41" s="1317">
        <v>20560</v>
      </c>
      <c r="D41" s="1317">
        <v>21040</v>
      </c>
      <c r="E41" s="1317">
        <v>20740</v>
      </c>
      <c r="F41" s="1325"/>
      <c r="H41" s="1332"/>
      <c r="N41" s="1321" t="s">
        <v>1909</v>
      </c>
      <c r="O41" s="1321" t="s">
        <v>1910</v>
      </c>
      <c r="Q41" s="1321" t="s">
        <v>1911</v>
      </c>
    </row>
    <row r="42" spans="1:17" ht="14.25" customHeight="1">
      <c r="A42" s="1312" t="s">
        <v>267</v>
      </c>
      <c r="B42" s="1321" t="s">
        <v>1737</v>
      </c>
      <c r="C42" s="1317">
        <v>19280</v>
      </c>
      <c r="D42" s="1317">
        <v>22940</v>
      </c>
      <c r="E42" s="1317">
        <v>22500</v>
      </c>
      <c r="F42" s="1325"/>
      <c r="H42" s="1332"/>
      <c r="N42" s="1317" t="s">
        <v>1912</v>
      </c>
      <c r="O42" s="1317" t="s">
        <v>1913</v>
      </c>
      <c r="Q42" s="1317" t="s">
        <v>1914</v>
      </c>
    </row>
    <row r="43" spans="1:17" ht="14.25" customHeight="1">
      <c r="A43" s="1312" t="s">
        <v>267</v>
      </c>
      <c r="B43" s="1321" t="s">
        <v>1747</v>
      </c>
      <c r="C43" s="1317">
        <v>21520</v>
      </c>
      <c r="D43" s="1317">
        <v>19230</v>
      </c>
      <c r="E43" s="1317">
        <v>18540</v>
      </c>
      <c r="F43" s="1325"/>
      <c r="H43" s="1332"/>
      <c r="N43" s="1317" t="s">
        <v>1915</v>
      </c>
      <c r="O43" s="1317" t="s">
        <v>1916</v>
      </c>
      <c r="Q43" s="1317" t="s">
        <v>1917</v>
      </c>
    </row>
    <row r="44" spans="1:17" ht="14.25" customHeight="1">
      <c r="A44" s="1312" t="s">
        <v>267</v>
      </c>
      <c r="B44" s="1321" t="s">
        <v>1757</v>
      </c>
      <c r="C44" s="1317">
        <v>23260</v>
      </c>
      <c r="D44" s="1317">
        <v>21180</v>
      </c>
      <c r="E44" s="1317">
        <v>20730</v>
      </c>
      <c r="F44" s="1325"/>
      <c r="H44" s="1332"/>
      <c r="N44" s="1317" t="s">
        <v>1918</v>
      </c>
      <c r="O44" s="1317" t="s">
        <v>1919</v>
      </c>
      <c r="Q44" s="1317" t="s">
        <v>1920</v>
      </c>
    </row>
    <row r="45" spans="1:17" ht="14.25" customHeight="1">
      <c r="A45" s="1312" t="s">
        <v>267</v>
      </c>
      <c r="B45" s="1321" t="s">
        <v>1767</v>
      </c>
      <c r="C45" s="1317">
        <v>19610</v>
      </c>
      <c r="D45" s="1317">
        <v>18090</v>
      </c>
      <c r="E45" s="1317">
        <v>17970</v>
      </c>
      <c r="F45" s="1325"/>
      <c r="H45" s="1329"/>
      <c r="N45" s="1317" t="s">
        <v>1921</v>
      </c>
      <c r="O45" s="1317" t="s">
        <v>1922</v>
      </c>
      <c r="Q45" s="1317" t="s">
        <v>1923</v>
      </c>
    </row>
    <row r="46" spans="1:17" ht="14.25" customHeight="1">
      <c r="A46" s="1312" t="s">
        <v>267</v>
      </c>
      <c r="B46" s="1321" t="s">
        <v>1777</v>
      </c>
      <c r="C46" s="1317">
        <v>21660</v>
      </c>
      <c r="D46" s="1317">
        <v>19190</v>
      </c>
      <c r="E46" s="1317">
        <v>19790</v>
      </c>
      <c r="F46" s="1325"/>
      <c r="H46" s="1332"/>
      <c r="N46" s="1317" t="s">
        <v>1924</v>
      </c>
      <c r="O46" s="1317" t="s">
        <v>1925</v>
      </c>
      <c r="Q46" s="1317" t="s">
        <v>1926</v>
      </c>
    </row>
    <row r="47" spans="1:17" ht="14.25" customHeight="1">
      <c r="A47" s="1312" t="s">
        <v>267</v>
      </c>
      <c r="B47" s="1321" t="s">
        <v>1787</v>
      </c>
      <c r="C47" s="1317">
        <v>18220</v>
      </c>
      <c r="D47" s="1317"/>
      <c r="E47" s="1317">
        <v>17220</v>
      </c>
      <c r="F47" s="1325"/>
      <c r="H47" s="1332"/>
      <c r="N47" s="1317" t="s">
        <v>1927</v>
      </c>
      <c r="O47" s="1317" t="s">
        <v>1928</v>
      </c>
    </row>
    <row r="48" spans="1:17" ht="14.25" customHeight="1">
      <c r="A48" s="1312" t="s">
        <v>267</v>
      </c>
      <c r="B48" s="1322" t="s">
        <v>1796</v>
      </c>
      <c r="C48" s="1323">
        <v>19430</v>
      </c>
      <c r="D48" s="1323"/>
      <c r="E48" s="1323">
        <v>17830</v>
      </c>
      <c r="F48" s="1333"/>
      <c r="H48" s="1329"/>
      <c r="N48" s="1317" t="s">
        <v>1929</v>
      </c>
      <c r="O48" s="1317" t="s">
        <v>1930</v>
      </c>
    </row>
    <row r="49" spans="1:15" ht="14.25" customHeight="1">
      <c r="A49" s="1312" t="s">
        <v>277</v>
      </c>
      <c r="B49" s="1313" t="s">
        <v>1595</v>
      </c>
      <c r="C49" s="1313">
        <v>17090</v>
      </c>
      <c r="D49" s="1313">
        <v>16950</v>
      </c>
      <c r="E49" s="1313">
        <v>16310</v>
      </c>
      <c r="F49" s="1314">
        <v>4540</v>
      </c>
      <c r="H49" s="1332"/>
      <c r="N49" s="1317" t="s">
        <v>1931</v>
      </c>
      <c r="O49" s="1317" t="s">
        <v>1932</v>
      </c>
    </row>
    <row r="50" spans="1:15" ht="14.25" customHeight="1">
      <c r="A50" s="1312" t="s">
        <v>277</v>
      </c>
      <c r="B50" s="1317" t="s">
        <v>1608</v>
      </c>
      <c r="C50" s="1317">
        <v>19040</v>
      </c>
      <c r="D50" s="1317">
        <v>16960</v>
      </c>
      <c r="E50" s="1317">
        <v>14800</v>
      </c>
      <c r="F50" s="1325">
        <v>3940</v>
      </c>
      <c r="H50" s="1332"/>
    </row>
    <row r="51" spans="1:15" ht="14.25" customHeight="1">
      <c r="A51" s="1312" t="s">
        <v>277</v>
      </c>
      <c r="B51" s="1317" t="s">
        <v>1621</v>
      </c>
      <c r="C51" s="1317">
        <v>17040</v>
      </c>
      <c r="D51" s="1317">
        <v>16930</v>
      </c>
      <c r="E51" s="1317">
        <v>15030</v>
      </c>
      <c r="F51" s="1325">
        <v>4120</v>
      </c>
      <c r="H51" s="1332"/>
    </row>
    <row r="52" spans="1:15" ht="14.25" customHeight="1">
      <c r="A52" s="1312" t="s">
        <v>277</v>
      </c>
      <c r="B52" s="1317" t="s">
        <v>1633</v>
      </c>
      <c r="C52" s="1317">
        <v>17110</v>
      </c>
      <c r="D52" s="1317">
        <v>17750</v>
      </c>
      <c r="E52" s="1317">
        <v>17310</v>
      </c>
      <c r="F52" s="1325">
        <v>3220</v>
      </c>
      <c r="H52" s="1332"/>
    </row>
    <row r="53" spans="1:15" ht="14.25" customHeight="1">
      <c r="A53" s="1312" t="s">
        <v>277</v>
      </c>
      <c r="B53" s="1317" t="s">
        <v>1645</v>
      </c>
      <c r="C53" s="1317">
        <v>17810</v>
      </c>
      <c r="D53" s="1317">
        <v>17260</v>
      </c>
      <c r="E53" s="1317">
        <v>17090</v>
      </c>
      <c r="F53" s="1325">
        <v>3520</v>
      </c>
      <c r="H53" s="1332"/>
    </row>
    <row r="54" spans="1:15" ht="14.25" customHeight="1">
      <c r="A54" s="1312" t="s">
        <v>277</v>
      </c>
      <c r="B54" s="1317" t="s">
        <v>1656</v>
      </c>
      <c r="C54" s="1317">
        <v>17410</v>
      </c>
      <c r="D54" s="1317">
        <v>16780</v>
      </c>
      <c r="E54" s="1317">
        <v>16370</v>
      </c>
      <c r="F54" s="1325">
        <v>3410</v>
      </c>
      <c r="H54" s="1332"/>
    </row>
    <row r="55" spans="1:15" ht="14.25" customHeight="1">
      <c r="A55" s="1312" t="s">
        <v>277</v>
      </c>
      <c r="B55" s="1317" t="s">
        <v>1667</v>
      </c>
      <c r="C55" s="1317">
        <v>16930</v>
      </c>
      <c r="D55" s="1317">
        <v>14720</v>
      </c>
      <c r="E55" s="1317">
        <v>15000</v>
      </c>
      <c r="F55" s="1325">
        <v>3710</v>
      </c>
      <c r="H55" s="1332"/>
    </row>
    <row r="56" spans="1:15" ht="14.25" customHeight="1">
      <c r="A56" s="1312" t="s">
        <v>277</v>
      </c>
      <c r="B56" s="1317" t="s">
        <v>1678</v>
      </c>
      <c r="C56" s="1317">
        <v>14930</v>
      </c>
      <c r="D56" s="1317">
        <v>15850</v>
      </c>
      <c r="E56" s="1317">
        <v>14320</v>
      </c>
      <c r="F56" s="1325">
        <v>3960</v>
      </c>
      <c r="H56" s="1332"/>
    </row>
    <row r="57" spans="1:15" ht="14.25" customHeight="1">
      <c r="A57" s="1312" t="s">
        <v>277</v>
      </c>
      <c r="B57" s="1317" t="s">
        <v>1688</v>
      </c>
      <c r="C57" s="1317">
        <v>16160</v>
      </c>
      <c r="D57" s="1317">
        <v>16190</v>
      </c>
      <c r="E57" s="1317">
        <v>15650</v>
      </c>
      <c r="F57" s="1325">
        <v>4200</v>
      </c>
      <c r="H57" s="1332"/>
    </row>
    <row r="58" spans="1:15" ht="14.25" customHeight="1">
      <c r="A58" s="1312" t="s">
        <v>277</v>
      </c>
      <c r="B58" s="1317" t="s">
        <v>1698</v>
      </c>
      <c r="C58" s="1317">
        <v>16360</v>
      </c>
      <c r="D58" s="1317">
        <v>14050</v>
      </c>
      <c r="E58" s="1317">
        <v>16070</v>
      </c>
      <c r="F58" s="1325">
        <v>3990</v>
      </c>
      <c r="H58" s="1332"/>
    </row>
    <row r="59" spans="1:15" ht="14.25" customHeight="1">
      <c r="A59" s="1312" t="s">
        <v>277</v>
      </c>
      <c r="B59" s="1317" t="s">
        <v>1708</v>
      </c>
      <c r="C59" s="1317">
        <v>14160</v>
      </c>
      <c r="D59" s="1317">
        <v>16620</v>
      </c>
      <c r="E59" s="1317">
        <v>13940</v>
      </c>
      <c r="F59" s="1325">
        <v>4260</v>
      </c>
      <c r="H59" s="1332"/>
    </row>
    <row r="60" spans="1:15" ht="14.25" customHeight="1">
      <c r="A60" s="1312" t="s">
        <v>277</v>
      </c>
      <c r="B60" s="1317" t="s">
        <v>1718</v>
      </c>
      <c r="C60" s="1317">
        <v>16750</v>
      </c>
      <c r="D60" s="1317">
        <v>13910</v>
      </c>
      <c r="E60" s="1317">
        <v>16550</v>
      </c>
      <c r="F60" s="1325">
        <v>4550</v>
      </c>
      <c r="H60" s="1332"/>
    </row>
    <row r="61" spans="1:15" ht="14.25" customHeight="1">
      <c r="A61" s="1312" t="s">
        <v>277</v>
      </c>
      <c r="B61" s="1317" t="s">
        <v>1728</v>
      </c>
      <c r="C61" s="1317">
        <v>14000</v>
      </c>
      <c r="D61" s="1317">
        <v>14550</v>
      </c>
      <c r="E61" s="1317">
        <v>13860</v>
      </c>
      <c r="F61" s="1334"/>
      <c r="H61" s="1332"/>
    </row>
    <row r="62" spans="1:15" ht="14.25" customHeight="1">
      <c r="A62" s="1312" t="s">
        <v>277</v>
      </c>
      <c r="B62" s="1317" t="s">
        <v>1738</v>
      </c>
      <c r="C62" s="1317">
        <v>14660</v>
      </c>
      <c r="D62" s="1317">
        <v>17450</v>
      </c>
      <c r="E62" s="1317">
        <v>14470</v>
      </c>
      <c r="F62" s="1334"/>
      <c r="H62" s="1332"/>
    </row>
    <row r="63" spans="1:15" ht="14.25" customHeight="1">
      <c r="A63" s="1312" t="s">
        <v>277</v>
      </c>
      <c r="B63" s="1317" t="s">
        <v>1748</v>
      </c>
      <c r="C63" s="1317">
        <v>17610</v>
      </c>
      <c r="D63" s="1317">
        <v>16500</v>
      </c>
      <c r="E63" s="1317">
        <v>17330</v>
      </c>
      <c r="F63" s="1334"/>
      <c r="H63" s="1332"/>
    </row>
    <row r="64" spans="1:15" ht="14.25" customHeight="1">
      <c r="A64" s="1312" t="s">
        <v>277</v>
      </c>
      <c r="B64" s="1317" t="s">
        <v>1758</v>
      </c>
      <c r="C64" s="1317">
        <v>16590</v>
      </c>
      <c r="D64" s="1317">
        <v>15130</v>
      </c>
      <c r="E64" s="1317">
        <v>16420</v>
      </c>
      <c r="F64" s="1334"/>
      <c r="H64" s="1332"/>
    </row>
    <row r="65" spans="1:8" s="1304" customFormat="1" ht="14.25" customHeight="1">
      <c r="A65" s="1312" t="s">
        <v>277</v>
      </c>
      <c r="B65" s="1317" t="s">
        <v>1768</v>
      </c>
      <c r="C65" s="1317">
        <v>15220</v>
      </c>
      <c r="D65" s="1317">
        <v>14660</v>
      </c>
      <c r="E65" s="1317">
        <v>15060</v>
      </c>
      <c r="F65" s="1325"/>
      <c r="H65" s="1332"/>
    </row>
    <row r="66" spans="1:8" s="1304" customFormat="1" ht="14.25" customHeight="1">
      <c r="A66" s="1312" t="s">
        <v>277</v>
      </c>
      <c r="B66" s="1317" t="s">
        <v>1778</v>
      </c>
      <c r="C66" s="1317">
        <v>14720</v>
      </c>
      <c r="D66" s="1317">
        <v>15970</v>
      </c>
      <c r="E66" s="1317">
        <v>14610</v>
      </c>
      <c r="F66" s="1325"/>
      <c r="H66" s="1332"/>
    </row>
    <row r="67" spans="1:8" s="1304" customFormat="1" ht="14.25" customHeight="1">
      <c r="A67" s="1312" t="s">
        <v>277</v>
      </c>
      <c r="B67" s="1317" t="s">
        <v>1788</v>
      </c>
      <c r="C67" s="1317">
        <v>16080</v>
      </c>
      <c r="D67" s="1317">
        <v>14840</v>
      </c>
      <c r="E67" s="1317">
        <v>15630</v>
      </c>
      <c r="F67" s="1325"/>
      <c r="H67" s="1332"/>
    </row>
    <row r="68" spans="1:8" s="1304" customFormat="1" ht="14.25" customHeight="1">
      <c r="A68" s="1312" t="s">
        <v>277</v>
      </c>
      <c r="B68" s="1317" t="s">
        <v>1797</v>
      </c>
      <c r="C68" s="1317">
        <v>14940</v>
      </c>
      <c r="D68" s="1317">
        <v>18000</v>
      </c>
      <c r="E68" s="1317">
        <v>14040</v>
      </c>
      <c r="F68" s="1325"/>
      <c r="H68" s="1332"/>
    </row>
    <row r="69" spans="1:8" s="1304" customFormat="1" ht="14.25" customHeight="1">
      <c r="A69" s="1312" t="s">
        <v>277</v>
      </c>
      <c r="B69" s="1317" t="s">
        <v>1805</v>
      </c>
      <c r="C69" s="1317">
        <v>18810</v>
      </c>
      <c r="D69" s="1317">
        <v>15100</v>
      </c>
      <c r="E69" s="1317">
        <v>14710</v>
      </c>
      <c r="F69" s="1325"/>
      <c r="H69" s="1332"/>
    </row>
    <row r="70" spans="1:8" s="1304" customFormat="1" ht="14.25" customHeight="1">
      <c r="A70" s="1312" t="s">
        <v>277</v>
      </c>
      <c r="B70" s="1317" t="s">
        <v>1813</v>
      </c>
      <c r="C70" s="1317">
        <v>18270</v>
      </c>
      <c r="D70" s="1317"/>
      <c r="E70" s="1317"/>
      <c r="F70" s="1325"/>
      <c r="H70" s="1332"/>
    </row>
    <row r="71" spans="1:8" s="1304" customFormat="1" ht="14.25" customHeight="1">
      <c r="A71" s="1312" t="s">
        <v>277</v>
      </c>
      <c r="B71" s="1317" t="s">
        <v>1820</v>
      </c>
      <c r="C71" s="1317">
        <v>15230</v>
      </c>
      <c r="D71" s="1317"/>
      <c r="E71" s="1317"/>
      <c r="F71" s="1325"/>
      <c r="H71" s="1332"/>
    </row>
    <row r="72" spans="1:8" s="1304" customFormat="1" ht="14.25" customHeight="1">
      <c r="A72" s="1312" t="s">
        <v>277</v>
      </c>
      <c r="B72" s="1317" t="s">
        <v>1827</v>
      </c>
      <c r="C72" s="1317"/>
      <c r="D72" s="1317"/>
      <c r="E72" s="1317"/>
      <c r="F72" s="1325">
        <v>4120</v>
      </c>
      <c r="H72" s="1332"/>
    </row>
    <row r="73" spans="1:8" s="1304" customFormat="1" ht="14.25" customHeight="1">
      <c r="A73" s="1312" t="s">
        <v>277</v>
      </c>
      <c r="B73" s="1317" t="s">
        <v>1834</v>
      </c>
      <c r="C73" s="1317"/>
      <c r="D73" s="1317"/>
      <c r="E73" s="1317"/>
      <c r="F73" s="1325">
        <v>3930</v>
      </c>
      <c r="H73" s="1332"/>
    </row>
    <row r="74" spans="1:8" s="1304" customFormat="1" ht="14.25" customHeight="1">
      <c r="A74" s="1312" t="s">
        <v>277</v>
      </c>
      <c r="B74" s="1317" t="s">
        <v>1841</v>
      </c>
      <c r="C74" s="1317"/>
      <c r="D74" s="1317"/>
      <c r="E74" s="1317"/>
      <c r="F74" s="1325">
        <v>4060</v>
      </c>
      <c r="H74" s="1332"/>
    </row>
    <row r="75" spans="1:8" s="1304" customFormat="1" ht="14.25" customHeight="1">
      <c r="A75" s="1312" t="s">
        <v>277</v>
      </c>
      <c r="B75" s="1323" t="s">
        <v>1848</v>
      </c>
      <c r="C75" s="1323"/>
      <c r="D75" s="1323"/>
      <c r="E75" s="1323"/>
      <c r="F75" s="1333">
        <v>3750</v>
      </c>
      <c r="H75" s="1332"/>
    </row>
    <row r="76" spans="1:8" s="1304" customFormat="1" ht="14.25" customHeight="1">
      <c r="A76" s="1312" t="s">
        <v>286</v>
      </c>
      <c r="B76" s="1313" t="s">
        <v>1596</v>
      </c>
      <c r="C76" s="1313">
        <v>14690</v>
      </c>
      <c r="D76" s="1313">
        <v>14640</v>
      </c>
      <c r="E76" s="1313">
        <v>14590</v>
      </c>
      <c r="F76" s="1314">
        <v>3060</v>
      </c>
      <c r="H76" s="1332"/>
    </row>
    <row r="77" spans="1:8" s="1304" customFormat="1" ht="14.25" customHeight="1">
      <c r="A77" s="1312" t="s">
        <v>286</v>
      </c>
      <c r="B77" s="1317" t="s">
        <v>1609</v>
      </c>
      <c r="C77" s="1317">
        <v>12550</v>
      </c>
      <c r="D77" s="1317">
        <v>12480</v>
      </c>
      <c r="E77" s="1317">
        <v>12450</v>
      </c>
      <c r="F77" s="1325">
        <v>2590</v>
      </c>
      <c r="H77" s="1332"/>
    </row>
    <row r="78" spans="1:8" s="1304" customFormat="1" ht="14.25" customHeight="1">
      <c r="A78" s="1312" t="s">
        <v>286</v>
      </c>
      <c r="B78" s="1317" t="s">
        <v>1622</v>
      </c>
      <c r="C78" s="1317">
        <v>14360</v>
      </c>
      <c r="D78" s="1317">
        <v>14320</v>
      </c>
      <c r="E78" s="1317">
        <v>12510</v>
      </c>
      <c r="F78" s="1325">
        <v>2700</v>
      </c>
      <c r="H78" s="1332"/>
    </row>
    <row r="79" spans="1:8" s="1304" customFormat="1" ht="14.25" customHeight="1">
      <c r="A79" s="1312" t="s">
        <v>286</v>
      </c>
      <c r="B79" s="1317" t="s">
        <v>1634</v>
      </c>
      <c r="C79" s="1317">
        <v>12590</v>
      </c>
      <c r="D79" s="1317">
        <v>12540</v>
      </c>
      <c r="E79" s="1317">
        <v>12350</v>
      </c>
      <c r="F79" s="1325">
        <v>2740</v>
      </c>
      <c r="H79" s="1332"/>
    </row>
    <row r="80" spans="1:8" s="1304" customFormat="1" ht="14.25" customHeight="1">
      <c r="A80" s="1312" t="s">
        <v>286</v>
      </c>
      <c r="B80" s="1317" t="s">
        <v>1646</v>
      </c>
      <c r="C80" s="1317">
        <v>12450</v>
      </c>
      <c r="D80" s="1317">
        <v>12370</v>
      </c>
      <c r="E80" s="1317">
        <v>10790</v>
      </c>
      <c r="F80" s="1325">
        <v>2290</v>
      </c>
      <c r="H80" s="1332"/>
    </row>
    <row r="81" spans="1:8" s="1304" customFormat="1" ht="14.25" customHeight="1">
      <c r="A81" s="1312" t="s">
        <v>286</v>
      </c>
      <c r="B81" s="1317" t="s">
        <v>1657</v>
      </c>
      <c r="C81" s="1317">
        <v>14210</v>
      </c>
      <c r="D81" s="1317">
        <v>14150</v>
      </c>
      <c r="E81" s="1317">
        <v>12730</v>
      </c>
      <c r="F81" s="1325">
        <v>2240</v>
      </c>
      <c r="H81" s="1332"/>
    </row>
    <row r="82" spans="1:8" s="1304" customFormat="1" ht="14.25" customHeight="1">
      <c r="A82" s="1312" t="s">
        <v>286</v>
      </c>
      <c r="B82" s="1317" t="s">
        <v>1668</v>
      </c>
      <c r="C82" s="1317">
        <v>10860</v>
      </c>
      <c r="D82" s="1317">
        <v>10820</v>
      </c>
      <c r="E82" s="1317">
        <v>14720</v>
      </c>
      <c r="F82" s="1325">
        <v>2490</v>
      </c>
      <c r="H82" s="1332"/>
    </row>
    <row r="83" spans="1:8" s="1304" customFormat="1" ht="14.25" customHeight="1">
      <c r="A83" s="1312" t="s">
        <v>286</v>
      </c>
      <c r="B83" s="1317" t="s">
        <v>1679</v>
      </c>
      <c r="C83" s="1317">
        <v>12810</v>
      </c>
      <c r="D83" s="1317">
        <v>12760</v>
      </c>
      <c r="E83" s="1317">
        <v>14830</v>
      </c>
      <c r="F83" s="1325">
        <v>2450</v>
      </c>
      <c r="H83" s="1332"/>
    </row>
    <row r="84" spans="1:8" s="1304" customFormat="1" ht="14.25" customHeight="1">
      <c r="A84" s="1312" t="s">
        <v>286</v>
      </c>
      <c r="B84" s="1317" t="s">
        <v>1689</v>
      </c>
      <c r="C84" s="1317">
        <v>14950</v>
      </c>
      <c r="D84" s="1317">
        <v>14810</v>
      </c>
      <c r="E84" s="1317">
        <v>12590</v>
      </c>
      <c r="F84" s="1325">
        <v>2540</v>
      </c>
      <c r="H84" s="1332"/>
    </row>
    <row r="85" spans="1:8" s="1304" customFormat="1" ht="14.25" customHeight="1">
      <c r="A85" s="1312" t="s">
        <v>286</v>
      </c>
      <c r="B85" s="1317" t="s">
        <v>1699</v>
      </c>
      <c r="C85" s="1317">
        <v>14960</v>
      </c>
      <c r="D85" s="1317">
        <v>14890</v>
      </c>
      <c r="E85" s="1317">
        <v>12840</v>
      </c>
      <c r="F85" s="1325">
        <v>2840</v>
      </c>
      <c r="H85" s="1332"/>
    </row>
    <row r="86" spans="1:8" s="1304" customFormat="1" ht="14.25" customHeight="1">
      <c r="A86" s="1312" t="s">
        <v>286</v>
      </c>
      <c r="B86" s="1317" t="s">
        <v>1709</v>
      </c>
      <c r="C86" s="1317">
        <v>12730</v>
      </c>
      <c r="D86" s="1317">
        <v>12660</v>
      </c>
      <c r="E86" s="1317">
        <v>13310</v>
      </c>
      <c r="F86" s="1325">
        <v>3140</v>
      </c>
      <c r="H86" s="1332"/>
    </row>
    <row r="87" spans="1:8" s="1304" customFormat="1" ht="14.25" customHeight="1">
      <c r="A87" s="1312" t="s">
        <v>286</v>
      </c>
      <c r="B87" s="1317" t="s">
        <v>1719</v>
      </c>
      <c r="C87" s="1317">
        <v>12940</v>
      </c>
      <c r="D87" s="1317">
        <v>12890</v>
      </c>
      <c r="E87" s="1317">
        <v>11580</v>
      </c>
      <c r="F87" s="1334"/>
      <c r="H87" s="1332"/>
    </row>
    <row r="88" spans="1:8" s="1304" customFormat="1" ht="14.25" customHeight="1">
      <c r="A88" s="1312" t="s">
        <v>286</v>
      </c>
      <c r="B88" s="1317" t="s">
        <v>1729</v>
      </c>
      <c r="C88" s="1317">
        <v>13430</v>
      </c>
      <c r="D88" s="1317">
        <v>13360</v>
      </c>
      <c r="E88" s="1317">
        <v>12790</v>
      </c>
      <c r="F88" s="1334"/>
      <c r="H88" s="1332"/>
    </row>
    <row r="89" spans="1:8" s="1304" customFormat="1" ht="14.25" customHeight="1">
      <c r="A89" s="1312" t="s">
        <v>286</v>
      </c>
      <c r="B89" s="1317" t="s">
        <v>1739</v>
      </c>
      <c r="C89" s="1317">
        <v>11680</v>
      </c>
      <c r="D89" s="1317">
        <v>11630</v>
      </c>
      <c r="E89" s="1317">
        <v>11320</v>
      </c>
      <c r="F89" s="1334"/>
      <c r="H89" s="1332"/>
    </row>
    <row r="90" spans="1:8" s="1304" customFormat="1" ht="14.25" customHeight="1">
      <c r="A90" s="1312" t="s">
        <v>286</v>
      </c>
      <c r="B90" s="1317" t="s">
        <v>1749</v>
      </c>
      <c r="C90" s="1317">
        <v>12890</v>
      </c>
      <c r="D90" s="1317">
        <v>12820</v>
      </c>
      <c r="E90" s="1317">
        <v>12710</v>
      </c>
      <c r="F90" s="1334"/>
      <c r="H90" s="1332"/>
    </row>
    <row r="91" spans="1:8" s="1304" customFormat="1" ht="14.25" customHeight="1">
      <c r="A91" s="1312" t="s">
        <v>286</v>
      </c>
      <c r="B91" s="1317" t="s">
        <v>1759</v>
      </c>
      <c r="C91" s="1317">
        <v>11410</v>
      </c>
      <c r="D91" s="1317">
        <v>11360</v>
      </c>
      <c r="E91" s="1317">
        <v>12670</v>
      </c>
      <c r="F91" s="1334"/>
      <c r="H91" s="1332"/>
    </row>
    <row r="92" spans="1:8" s="1304" customFormat="1" ht="14.25" customHeight="1">
      <c r="A92" s="1312" t="s">
        <v>286</v>
      </c>
      <c r="B92" s="1317" t="s">
        <v>1769</v>
      </c>
      <c r="C92" s="1317">
        <v>12770</v>
      </c>
      <c r="D92" s="1317">
        <v>12740</v>
      </c>
      <c r="E92" s="1317">
        <v>11970</v>
      </c>
      <c r="F92" s="1334"/>
      <c r="H92" s="1332"/>
    </row>
    <row r="93" spans="1:8" s="1304" customFormat="1" ht="14.25" customHeight="1">
      <c r="A93" s="1312" t="s">
        <v>286</v>
      </c>
      <c r="B93" s="1317" t="s">
        <v>1779</v>
      </c>
      <c r="C93" s="1317">
        <v>12740</v>
      </c>
      <c r="D93" s="1317">
        <v>12700</v>
      </c>
      <c r="E93" s="1317">
        <v>12540</v>
      </c>
      <c r="F93" s="1334"/>
      <c r="H93" s="1332"/>
    </row>
    <row r="94" spans="1:8" s="1304" customFormat="1" ht="14.25" customHeight="1">
      <c r="A94" s="1312" t="s">
        <v>286</v>
      </c>
      <c r="B94" s="1317" t="s">
        <v>1789</v>
      </c>
      <c r="C94" s="1317">
        <v>12020</v>
      </c>
      <c r="D94" s="1317">
        <v>11990</v>
      </c>
      <c r="E94" s="1317">
        <v>13110</v>
      </c>
      <c r="F94" s="1334"/>
      <c r="H94" s="1332"/>
    </row>
    <row r="95" spans="1:8" s="1304" customFormat="1" ht="14.25" customHeight="1">
      <c r="A95" s="1312" t="s">
        <v>286</v>
      </c>
      <c r="B95" s="1317" t="s">
        <v>1798</v>
      </c>
      <c r="C95" s="1317">
        <v>12620</v>
      </c>
      <c r="D95" s="1317">
        <v>12580</v>
      </c>
      <c r="E95" s="1317">
        <v>13160</v>
      </c>
      <c r="F95" s="1325"/>
      <c r="H95" s="1332"/>
    </row>
    <row r="96" spans="1:8" s="1304" customFormat="1" ht="14.25" customHeight="1">
      <c r="A96" s="1312" t="s">
        <v>286</v>
      </c>
      <c r="B96" s="1317" t="s">
        <v>1806</v>
      </c>
      <c r="C96" s="1317">
        <v>13200</v>
      </c>
      <c r="D96" s="1317">
        <v>13150</v>
      </c>
      <c r="E96" s="1317">
        <v>12900</v>
      </c>
      <c r="F96" s="1325"/>
      <c r="H96" s="1332"/>
    </row>
    <row r="97" spans="1:8" s="1304" customFormat="1" ht="14.25" customHeight="1">
      <c r="A97" s="1312" t="s">
        <v>286</v>
      </c>
      <c r="B97" s="1317" t="s">
        <v>1814</v>
      </c>
      <c r="C97" s="1317">
        <v>13270</v>
      </c>
      <c r="D97" s="1317">
        <v>13210</v>
      </c>
      <c r="E97" s="1317">
        <v>11080</v>
      </c>
      <c r="F97" s="1325"/>
      <c r="H97" s="1332"/>
    </row>
    <row r="98" spans="1:8" s="1304" customFormat="1" ht="14.25" customHeight="1">
      <c r="A98" s="1312" t="s">
        <v>286</v>
      </c>
      <c r="B98" s="1317" t="s">
        <v>1821</v>
      </c>
      <c r="C98" s="1317">
        <v>13010</v>
      </c>
      <c r="D98" s="1317">
        <v>12930</v>
      </c>
      <c r="E98" s="1317">
        <v>12840</v>
      </c>
      <c r="F98" s="1325"/>
      <c r="H98" s="1332"/>
    </row>
    <row r="99" spans="1:8" s="1304" customFormat="1" ht="14.25" customHeight="1">
      <c r="A99" s="1312" t="s">
        <v>286</v>
      </c>
      <c r="B99" s="1317" t="s">
        <v>1828</v>
      </c>
      <c r="C99" s="1317">
        <v>11190</v>
      </c>
      <c r="D99" s="1317">
        <v>11130</v>
      </c>
      <c r="E99" s="1317"/>
      <c r="F99" s="1325"/>
      <c r="H99" s="1332"/>
    </row>
    <row r="100" spans="1:8" s="1304" customFormat="1" ht="14.25" customHeight="1">
      <c r="A100" s="1312" t="s">
        <v>286</v>
      </c>
      <c r="B100" s="1317" t="s">
        <v>1835</v>
      </c>
      <c r="C100" s="1317">
        <v>14280</v>
      </c>
      <c r="D100" s="1317">
        <v>14180</v>
      </c>
      <c r="E100" s="1317"/>
      <c r="F100" s="1325"/>
      <c r="H100" s="1332"/>
    </row>
    <row r="101" spans="1:8" s="1304" customFormat="1" ht="14.25" customHeight="1">
      <c r="A101" s="1312" t="s">
        <v>286</v>
      </c>
      <c r="B101" s="1317" t="s">
        <v>1842</v>
      </c>
      <c r="C101" s="1317">
        <v>12960</v>
      </c>
      <c r="D101" s="1317">
        <v>12890</v>
      </c>
      <c r="E101" s="1317"/>
      <c r="F101" s="1325"/>
      <c r="H101" s="1332"/>
    </row>
    <row r="102" spans="1:8" s="1304" customFormat="1" ht="14.25" customHeight="1">
      <c r="A102" s="1312" t="s">
        <v>286</v>
      </c>
      <c r="B102" s="1317" t="s">
        <v>1849</v>
      </c>
      <c r="C102" s="1317"/>
      <c r="D102" s="1317"/>
      <c r="E102" s="1317"/>
      <c r="F102" s="1325">
        <v>3100</v>
      </c>
      <c r="H102" s="1332"/>
    </row>
    <row r="103" spans="1:8" s="1304" customFormat="1" ht="14.25" customHeight="1">
      <c r="A103" s="1312" t="s">
        <v>286</v>
      </c>
      <c r="B103" s="1317" t="s">
        <v>1854</v>
      </c>
      <c r="C103" s="1317"/>
      <c r="D103" s="1317"/>
      <c r="E103" s="1317"/>
      <c r="F103" s="1325">
        <v>2320</v>
      </c>
      <c r="H103" s="1332"/>
    </row>
    <row r="104" spans="1:8" s="1304" customFormat="1" ht="14.25" customHeight="1">
      <c r="A104" s="1312" t="s">
        <v>286</v>
      </c>
      <c r="B104" s="1317" t="s">
        <v>1859</v>
      </c>
      <c r="C104" s="1317"/>
      <c r="D104" s="1317"/>
      <c r="E104" s="1317"/>
      <c r="F104" s="1325">
        <v>2320</v>
      </c>
      <c r="H104" s="1332"/>
    </row>
    <row r="105" spans="1:8" s="1304" customFormat="1" ht="14.25" customHeight="1">
      <c r="A105" s="1312" t="s">
        <v>286</v>
      </c>
      <c r="B105" s="1317" t="s">
        <v>1864</v>
      </c>
      <c r="C105" s="1317"/>
      <c r="D105" s="1317"/>
      <c r="E105" s="1317"/>
      <c r="F105" s="1325">
        <v>2320</v>
      </c>
      <c r="H105" s="1332"/>
    </row>
    <row r="106" spans="1:8" s="1304" customFormat="1" ht="14.25" customHeight="1">
      <c r="A106" s="1312" t="s">
        <v>286</v>
      </c>
      <c r="B106" s="1317" t="s">
        <v>1869</v>
      </c>
      <c r="C106" s="1317"/>
      <c r="D106" s="1317"/>
      <c r="E106" s="1317"/>
      <c r="F106" s="1325">
        <v>2320</v>
      </c>
      <c r="H106" s="1332"/>
    </row>
    <row r="107" spans="1:8" s="1304" customFormat="1" ht="14.25" customHeight="1">
      <c r="A107" s="1312" t="s">
        <v>286</v>
      </c>
      <c r="B107" s="1317" t="s">
        <v>1874</v>
      </c>
      <c r="C107" s="1317"/>
      <c r="D107" s="1317"/>
      <c r="E107" s="1317"/>
      <c r="F107" s="1325">
        <v>2280</v>
      </c>
      <c r="H107" s="1332"/>
    </row>
    <row r="108" spans="1:8" s="1304" customFormat="1" ht="14.25" customHeight="1">
      <c r="A108" s="1312" t="s">
        <v>286</v>
      </c>
      <c r="B108" s="1317" t="s">
        <v>1879</v>
      </c>
      <c r="C108" s="1317"/>
      <c r="D108" s="1317"/>
      <c r="E108" s="1317"/>
      <c r="F108" s="1325">
        <v>2280</v>
      </c>
      <c r="H108" s="1332"/>
    </row>
    <row r="109" spans="1:8" s="1304" customFormat="1" ht="14.25" customHeight="1">
      <c r="A109" s="1312" t="s">
        <v>286</v>
      </c>
      <c r="B109" s="1323" t="s">
        <v>1884</v>
      </c>
      <c r="C109" s="1323"/>
      <c r="D109" s="1323"/>
      <c r="E109" s="1323"/>
      <c r="F109" s="1333">
        <v>2280</v>
      </c>
      <c r="H109" s="1332"/>
    </row>
    <row r="110" spans="1:8" s="1304" customFormat="1" ht="14.25" customHeight="1">
      <c r="A110" s="1312" t="s">
        <v>294</v>
      </c>
      <c r="B110" s="1313" t="s">
        <v>1597</v>
      </c>
      <c r="C110" s="1313">
        <v>10520</v>
      </c>
      <c r="D110" s="1313">
        <v>10490</v>
      </c>
      <c r="E110" s="1313">
        <v>10760</v>
      </c>
      <c r="F110" s="1314">
        <v>2160</v>
      </c>
      <c r="H110" s="1332"/>
    </row>
    <row r="111" spans="1:8" s="1304" customFormat="1" ht="14.25" customHeight="1">
      <c r="A111" s="1312" t="s">
        <v>294</v>
      </c>
      <c r="B111" s="1317" t="s">
        <v>1610</v>
      </c>
      <c r="C111" s="1317">
        <v>10090</v>
      </c>
      <c r="D111" s="1317">
        <v>10060</v>
      </c>
      <c r="E111" s="1317">
        <v>10300</v>
      </c>
      <c r="F111" s="1325">
        <v>2010</v>
      </c>
      <c r="H111" s="1332"/>
    </row>
    <row r="112" spans="1:8" s="1304" customFormat="1" ht="14.25" customHeight="1">
      <c r="A112" s="1312" t="s">
        <v>294</v>
      </c>
      <c r="B112" s="1317" t="s">
        <v>1623</v>
      </c>
      <c r="C112" s="1317">
        <v>9910</v>
      </c>
      <c r="D112" s="1317">
        <v>9850</v>
      </c>
      <c r="E112" s="1317">
        <v>9960</v>
      </c>
      <c r="F112" s="1325">
        <v>2090</v>
      </c>
      <c r="H112" s="1332"/>
    </row>
    <row r="113" spans="1:8" s="1304" customFormat="1" ht="14.25" customHeight="1">
      <c r="A113" s="1312" t="s">
        <v>294</v>
      </c>
      <c r="B113" s="1317" t="s">
        <v>1635</v>
      </c>
      <c r="C113" s="1317">
        <v>11430</v>
      </c>
      <c r="D113" s="1317">
        <v>11400</v>
      </c>
      <c r="E113" s="1317">
        <v>11710</v>
      </c>
      <c r="F113" s="1325">
        <v>2050</v>
      </c>
      <c r="H113" s="1332"/>
    </row>
    <row r="114" spans="1:8" s="1304" customFormat="1" ht="14.25" customHeight="1">
      <c r="A114" s="1312" t="s">
        <v>294</v>
      </c>
      <c r="B114" s="1317" t="s">
        <v>1647</v>
      </c>
      <c r="C114" s="1317">
        <v>11390</v>
      </c>
      <c r="D114" s="1317">
        <v>11350</v>
      </c>
      <c r="E114" s="1317">
        <v>11640</v>
      </c>
      <c r="F114" s="1325">
        <v>1620</v>
      </c>
      <c r="H114" s="1332"/>
    </row>
    <row r="115" spans="1:8" s="1304" customFormat="1" ht="14.25" customHeight="1">
      <c r="A115" s="1312" t="s">
        <v>294</v>
      </c>
      <c r="B115" s="1317" t="s">
        <v>1658</v>
      </c>
      <c r="C115" s="1317">
        <v>9930</v>
      </c>
      <c r="D115" s="1317">
        <v>9900</v>
      </c>
      <c r="E115" s="1317">
        <v>10160</v>
      </c>
      <c r="F115" s="1325">
        <v>1580</v>
      </c>
      <c r="H115" s="1332"/>
    </row>
    <row r="116" spans="1:8" s="1304" customFormat="1" ht="14.25" customHeight="1">
      <c r="A116" s="1312" t="s">
        <v>294</v>
      </c>
      <c r="B116" s="1317" t="s">
        <v>1669</v>
      </c>
      <c r="C116" s="1317">
        <v>9150</v>
      </c>
      <c r="D116" s="1317">
        <v>9120</v>
      </c>
      <c r="E116" s="1317">
        <v>9380</v>
      </c>
      <c r="F116" s="1325">
        <v>1750</v>
      </c>
      <c r="H116" s="1332"/>
    </row>
    <row r="117" spans="1:8" s="1304" customFormat="1" ht="14.25" customHeight="1">
      <c r="A117" s="1312" t="s">
        <v>294</v>
      </c>
      <c r="B117" s="1317" t="s">
        <v>1680</v>
      </c>
      <c r="C117" s="1317">
        <v>10680</v>
      </c>
      <c r="D117" s="1317">
        <v>10650</v>
      </c>
      <c r="E117" s="1317">
        <v>10970</v>
      </c>
      <c r="F117" s="1325">
        <v>1730</v>
      </c>
      <c r="H117" s="1332"/>
    </row>
    <row r="118" spans="1:8" s="1304" customFormat="1" ht="14.25" customHeight="1">
      <c r="A118" s="1312" t="s">
        <v>294</v>
      </c>
      <c r="B118" s="1317" t="s">
        <v>1690</v>
      </c>
      <c r="C118" s="1317">
        <v>10080</v>
      </c>
      <c r="D118" s="1317">
        <v>10050</v>
      </c>
      <c r="E118" s="1317">
        <v>10350</v>
      </c>
      <c r="F118" s="1325">
        <v>1920</v>
      </c>
      <c r="H118" s="1332"/>
    </row>
    <row r="119" spans="1:8" s="1304" customFormat="1" ht="14.25" customHeight="1">
      <c r="A119" s="1312" t="s">
        <v>294</v>
      </c>
      <c r="B119" s="1317" t="s">
        <v>1700</v>
      </c>
      <c r="C119" s="1317">
        <v>9450</v>
      </c>
      <c r="D119" s="1317">
        <v>9410</v>
      </c>
      <c r="E119" s="1317">
        <v>9680</v>
      </c>
      <c r="F119" s="1325">
        <v>1880</v>
      </c>
      <c r="H119" s="1332"/>
    </row>
    <row r="120" spans="1:8" s="1304" customFormat="1" ht="14.25" customHeight="1">
      <c r="A120" s="1312" t="s">
        <v>294</v>
      </c>
      <c r="B120" s="1317" t="s">
        <v>1710</v>
      </c>
      <c r="C120" s="1317">
        <v>8730</v>
      </c>
      <c r="D120" s="1317">
        <v>8700</v>
      </c>
      <c r="E120" s="1317">
        <v>8950</v>
      </c>
      <c r="F120" s="1325">
        <v>1830</v>
      </c>
      <c r="H120" s="1332"/>
    </row>
    <row r="121" spans="1:8" s="1304" customFormat="1" ht="14.25" customHeight="1">
      <c r="A121" s="1312" t="s">
        <v>294</v>
      </c>
      <c r="B121" s="1317" t="s">
        <v>1720</v>
      </c>
      <c r="C121" s="1317">
        <v>10070</v>
      </c>
      <c r="D121" s="1317">
        <v>10040</v>
      </c>
      <c r="E121" s="1317">
        <v>10270</v>
      </c>
      <c r="F121" s="1325">
        <v>1960</v>
      </c>
      <c r="H121" s="1332"/>
    </row>
    <row r="122" spans="1:8" s="1304" customFormat="1" ht="14.25" customHeight="1">
      <c r="A122" s="1312" t="s">
        <v>294</v>
      </c>
      <c r="B122" s="1317" t="s">
        <v>1730</v>
      </c>
      <c r="C122" s="1317">
        <v>10500</v>
      </c>
      <c r="D122" s="1317">
        <v>10470</v>
      </c>
      <c r="E122" s="1317">
        <v>10780</v>
      </c>
      <c r="F122" s="1325">
        <v>2180</v>
      </c>
      <c r="H122" s="1332"/>
    </row>
    <row r="123" spans="1:8" s="1304" customFormat="1" ht="14.25" customHeight="1">
      <c r="A123" s="1312" t="s">
        <v>294</v>
      </c>
      <c r="B123" s="1317" t="s">
        <v>1740</v>
      </c>
      <c r="C123" s="1317">
        <v>10390</v>
      </c>
      <c r="D123" s="1317">
        <v>10360</v>
      </c>
      <c r="E123" s="1317">
        <v>10660</v>
      </c>
      <c r="F123" s="1325">
        <v>2040</v>
      </c>
      <c r="H123" s="1332"/>
    </row>
    <row r="124" spans="1:8" s="1304" customFormat="1" ht="14.25" customHeight="1">
      <c r="A124" s="1312" t="s">
        <v>294</v>
      </c>
      <c r="B124" s="1317" t="s">
        <v>1750</v>
      </c>
      <c r="C124" s="1317">
        <v>10390</v>
      </c>
      <c r="D124" s="1317">
        <v>10360</v>
      </c>
      <c r="E124" s="1317">
        <v>10680</v>
      </c>
      <c r="F124" s="1334"/>
      <c r="H124" s="1332"/>
    </row>
    <row r="125" spans="1:8" s="1304" customFormat="1" ht="14.25" customHeight="1">
      <c r="A125" s="1312" t="s">
        <v>294</v>
      </c>
      <c r="B125" s="1317" t="s">
        <v>1760</v>
      </c>
      <c r="C125" s="1317">
        <v>10440</v>
      </c>
      <c r="D125" s="1317">
        <v>10410</v>
      </c>
      <c r="E125" s="1317">
        <v>10710</v>
      </c>
      <c r="F125" s="1334"/>
      <c r="H125" s="1332"/>
    </row>
    <row r="126" spans="1:8" s="1304" customFormat="1" ht="14.25" customHeight="1">
      <c r="A126" s="1312" t="s">
        <v>294</v>
      </c>
      <c r="B126" s="1317" t="s">
        <v>1770</v>
      </c>
      <c r="C126" s="1317">
        <v>10780</v>
      </c>
      <c r="D126" s="1317">
        <v>10750</v>
      </c>
      <c r="E126" s="1317">
        <v>11080</v>
      </c>
      <c r="F126" s="1334"/>
      <c r="H126" s="1332"/>
    </row>
    <row r="127" spans="1:8" s="1304" customFormat="1" ht="14.25" customHeight="1">
      <c r="A127" s="1312" t="s">
        <v>294</v>
      </c>
      <c r="B127" s="1317" t="s">
        <v>1780</v>
      </c>
      <c r="C127" s="1317">
        <v>10100</v>
      </c>
      <c r="D127" s="1317">
        <v>10070</v>
      </c>
      <c r="E127" s="1317">
        <v>10350</v>
      </c>
      <c r="F127" s="1334"/>
      <c r="H127" s="1332"/>
    </row>
    <row r="128" spans="1:8" s="1304" customFormat="1" ht="14.25" customHeight="1">
      <c r="A128" s="1312" t="s">
        <v>294</v>
      </c>
      <c r="B128" s="1317" t="s">
        <v>1790</v>
      </c>
      <c r="C128" s="1317">
        <v>9200</v>
      </c>
      <c r="D128" s="1317">
        <v>9160</v>
      </c>
      <c r="E128" s="1317">
        <v>9660</v>
      </c>
      <c r="F128" s="1334"/>
      <c r="H128" s="1332"/>
    </row>
    <row r="129" spans="1:8" s="1304" customFormat="1" ht="14.25" customHeight="1">
      <c r="A129" s="1312" t="s">
        <v>294</v>
      </c>
      <c r="B129" s="1317" t="s">
        <v>1799</v>
      </c>
      <c r="C129" s="1317">
        <v>10340</v>
      </c>
      <c r="D129" s="1317">
        <v>10310</v>
      </c>
      <c r="E129" s="1317">
        <v>10580</v>
      </c>
      <c r="F129" s="1334"/>
      <c r="H129" s="1332"/>
    </row>
    <row r="130" spans="1:8" s="1304" customFormat="1" ht="14.25" customHeight="1">
      <c r="A130" s="1312" t="s">
        <v>294</v>
      </c>
      <c r="B130" s="1317" t="s">
        <v>1807</v>
      </c>
      <c r="C130" s="1317">
        <v>9680</v>
      </c>
      <c r="D130" s="1317">
        <v>9660</v>
      </c>
      <c r="E130" s="1317">
        <v>9950</v>
      </c>
      <c r="F130" s="1334"/>
      <c r="H130" s="1332"/>
    </row>
    <row r="131" spans="1:8" s="1304" customFormat="1" ht="14.25" customHeight="1">
      <c r="A131" s="1312" t="s">
        <v>294</v>
      </c>
      <c r="B131" s="1317" t="s">
        <v>1815</v>
      </c>
      <c r="C131" s="1317">
        <v>9540</v>
      </c>
      <c r="D131" s="1317">
        <v>9510</v>
      </c>
      <c r="E131" s="1317">
        <v>9790</v>
      </c>
      <c r="F131" s="1334"/>
      <c r="H131" s="1332"/>
    </row>
    <row r="132" spans="1:8" s="1304" customFormat="1" ht="14.25" customHeight="1">
      <c r="A132" s="1312" t="s">
        <v>294</v>
      </c>
      <c r="B132" s="1317" t="s">
        <v>1822</v>
      </c>
      <c r="C132" s="1317">
        <v>9320</v>
      </c>
      <c r="D132" s="1317">
        <v>9290</v>
      </c>
      <c r="E132" s="1317">
        <v>9570</v>
      </c>
      <c r="F132" s="1334"/>
      <c r="H132" s="1332"/>
    </row>
    <row r="133" spans="1:8" s="1304" customFormat="1" ht="14.25" customHeight="1">
      <c r="A133" s="1312" t="s">
        <v>294</v>
      </c>
      <c r="B133" s="1317" t="s">
        <v>1829</v>
      </c>
      <c r="C133" s="1317">
        <v>10310</v>
      </c>
      <c r="D133" s="1317">
        <v>10280</v>
      </c>
      <c r="E133" s="1317">
        <v>10530</v>
      </c>
      <c r="F133" s="1334"/>
      <c r="H133" s="1332"/>
    </row>
    <row r="134" spans="1:8" s="1304" customFormat="1" ht="14.25" customHeight="1">
      <c r="A134" s="1312" t="s">
        <v>294</v>
      </c>
      <c r="B134" s="1317" t="s">
        <v>1836</v>
      </c>
      <c r="C134" s="1317">
        <v>10370</v>
      </c>
      <c r="D134" s="1317">
        <v>10310</v>
      </c>
      <c r="E134" s="1317">
        <v>10240</v>
      </c>
      <c r="F134" s="1325">
        <v>2060</v>
      </c>
      <c r="H134" s="1332"/>
    </row>
    <row r="135" spans="1:8" s="1304" customFormat="1" ht="14.25" customHeight="1">
      <c r="A135" s="1312" t="s">
        <v>294</v>
      </c>
      <c r="B135" s="1317" t="s">
        <v>1843</v>
      </c>
      <c r="C135" s="1317">
        <v>9300</v>
      </c>
      <c r="D135" s="1317">
        <v>9270</v>
      </c>
      <c r="E135" s="1317">
        <v>9350</v>
      </c>
      <c r="F135" s="1334"/>
      <c r="H135" s="1332"/>
    </row>
    <row r="136" spans="1:8" s="1304" customFormat="1" ht="14.25" customHeight="1">
      <c r="A136" s="1312" t="s">
        <v>294</v>
      </c>
      <c r="B136" s="1317" t="s">
        <v>1850</v>
      </c>
      <c r="C136" s="1317">
        <v>10160</v>
      </c>
      <c r="D136" s="1317">
        <v>10110</v>
      </c>
      <c r="E136" s="1317">
        <v>10080</v>
      </c>
      <c r="F136" s="1334"/>
      <c r="H136" s="1332"/>
    </row>
    <row r="137" spans="1:8" s="1304" customFormat="1" ht="14.25" customHeight="1">
      <c r="A137" s="1312" t="s">
        <v>294</v>
      </c>
      <c r="B137" s="1317" t="s">
        <v>1855</v>
      </c>
      <c r="C137" s="1317">
        <v>9200</v>
      </c>
      <c r="D137" s="1317">
        <v>9170</v>
      </c>
      <c r="E137" s="1317">
        <v>9450</v>
      </c>
      <c r="F137" s="1334"/>
      <c r="H137" s="1332"/>
    </row>
    <row r="138" spans="1:8" s="1304" customFormat="1" ht="14.25" customHeight="1">
      <c r="A138" s="1312" t="s">
        <v>294</v>
      </c>
      <c r="B138" s="1317" t="s">
        <v>1860</v>
      </c>
      <c r="C138" s="1317">
        <v>9690</v>
      </c>
      <c r="D138" s="1317">
        <v>9660</v>
      </c>
      <c r="E138" s="1317">
        <v>9840</v>
      </c>
      <c r="F138" s="1334"/>
      <c r="H138" s="1332"/>
    </row>
    <row r="139" spans="1:8" s="1304" customFormat="1" ht="14.25" customHeight="1">
      <c r="A139" s="1312" t="s">
        <v>294</v>
      </c>
      <c r="B139" s="1317" t="s">
        <v>1865</v>
      </c>
      <c r="C139" s="1317">
        <v>10290</v>
      </c>
      <c r="D139" s="1317">
        <v>10260</v>
      </c>
      <c r="E139" s="1317">
        <v>10550</v>
      </c>
      <c r="F139" s="1325">
        <v>1700</v>
      </c>
      <c r="H139" s="1332"/>
    </row>
    <row r="140" spans="1:8" s="1304" customFormat="1" ht="14.25" customHeight="1">
      <c r="A140" s="1312" t="s">
        <v>294</v>
      </c>
      <c r="B140" s="1317" t="s">
        <v>1870</v>
      </c>
      <c r="C140" s="1317">
        <v>9740</v>
      </c>
      <c r="D140" s="1317">
        <v>9710</v>
      </c>
      <c r="E140" s="1317">
        <v>10000</v>
      </c>
      <c r="F140" s="1325">
        <v>2000</v>
      </c>
      <c r="H140" s="1332"/>
    </row>
    <row r="141" spans="1:8" s="1304" customFormat="1" ht="14.25" customHeight="1">
      <c r="A141" s="1312" t="s">
        <v>294</v>
      </c>
      <c r="B141" s="1317" t="s">
        <v>1875</v>
      </c>
      <c r="C141" s="1317">
        <v>9810</v>
      </c>
      <c r="D141" s="1317">
        <v>9770</v>
      </c>
      <c r="E141" s="1317">
        <v>10060</v>
      </c>
      <c r="F141" s="1334"/>
      <c r="H141" s="1332"/>
    </row>
    <row r="142" spans="1:8" s="1304" customFormat="1" ht="14.25" customHeight="1">
      <c r="A142" s="1312" t="s">
        <v>294</v>
      </c>
      <c r="B142" s="1317" t="s">
        <v>1880</v>
      </c>
      <c r="C142" s="1317">
        <v>9300</v>
      </c>
      <c r="D142" s="1317">
        <v>9270</v>
      </c>
      <c r="E142" s="1317">
        <v>9530</v>
      </c>
      <c r="F142" s="1334"/>
      <c r="H142" s="1332"/>
    </row>
    <row r="143" spans="1:8" s="1304" customFormat="1" ht="14.25" customHeight="1">
      <c r="A143" s="1312" t="s">
        <v>294</v>
      </c>
      <c r="B143" s="1317" t="s">
        <v>1885</v>
      </c>
      <c r="C143" s="1317">
        <v>10080</v>
      </c>
      <c r="D143" s="1317">
        <v>10050</v>
      </c>
      <c r="E143" s="1317">
        <v>10340</v>
      </c>
      <c r="F143" s="1334"/>
      <c r="H143" s="1332"/>
    </row>
    <row r="144" spans="1:8" s="1304" customFormat="1" ht="14.25" customHeight="1">
      <c r="A144" s="1312" t="s">
        <v>294</v>
      </c>
      <c r="B144" s="1317" t="s">
        <v>1889</v>
      </c>
      <c r="C144" s="1317">
        <v>9820</v>
      </c>
      <c r="D144" s="1317">
        <v>9750</v>
      </c>
      <c r="E144" s="1317">
        <v>9900</v>
      </c>
      <c r="F144" s="1334"/>
      <c r="H144" s="1332"/>
    </row>
    <row r="145" spans="1:8" s="1304" customFormat="1" ht="14.25" customHeight="1">
      <c r="A145" s="1312" t="s">
        <v>294</v>
      </c>
      <c r="B145" s="1317" t="s">
        <v>1893</v>
      </c>
      <c r="C145" s="1317"/>
      <c r="D145" s="1317"/>
      <c r="E145" s="1317"/>
      <c r="F145" s="1325">
        <v>1740</v>
      </c>
      <c r="H145" s="1332"/>
    </row>
    <row r="146" spans="1:8" s="1304" customFormat="1" ht="14.25" customHeight="1">
      <c r="A146" s="1312" t="s">
        <v>294</v>
      </c>
      <c r="B146" s="1317" t="s">
        <v>1897</v>
      </c>
      <c r="C146" s="1317"/>
      <c r="D146" s="1317"/>
      <c r="E146" s="1317"/>
      <c r="F146" s="1325">
        <v>1740</v>
      </c>
      <c r="H146" s="1332"/>
    </row>
    <row r="147" spans="1:8" s="1304" customFormat="1" ht="14.25" customHeight="1">
      <c r="A147" s="1312" t="s">
        <v>294</v>
      </c>
      <c r="B147" s="1317" t="s">
        <v>1901</v>
      </c>
      <c r="C147" s="1317"/>
      <c r="D147" s="1317"/>
      <c r="E147" s="1317"/>
      <c r="F147" s="1325">
        <v>1740</v>
      </c>
      <c r="H147" s="1332"/>
    </row>
    <row r="148" spans="1:8" s="1304" customFormat="1" ht="14.25" customHeight="1">
      <c r="A148" s="1312" t="s">
        <v>294</v>
      </c>
      <c r="B148" s="1317" t="s">
        <v>1905</v>
      </c>
      <c r="C148" s="1317"/>
      <c r="D148" s="1317"/>
      <c r="E148" s="1317"/>
      <c r="F148" s="1325">
        <v>1740</v>
      </c>
      <c r="H148" s="1332"/>
    </row>
    <row r="149" spans="1:8" s="1304" customFormat="1" ht="14.25" customHeight="1">
      <c r="A149" s="1312" t="s">
        <v>294</v>
      </c>
      <c r="B149" s="1317" t="s">
        <v>1909</v>
      </c>
      <c r="C149" s="1317"/>
      <c r="D149" s="1317"/>
      <c r="E149" s="1317"/>
      <c r="F149" s="1325">
        <v>1740</v>
      </c>
      <c r="H149" s="1332"/>
    </row>
    <row r="150" spans="1:8" s="1304" customFormat="1" ht="14.25" customHeight="1">
      <c r="A150" s="1312" t="s">
        <v>294</v>
      </c>
      <c r="B150" s="1317" t="s">
        <v>1912</v>
      </c>
      <c r="C150" s="1317"/>
      <c r="D150" s="1317"/>
      <c r="E150" s="1317"/>
      <c r="F150" s="1325">
        <v>1610</v>
      </c>
      <c r="H150" s="1332"/>
    </row>
    <row r="151" spans="1:8" s="1304" customFormat="1" ht="14.25" customHeight="1">
      <c r="A151" s="1312" t="s">
        <v>294</v>
      </c>
      <c r="B151" s="1317" t="s">
        <v>1915</v>
      </c>
      <c r="C151" s="1317"/>
      <c r="D151" s="1317"/>
      <c r="E151" s="1317"/>
      <c r="F151" s="1325">
        <v>1610</v>
      </c>
      <c r="H151" s="1332"/>
    </row>
    <row r="152" spans="1:8" s="1304" customFormat="1" ht="14.25" customHeight="1">
      <c r="A152" s="1312" t="s">
        <v>294</v>
      </c>
      <c r="B152" s="1317" t="s">
        <v>1918</v>
      </c>
      <c r="C152" s="1317"/>
      <c r="D152" s="1317"/>
      <c r="E152" s="1317"/>
      <c r="F152" s="1325">
        <v>1610</v>
      </c>
      <c r="H152" s="1332"/>
    </row>
    <row r="153" spans="1:8" s="1304" customFormat="1" ht="14.25" customHeight="1">
      <c r="A153" s="1312" t="s">
        <v>294</v>
      </c>
      <c r="B153" s="1317" t="s">
        <v>1921</v>
      </c>
      <c r="C153" s="1317"/>
      <c r="D153" s="1317"/>
      <c r="E153" s="1317"/>
      <c r="F153" s="1325">
        <v>1610</v>
      </c>
      <c r="H153" s="1332"/>
    </row>
    <row r="154" spans="1:8" s="1304" customFormat="1" ht="14.25" customHeight="1">
      <c r="A154" s="1312" t="s">
        <v>294</v>
      </c>
      <c r="B154" s="1317" t="s">
        <v>1924</v>
      </c>
      <c r="C154" s="1317"/>
      <c r="D154" s="1317"/>
      <c r="E154" s="1317"/>
      <c r="F154" s="1325">
        <v>1610</v>
      </c>
      <c r="H154" s="1332"/>
    </row>
    <row r="155" spans="1:8" s="1304" customFormat="1" ht="14.25" customHeight="1">
      <c r="A155" s="1312" t="s">
        <v>294</v>
      </c>
      <c r="B155" s="1317" t="s">
        <v>1927</v>
      </c>
      <c r="C155" s="1317"/>
      <c r="D155" s="1317"/>
      <c r="E155" s="1317"/>
      <c r="F155" s="1325">
        <v>1800</v>
      </c>
      <c r="H155" s="1332"/>
    </row>
    <row r="156" spans="1:8" s="1304" customFormat="1" ht="14.25" customHeight="1">
      <c r="A156" s="1312" t="s">
        <v>294</v>
      </c>
      <c r="B156" s="1317" t="s">
        <v>1929</v>
      </c>
      <c r="C156" s="1317"/>
      <c r="D156" s="1317"/>
      <c r="E156" s="1317"/>
      <c r="F156" s="1325">
        <v>1910</v>
      </c>
      <c r="H156" s="1332"/>
    </row>
    <row r="157" spans="1:8" s="1304" customFormat="1" ht="14.25" customHeight="1">
      <c r="A157" s="1312" t="s">
        <v>294</v>
      </c>
      <c r="B157" s="1323" t="s">
        <v>1931</v>
      </c>
      <c r="C157" s="1323"/>
      <c r="D157" s="1323"/>
      <c r="E157" s="1323"/>
      <c r="F157" s="1333">
        <v>1500</v>
      </c>
      <c r="H157" s="1332"/>
    </row>
    <row r="158" spans="1:8" s="1304" customFormat="1" ht="14.25" customHeight="1">
      <c r="A158" s="1312" t="s">
        <v>299</v>
      </c>
      <c r="B158" s="1313" t="s">
        <v>1598</v>
      </c>
      <c r="C158" s="1313">
        <v>8170</v>
      </c>
      <c r="D158" s="1313">
        <v>8140</v>
      </c>
      <c r="E158" s="1313">
        <v>8590</v>
      </c>
      <c r="F158" s="1314">
        <v>1450</v>
      </c>
      <c r="H158" s="1332"/>
    </row>
    <row r="159" spans="1:8" s="1304" customFormat="1" ht="14.25" customHeight="1">
      <c r="A159" s="1312" t="s">
        <v>299</v>
      </c>
      <c r="B159" s="1317" t="s">
        <v>1611</v>
      </c>
      <c r="C159" s="1317">
        <v>7410</v>
      </c>
      <c r="D159" s="1317">
        <v>7370</v>
      </c>
      <c r="E159" s="1317">
        <v>8030</v>
      </c>
      <c r="F159" s="1325">
        <v>1510</v>
      </c>
      <c r="H159" s="1332"/>
    </row>
    <row r="160" spans="1:8" s="1304" customFormat="1" ht="14.25" customHeight="1">
      <c r="A160" s="1312" t="s">
        <v>299</v>
      </c>
      <c r="B160" s="1317" t="s">
        <v>1624</v>
      </c>
      <c r="C160" s="1317">
        <v>7240</v>
      </c>
      <c r="D160" s="1317">
        <v>7210</v>
      </c>
      <c r="E160" s="1317">
        <v>7860</v>
      </c>
      <c r="F160" s="1325">
        <v>1370</v>
      </c>
      <c r="H160" s="1332"/>
    </row>
    <row r="161" spans="1:8" s="1304" customFormat="1" ht="14.25" customHeight="1">
      <c r="A161" s="1312" t="s">
        <v>299</v>
      </c>
      <c r="B161" s="1317" t="s">
        <v>1636</v>
      </c>
      <c r="C161" s="1317">
        <v>7720</v>
      </c>
      <c r="D161" s="1317">
        <v>7690</v>
      </c>
      <c r="E161" s="1317">
        <v>8200</v>
      </c>
      <c r="F161" s="1325">
        <v>1190</v>
      </c>
      <c r="H161" s="1332"/>
    </row>
    <row r="162" spans="1:8" s="1304" customFormat="1" ht="14.25" customHeight="1">
      <c r="A162" s="1312" t="s">
        <v>299</v>
      </c>
      <c r="B162" s="1317" t="s">
        <v>1648</v>
      </c>
      <c r="C162" s="1317">
        <v>6900</v>
      </c>
      <c r="D162" s="1317">
        <v>6870</v>
      </c>
      <c r="E162" s="1317">
        <v>7500</v>
      </c>
      <c r="F162" s="1325">
        <v>1390</v>
      </c>
      <c r="H162" s="1332"/>
    </row>
    <row r="163" spans="1:8" s="1304" customFormat="1" ht="14.25" customHeight="1">
      <c r="A163" s="1312" t="s">
        <v>299</v>
      </c>
      <c r="B163" s="1317" t="s">
        <v>1659</v>
      </c>
      <c r="C163" s="1317">
        <v>7120</v>
      </c>
      <c r="D163" s="1317">
        <v>7090</v>
      </c>
      <c r="E163" s="1317">
        <v>7690</v>
      </c>
      <c r="F163" s="1325">
        <v>1230</v>
      </c>
      <c r="H163" s="1332"/>
    </row>
    <row r="164" spans="1:8" s="1304" customFormat="1" ht="14.25" customHeight="1">
      <c r="A164" s="1312" t="s">
        <v>299</v>
      </c>
      <c r="B164" s="1317" t="s">
        <v>1670</v>
      </c>
      <c r="C164" s="1317">
        <v>6560</v>
      </c>
      <c r="D164" s="1317">
        <v>6530</v>
      </c>
      <c r="E164" s="1317">
        <v>7110</v>
      </c>
      <c r="F164" s="1325">
        <v>1340</v>
      </c>
      <c r="H164" s="1332"/>
    </row>
    <row r="165" spans="1:8" s="1304" customFormat="1" ht="14.25" customHeight="1">
      <c r="A165" s="1312" t="s">
        <v>299</v>
      </c>
      <c r="B165" s="1317" t="s">
        <v>1681</v>
      </c>
      <c r="C165" s="1317">
        <v>7450</v>
      </c>
      <c r="D165" s="1317">
        <v>7430</v>
      </c>
      <c r="E165" s="1317">
        <v>8110</v>
      </c>
      <c r="F165" s="1325">
        <v>1290</v>
      </c>
      <c r="H165" s="1332"/>
    </row>
    <row r="166" spans="1:8" s="1304" customFormat="1" ht="14.25" customHeight="1">
      <c r="A166" s="1312" t="s">
        <v>299</v>
      </c>
      <c r="B166" s="1317" t="s">
        <v>1691</v>
      </c>
      <c r="C166" s="1317">
        <v>7490</v>
      </c>
      <c r="D166" s="1317">
        <v>7460</v>
      </c>
      <c r="E166" s="1317">
        <v>8150</v>
      </c>
      <c r="F166" s="1325">
        <v>1350</v>
      </c>
      <c r="H166" s="1332"/>
    </row>
    <row r="167" spans="1:8" s="1304" customFormat="1" ht="14.25" customHeight="1">
      <c r="A167" s="1312" t="s">
        <v>299</v>
      </c>
      <c r="B167" s="1317" t="s">
        <v>1701</v>
      </c>
      <c r="C167" s="1317">
        <v>7540</v>
      </c>
      <c r="D167" s="1317">
        <v>7510</v>
      </c>
      <c r="E167" s="1317">
        <v>8030</v>
      </c>
      <c r="F167" s="1334"/>
      <c r="H167" s="1332"/>
    </row>
    <row r="168" spans="1:8" s="1304" customFormat="1" ht="14.25" customHeight="1">
      <c r="A168" s="1312" t="s">
        <v>299</v>
      </c>
      <c r="B168" s="1317" t="s">
        <v>1711</v>
      </c>
      <c r="C168" s="1317">
        <v>7210</v>
      </c>
      <c r="D168" s="1317">
        <v>7180</v>
      </c>
      <c r="E168" s="1317">
        <v>7830</v>
      </c>
      <c r="F168" s="1334"/>
      <c r="H168" s="1332"/>
    </row>
    <row r="169" spans="1:8" s="1304" customFormat="1" ht="14.25" customHeight="1">
      <c r="A169" s="1312" t="s">
        <v>299</v>
      </c>
      <c r="B169" s="1317" t="s">
        <v>1721</v>
      </c>
      <c r="C169" s="1317">
        <v>7040</v>
      </c>
      <c r="D169" s="1317">
        <v>7020</v>
      </c>
      <c r="E169" s="1317">
        <v>7670</v>
      </c>
      <c r="F169" s="1334"/>
      <c r="H169" s="1332"/>
    </row>
    <row r="170" spans="1:8" s="1304" customFormat="1" ht="14.25" customHeight="1">
      <c r="A170" s="1312" t="s">
        <v>299</v>
      </c>
      <c r="B170" s="1317" t="s">
        <v>1731</v>
      </c>
      <c r="C170" s="1317">
        <v>8040</v>
      </c>
      <c r="D170" s="1317">
        <v>7190</v>
      </c>
      <c r="E170" s="1317">
        <v>7850</v>
      </c>
      <c r="F170" s="1334"/>
      <c r="H170" s="1332"/>
    </row>
    <row r="171" spans="1:8" s="1304" customFormat="1" ht="14.25" customHeight="1">
      <c r="A171" s="1312" t="s">
        <v>299</v>
      </c>
      <c r="B171" s="1317" t="s">
        <v>1741</v>
      </c>
      <c r="C171" s="1317">
        <v>7860</v>
      </c>
      <c r="D171" s="1317">
        <v>7720</v>
      </c>
      <c r="E171" s="1317">
        <v>8150</v>
      </c>
      <c r="F171" s="1325">
        <v>1110</v>
      </c>
      <c r="H171" s="1332"/>
    </row>
    <row r="172" spans="1:8" s="1304" customFormat="1" ht="14.25" customHeight="1">
      <c r="A172" s="1312" t="s">
        <v>299</v>
      </c>
      <c r="B172" s="1317" t="s">
        <v>1751</v>
      </c>
      <c r="C172" s="1317">
        <v>7210</v>
      </c>
      <c r="D172" s="1317">
        <v>7170</v>
      </c>
      <c r="E172" s="1317">
        <v>7320</v>
      </c>
      <c r="F172" s="1334"/>
      <c r="H172" s="1332"/>
    </row>
    <row r="173" spans="1:8" s="1304" customFormat="1" ht="14.25" customHeight="1">
      <c r="A173" s="1312" t="s">
        <v>299</v>
      </c>
      <c r="B173" s="1317" t="s">
        <v>1761</v>
      </c>
      <c r="C173" s="1317">
        <v>6860</v>
      </c>
      <c r="D173" s="1317">
        <v>6810</v>
      </c>
      <c r="E173" s="1317">
        <v>7440</v>
      </c>
      <c r="F173" s="1334"/>
      <c r="H173" s="1332"/>
    </row>
    <row r="174" spans="1:8" s="1304" customFormat="1" ht="14.25" customHeight="1">
      <c r="A174" s="1312" t="s">
        <v>299</v>
      </c>
      <c r="B174" s="1317" t="s">
        <v>1771</v>
      </c>
      <c r="C174" s="1317">
        <v>7120</v>
      </c>
      <c r="D174" s="1317">
        <v>7090</v>
      </c>
      <c r="E174" s="1317">
        <v>7500</v>
      </c>
      <c r="F174" s="1325">
        <v>1490</v>
      </c>
      <c r="H174" s="1332"/>
    </row>
    <row r="175" spans="1:8" s="1304" customFormat="1" ht="14.25" customHeight="1">
      <c r="A175" s="1312" t="s">
        <v>299</v>
      </c>
      <c r="B175" s="1317" t="s">
        <v>1781</v>
      </c>
      <c r="C175" s="1317">
        <v>7850</v>
      </c>
      <c r="D175" s="1317">
        <v>7820</v>
      </c>
      <c r="E175" s="1317">
        <v>8120</v>
      </c>
      <c r="F175" s="1325">
        <v>1530</v>
      </c>
      <c r="H175" s="1332"/>
    </row>
    <row r="176" spans="1:8" s="1304" customFormat="1" ht="14.25" customHeight="1">
      <c r="A176" s="1312" t="s">
        <v>299</v>
      </c>
      <c r="B176" s="1317" t="s">
        <v>1791</v>
      </c>
      <c r="C176" s="1317">
        <v>7620</v>
      </c>
      <c r="D176" s="1317">
        <v>7570</v>
      </c>
      <c r="E176" s="1317">
        <v>7990</v>
      </c>
      <c r="F176" s="1325">
        <v>1480</v>
      </c>
      <c r="H176" s="1332"/>
    </row>
    <row r="177" spans="1:8" s="1304" customFormat="1" ht="14.25" customHeight="1">
      <c r="A177" s="1312" t="s">
        <v>299</v>
      </c>
      <c r="B177" s="1317" t="s">
        <v>1800</v>
      </c>
      <c r="C177" s="1317">
        <v>8590</v>
      </c>
      <c r="D177" s="1317">
        <v>8570</v>
      </c>
      <c r="E177" s="1317">
        <v>8740</v>
      </c>
      <c r="F177" s="1325">
        <v>1540</v>
      </c>
      <c r="H177" s="1332"/>
    </row>
    <row r="178" spans="1:8" s="1304" customFormat="1" ht="14.25" customHeight="1">
      <c r="A178" s="1312" t="s">
        <v>299</v>
      </c>
      <c r="B178" s="1317" t="s">
        <v>1808</v>
      </c>
      <c r="C178" s="1317">
        <v>7510</v>
      </c>
      <c r="D178" s="1317">
        <v>7470</v>
      </c>
      <c r="E178" s="1317">
        <v>8090</v>
      </c>
      <c r="F178" s="1325">
        <v>1320</v>
      </c>
      <c r="H178" s="1332"/>
    </row>
    <row r="179" spans="1:8" s="1304" customFormat="1" ht="14.25" customHeight="1">
      <c r="A179" s="1312" t="s">
        <v>299</v>
      </c>
      <c r="B179" s="1317" t="s">
        <v>1816</v>
      </c>
      <c r="C179" s="1317">
        <v>6380</v>
      </c>
      <c r="D179" s="1317">
        <v>6340</v>
      </c>
      <c r="E179" s="1317">
        <v>6810</v>
      </c>
      <c r="F179" s="1334"/>
      <c r="H179" s="1332"/>
    </row>
    <row r="180" spans="1:8" s="1304" customFormat="1" ht="14.25" customHeight="1">
      <c r="A180" s="1312" t="s">
        <v>299</v>
      </c>
      <c r="B180" s="1317" t="s">
        <v>1823</v>
      </c>
      <c r="C180" s="1317">
        <v>7830</v>
      </c>
      <c r="D180" s="1317">
        <v>7800</v>
      </c>
      <c r="E180" s="1317">
        <v>7780</v>
      </c>
      <c r="F180" s="1325">
        <v>1440</v>
      </c>
      <c r="H180" s="1332"/>
    </row>
    <row r="181" spans="1:8" s="1304" customFormat="1" ht="14.25" customHeight="1">
      <c r="A181" s="1312" t="s">
        <v>299</v>
      </c>
      <c r="B181" s="1317" t="s">
        <v>1830</v>
      </c>
      <c r="C181" s="1317">
        <v>7110</v>
      </c>
      <c r="D181" s="1317">
        <v>7080</v>
      </c>
      <c r="E181" s="1317">
        <v>7730</v>
      </c>
      <c r="F181" s="1325">
        <v>1350</v>
      </c>
      <c r="H181" s="1332"/>
    </row>
    <row r="182" spans="1:8" s="1304" customFormat="1" ht="14.25" customHeight="1">
      <c r="A182" s="1312" t="s">
        <v>299</v>
      </c>
      <c r="B182" s="1317" t="s">
        <v>1837</v>
      </c>
      <c r="C182" s="1317">
        <v>7310</v>
      </c>
      <c r="D182" s="1317">
        <v>7280</v>
      </c>
      <c r="E182" s="1317">
        <v>7950</v>
      </c>
      <c r="F182" s="1325">
        <v>1220</v>
      </c>
      <c r="H182" s="1332"/>
    </row>
    <row r="183" spans="1:8" s="1304" customFormat="1" ht="14.25" customHeight="1">
      <c r="A183" s="1312" t="s">
        <v>299</v>
      </c>
      <c r="B183" s="1317" t="s">
        <v>1844</v>
      </c>
      <c r="C183" s="1317">
        <v>7470</v>
      </c>
      <c r="D183" s="1317">
        <v>7440</v>
      </c>
      <c r="E183" s="1317">
        <v>7880</v>
      </c>
      <c r="F183" s="1334"/>
      <c r="H183" s="1332"/>
    </row>
    <row r="184" spans="1:8" s="1304" customFormat="1" ht="14.25" customHeight="1">
      <c r="A184" s="1312" t="s">
        <v>299</v>
      </c>
      <c r="B184" s="1317" t="s">
        <v>1851</v>
      </c>
      <c r="C184" s="1317">
        <v>6960</v>
      </c>
      <c r="D184" s="1317">
        <v>6930</v>
      </c>
      <c r="E184" s="1317">
        <v>7570</v>
      </c>
      <c r="F184" s="1334"/>
      <c r="H184" s="1332"/>
    </row>
    <row r="185" spans="1:8" s="1304" customFormat="1" ht="14.25" customHeight="1">
      <c r="A185" s="1312" t="s">
        <v>299</v>
      </c>
      <c r="B185" s="1317" t="s">
        <v>1856</v>
      </c>
      <c r="C185" s="1317">
        <v>7260</v>
      </c>
      <c r="D185" s="1317">
        <v>7230</v>
      </c>
      <c r="E185" s="1317">
        <v>7710</v>
      </c>
      <c r="F185" s="1325">
        <v>1360</v>
      </c>
      <c r="H185" s="1332"/>
    </row>
    <row r="186" spans="1:8" s="1304" customFormat="1" ht="14.25" customHeight="1">
      <c r="A186" s="1312" t="s">
        <v>299</v>
      </c>
      <c r="B186" s="1317" t="s">
        <v>1861</v>
      </c>
      <c r="C186" s="1317"/>
      <c r="D186" s="1317"/>
      <c r="E186" s="1317"/>
      <c r="F186" s="1325">
        <v>1560</v>
      </c>
      <c r="H186" s="1332"/>
    </row>
    <row r="187" spans="1:8" s="1304" customFormat="1" ht="14.25" customHeight="1">
      <c r="A187" s="1312" t="s">
        <v>299</v>
      </c>
      <c r="B187" s="1317" t="s">
        <v>1866</v>
      </c>
      <c r="C187" s="1317"/>
      <c r="D187" s="1317"/>
      <c r="E187" s="1317"/>
      <c r="F187" s="1325">
        <v>1560</v>
      </c>
      <c r="H187" s="1332"/>
    </row>
    <row r="188" spans="1:8" s="1304" customFormat="1" ht="14.25" customHeight="1">
      <c r="A188" s="1312" t="s">
        <v>299</v>
      </c>
      <c r="B188" s="1317" t="s">
        <v>1871</v>
      </c>
      <c r="C188" s="1317"/>
      <c r="D188" s="1317"/>
      <c r="E188" s="1317"/>
      <c r="F188" s="1325">
        <v>1560</v>
      </c>
      <c r="H188" s="1332"/>
    </row>
    <row r="189" spans="1:8" s="1304" customFormat="1" ht="14.25" customHeight="1">
      <c r="A189" s="1312" t="s">
        <v>299</v>
      </c>
      <c r="B189" s="1317" t="s">
        <v>1876</v>
      </c>
      <c r="C189" s="1317"/>
      <c r="D189" s="1317"/>
      <c r="E189" s="1317"/>
      <c r="F189" s="1325">
        <v>1320</v>
      </c>
      <c r="H189" s="1332"/>
    </row>
    <row r="190" spans="1:8" s="1304" customFormat="1" ht="14.25" customHeight="1">
      <c r="A190" s="1312" t="s">
        <v>299</v>
      </c>
      <c r="B190" s="1317" t="s">
        <v>1881</v>
      </c>
      <c r="C190" s="1317"/>
      <c r="D190" s="1317"/>
      <c r="E190" s="1317"/>
      <c r="F190" s="1325">
        <v>1320</v>
      </c>
      <c r="H190" s="1332"/>
    </row>
    <row r="191" spans="1:8" s="1304" customFormat="1" ht="14.25" customHeight="1">
      <c r="A191" s="1312" t="s">
        <v>299</v>
      </c>
      <c r="B191" s="1317" t="s">
        <v>1886</v>
      </c>
      <c r="C191" s="1317"/>
      <c r="D191" s="1317"/>
      <c r="E191" s="1317"/>
      <c r="F191" s="1325">
        <v>1320</v>
      </c>
      <c r="H191" s="1332"/>
    </row>
    <row r="192" spans="1:8" s="1304" customFormat="1" ht="14.25" customHeight="1">
      <c r="A192" s="1312" t="s">
        <v>299</v>
      </c>
      <c r="B192" s="1317" t="s">
        <v>1890</v>
      </c>
      <c r="C192" s="1317"/>
      <c r="D192" s="1317"/>
      <c r="E192" s="1317"/>
      <c r="F192" s="1325">
        <v>1100</v>
      </c>
      <c r="H192" s="1332"/>
    </row>
    <row r="193" spans="1:8" s="1304" customFormat="1" ht="14.25" customHeight="1">
      <c r="A193" s="1312" t="s">
        <v>299</v>
      </c>
      <c r="B193" s="1317" t="s">
        <v>1894</v>
      </c>
      <c r="C193" s="1317"/>
      <c r="D193" s="1317"/>
      <c r="E193" s="1317"/>
      <c r="F193" s="1325">
        <v>1100</v>
      </c>
      <c r="H193" s="1332"/>
    </row>
    <row r="194" spans="1:8" s="1304" customFormat="1" ht="14.25" customHeight="1">
      <c r="A194" s="1312" t="s">
        <v>299</v>
      </c>
      <c r="B194" s="1317" t="s">
        <v>1898</v>
      </c>
      <c r="C194" s="1317"/>
      <c r="D194" s="1317"/>
      <c r="E194" s="1317"/>
      <c r="F194" s="1325">
        <v>1080</v>
      </c>
      <c r="H194" s="1332"/>
    </row>
    <row r="195" spans="1:8" s="1304" customFormat="1" ht="14.25" customHeight="1">
      <c r="A195" s="1312" t="s">
        <v>299</v>
      </c>
      <c r="B195" s="1317" t="s">
        <v>1902</v>
      </c>
      <c r="C195" s="1317"/>
      <c r="D195" s="1317"/>
      <c r="E195" s="1317"/>
      <c r="F195" s="1325">
        <v>1270</v>
      </c>
      <c r="H195" s="1332"/>
    </row>
    <row r="196" spans="1:8" s="1304" customFormat="1" ht="14.25" customHeight="1">
      <c r="A196" s="1312" t="s">
        <v>299</v>
      </c>
      <c r="B196" s="1317" t="s">
        <v>1906</v>
      </c>
      <c r="C196" s="1317"/>
      <c r="D196" s="1317"/>
      <c r="E196" s="1317"/>
      <c r="F196" s="1325">
        <v>1150</v>
      </c>
      <c r="H196" s="1332"/>
    </row>
    <row r="197" spans="1:8" s="1304" customFormat="1" ht="14.25" customHeight="1">
      <c r="A197" s="1312" t="s">
        <v>299</v>
      </c>
      <c r="B197" s="1317" t="s">
        <v>1910</v>
      </c>
      <c r="C197" s="1317"/>
      <c r="D197" s="1317"/>
      <c r="E197" s="1317"/>
      <c r="F197" s="1325">
        <v>1330</v>
      </c>
      <c r="H197" s="1332"/>
    </row>
    <row r="198" spans="1:8" s="1304" customFormat="1" ht="14.25" customHeight="1">
      <c r="A198" s="1312" t="s">
        <v>299</v>
      </c>
      <c r="B198" s="1317" t="s">
        <v>1913</v>
      </c>
      <c r="C198" s="1317"/>
      <c r="D198" s="1317"/>
      <c r="E198" s="1317"/>
      <c r="F198" s="1325">
        <v>1170</v>
      </c>
      <c r="H198" s="1332"/>
    </row>
    <row r="199" spans="1:8" s="1304" customFormat="1" ht="14.25" customHeight="1">
      <c r="A199" s="1312" t="s">
        <v>299</v>
      </c>
      <c r="B199" s="1317" t="s">
        <v>1916</v>
      </c>
      <c r="C199" s="1317"/>
      <c r="D199" s="1317"/>
      <c r="E199" s="1317"/>
      <c r="F199" s="1325">
        <v>1120</v>
      </c>
      <c r="H199" s="1332"/>
    </row>
    <row r="200" spans="1:8" s="1304" customFormat="1" ht="14.25" customHeight="1">
      <c r="A200" s="1312" t="s">
        <v>299</v>
      </c>
      <c r="B200" s="1317" t="s">
        <v>1919</v>
      </c>
      <c r="C200" s="1317"/>
      <c r="D200" s="1317"/>
      <c r="E200" s="1317"/>
      <c r="F200" s="1325">
        <v>1120</v>
      </c>
      <c r="H200" s="1332"/>
    </row>
    <row r="201" spans="1:8" s="1304" customFormat="1" ht="14.25" customHeight="1">
      <c r="A201" s="1312" t="s">
        <v>299</v>
      </c>
      <c r="B201" s="1317" t="s">
        <v>1922</v>
      </c>
      <c r="C201" s="1317"/>
      <c r="D201" s="1317"/>
      <c r="E201" s="1317"/>
      <c r="F201" s="1325">
        <v>1540</v>
      </c>
      <c r="H201" s="1332"/>
    </row>
    <row r="202" spans="1:8" s="1304" customFormat="1" ht="14.25" customHeight="1">
      <c r="A202" s="1312" t="s">
        <v>299</v>
      </c>
      <c r="B202" s="1317" t="s">
        <v>1925</v>
      </c>
      <c r="C202" s="1317"/>
      <c r="D202" s="1317"/>
      <c r="E202" s="1317"/>
      <c r="F202" s="1325">
        <v>1310</v>
      </c>
      <c r="H202" s="1332"/>
    </row>
    <row r="203" spans="1:8" s="1304" customFormat="1" ht="14.25" customHeight="1">
      <c r="A203" s="1312" t="s">
        <v>299</v>
      </c>
      <c r="B203" s="1317" t="s">
        <v>1928</v>
      </c>
      <c r="C203" s="1317"/>
      <c r="D203" s="1317"/>
      <c r="E203" s="1317"/>
      <c r="F203" s="1325">
        <v>1310</v>
      </c>
      <c r="H203" s="1332"/>
    </row>
    <row r="204" spans="1:8" s="1304" customFormat="1" ht="14.25" customHeight="1">
      <c r="A204" s="1312" t="s">
        <v>299</v>
      </c>
      <c r="B204" s="1317" t="s">
        <v>1930</v>
      </c>
      <c r="C204" s="1317"/>
      <c r="D204" s="1317"/>
      <c r="E204" s="1317"/>
      <c r="F204" s="1325">
        <v>1080</v>
      </c>
      <c r="H204" s="1332"/>
    </row>
    <row r="205" spans="1:8" s="1304" customFormat="1" ht="14.25" customHeight="1">
      <c r="A205" s="1312" t="s">
        <v>299</v>
      </c>
      <c r="B205" s="1317" t="s">
        <v>1932</v>
      </c>
      <c r="C205" s="1317"/>
      <c r="D205" s="1317"/>
      <c r="E205" s="1317"/>
      <c r="F205" s="1325">
        <v>1080</v>
      </c>
      <c r="H205" s="1332"/>
    </row>
    <row r="206" spans="1:8" s="1304" customFormat="1" ht="14.25" customHeight="1">
      <c r="A206" s="1312" t="s">
        <v>304</v>
      </c>
      <c r="B206" s="1313" t="s">
        <v>1599</v>
      </c>
      <c r="C206" s="1313">
        <v>5450</v>
      </c>
      <c r="D206" s="1313">
        <v>5430</v>
      </c>
      <c r="E206" s="1313">
        <v>5700</v>
      </c>
      <c r="F206" s="1314">
        <v>1020</v>
      </c>
      <c r="H206" s="1332"/>
    </row>
    <row r="207" spans="1:8" s="1304" customFormat="1" ht="14.25" customHeight="1">
      <c r="A207" s="1312" t="s">
        <v>304</v>
      </c>
      <c r="B207" s="1317" t="s">
        <v>1612</v>
      </c>
      <c r="C207" s="1317">
        <v>5860</v>
      </c>
      <c r="D207" s="1317">
        <v>5820</v>
      </c>
      <c r="E207" s="1317">
        <v>6050</v>
      </c>
      <c r="F207" s="1325">
        <v>1080</v>
      </c>
      <c r="H207" s="1332"/>
    </row>
    <row r="208" spans="1:8" s="1304" customFormat="1" ht="14.25" customHeight="1">
      <c r="A208" s="1312" t="s">
        <v>304</v>
      </c>
      <c r="B208" s="1317" t="s">
        <v>1625</v>
      </c>
      <c r="C208" s="1317">
        <v>4630</v>
      </c>
      <c r="D208" s="1317">
        <v>4600</v>
      </c>
      <c r="E208" s="1317">
        <v>4840</v>
      </c>
      <c r="F208" s="1325">
        <v>900</v>
      </c>
      <c r="H208" s="1332"/>
    </row>
    <row r="209" spans="1:8" s="1304" customFormat="1" ht="14.25" customHeight="1">
      <c r="A209" s="1312" t="s">
        <v>304</v>
      </c>
      <c r="B209" s="1317" t="s">
        <v>1637</v>
      </c>
      <c r="C209" s="1317">
        <v>5320</v>
      </c>
      <c r="D209" s="1317">
        <v>5270</v>
      </c>
      <c r="E209" s="1317">
        <v>5540</v>
      </c>
      <c r="F209" s="1325">
        <v>980</v>
      </c>
      <c r="H209" s="1332"/>
    </row>
    <row r="210" spans="1:8" s="1304" customFormat="1" ht="14.25" customHeight="1">
      <c r="A210" s="1312" t="s">
        <v>304</v>
      </c>
      <c r="B210" s="1317" t="s">
        <v>1649</v>
      </c>
      <c r="C210" s="1317">
        <v>5760</v>
      </c>
      <c r="D210" s="1317">
        <v>5710</v>
      </c>
      <c r="E210" s="1317">
        <v>6010</v>
      </c>
      <c r="F210" s="1325">
        <v>870</v>
      </c>
      <c r="H210" s="1332"/>
    </row>
    <row r="211" spans="1:8" s="1304" customFormat="1" ht="14.25" customHeight="1">
      <c r="A211" s="1312" t="s">
        <v>304</v>
      </c>
      <c r="B211" s="1317" t="s">
        <v>1660</v>
      </c>
      <c r="C211" s="1317">
        <v>4160</v>
      </c>
      <c r="D211" s="1317">
        <v>4100</v>
      </c>
      <c r="E211" s="1317">
        <v>4270</v>
      </c>
      <c r="F211" s="1325">
        <v>790</v>
      </c>
      <c r="H211" s="1332"/>
    </row>
    <row r="212" spans="1:8" s="1304" customFormat="1" ht="14.25" customHeight="1">
      <c r="A212" s="1312" t="s">
        <v>304</v>
      </c>
      <c r="B212" s="1317" t="s">
        <v>1671</v>
      </c>
      <c r="C212" s="1317">
        <v>4880</v>
      </c>
      <c r="D212" s="1317">
        <v>4850</v>
      </c>
      <c r="E212" s="1317">
        <v>5110</v>
      </c>
      <c r="F212" s="1325">
        <v>940</v>
      </c>
      <c r="H212" s="1332"/>
    </row>
    <row r="213" spans="1:8" s="1304" customFormat="1" ht="14.25" customHeight="1">
      <c r="A213" s="1312" t="s">
        <v>304</v>
      </c>
      <c r="B213" s="1317" t="s">
        <v>1682</v>
      </c>
      <c r="C213" s="1317">
        <v>4640</v>
      </c>
      <c r="D213" s="1317">
        <v>4590</v>
      </c>
      <c r="E213" s="1317">
        <v>4700</v>
      </c>
      <c r="F213" s="1325">
        <v>1030</v>
      </c>
      <c r="H213" s="1332"/>
    </row>
    <row r="214" spans="1:8" s="1304" customFormat="1" ht="14.25" customHeight="1">
      <c r="A214" s="1312" t="s">
        <v>304</v>
      </c>
      <c r="B214" s="1317" t="s">
        <v>1692</v>
      </c>
      <c r="C214" s="1317">
        <v>4540</v>
      </c>
      <c r="D214" s="1317">
        <v>4490</v>
      </c>
      <c r="E214" s="1317">
        <v>4610</v>
      </c>
      <c r="F214" s="1334"/>
      <c r="H214" s="1332"/>
    </row>
    <row r="215" spans="1:8" s="1304" customFormat="1" ht="14.25" customHeight="1">
      <c r="A215" s="1312" t="s">
        <v>304</v>
      </c>
      <c r="B215" s="1317" t="s">
        <v>1702</v>
      </c>
      <c r="C215" s="1317">
        <v>5280</v>
      </c>
      <c r="D215" s="1317">
        <v>5250</v>
      </c>
      <c r="E215" s="1317">
        <v>5520</v>
      </c>
      <c r="F215" s="1325">
        <v>1000</v>
      </c>
      <c r="H215" s="1332"/>
    </row>
    <row r="216" spans="1:8" s="1304" customFormat="1" ht="14.25" customHeight="1">
      <c r="A216" s="1312" t="s">
        <v>304</v>
      </c>
      <c r="B216" s="1317" t="s">
        <v>1712</v>
      </c>
      <c r="C216" s="1317">
        <v>5100</v>
      </c>
      <c r="D216" s="1317">
        <v>5050</v>
      </c>
      <c r="E216" s="1317">
        <v>5300</v>
      </c>
      <c r="F216" s="1325">
        <v>950</v>
      </c>
      <c r="H216" s="1332"/>
    </row>
    <row r="217" spans="1:8" s="1304" customFormat="1" ht="14.25" customHeight="1">
      <c r="A217" s="1312" t="s">
        <v>304</v>
      </c>
      <c r="B217" s="1317" t="s">
        <v>1722</v>
      </c>
      <c r="C217" s="1317">
        <v>5370</v>
      </c>
      <c r="D217" s="1317">
        <v>5320</v>
      </c>
      <c r="E217" s="1317">
        <v>5410</v>
      </c>
      <c r="F217" s="1325">
        <v>950</v>
      </c>
      <c r="H217" s="1332"/>
    </row>
    <row r="218" spans="1:8" s="1304" customFormat="1" ht="14.25" customHeight="1">
      <c r="A218" s="1312" t="s">
        <v>304</v>
      </c>
      <c r="B218" s="1317" t="s">
        <v>1732</v>
      </c>
      <c r="C218" s="1317">
        <v>5540</v>
      </c>
      <c r="D218" s="1317">
        <v>5480</v>
      </c>
      <c r="E218" s="1317">
        <v>5740</v>
      </c>
      <c r="F218" s="1325">
        <v>1020</v>
      </c>
      <c r="H218" s="1332"/>
    </row>
    <row r="219" spans="1:8" s="1304" customFormat="1" ht="14.25" customHeight="1">
      <c r="A219" s="1312" t="s">
        <v>304</v>
      </c>
      <c r="B219" s="1317" t="s">
        <v>1742</v>
      </c>
      <c r="C219" s="1317">
        <v>5140</v>
      </c>
      <c r="D219" s="1317">
        <v>5100</v>
      </c>
      <c r="E219" s="1317">
        <v>5350</v>
      </c>
      <c r="F219" s="1325">
        <v>1120</v>
      </c>
      <c r="H219" s="1332"/>
    </row>
    <row r="220" spans="1:8" s="1304" customFormat="1" ht="14.25" customHeight="1">
      <c r="A220" s="1312" t="s">
        <v>304</v>
      </c>
      <c r="B220" s="1317" t="s">
        <v>1752</v>
      </c>
      <c r="C220" s="1317">
        <v>5040</v>
      </c>
      <c r="D220" s="1317">
        <v>5000</v>
      </c>
      <c r="E220" s="1317">
        <v>5240</v>
      </c>
      <c r="F220" s="1325">
        <v>980</v>
      </c>
      <c r="H220" s="1332"/>
    </row>
    <row r="221" spans="1:8" s="1304" customFormat="1" ht="14.25" customHeight="1">
      <c r="A221" s="1312" t="s">
        <v>304</v>
      </c>
      <c r="B221" s="1317" t="s">
        <v>1762</v>
      </c>
      <c r="C221" s="1339"/>
      <c r="D221" s="1339"/>
      <c r="E221" s="1339"/>
      <c r="F221" s="1325">
        <v>1070</v>
      </c>
      <c r="H221" s="1332"/>
    </row>
    <row r="222" spans="1:8" s="1304" customFormat="1" ht="14.25" customHeight="1">
      <c r="A222" s="1312" t="s">
        <v>304</v>
      </c>
      <c r="B222" s="1317" t="s">
        <v>1772</v>
      </c>
      <c r="C222" s="1339"/>
      <c r="D222" s="1339"/>
      <c r="E222" s="1339"/>
      <c r="F222" s="1325">
        <v>870</v>
      </c>
      <c r="H222" s="1332"/>
    </row>
    <row r="223" spans="1:8" s="1304" customFormat="1" ht="14.25" customHeight="1">
      <c r="A223" s="1312" t="s">
        <v>304</v>
      </c>
      <c r="B223" s="1317" t="s">
        <v>1782</v>
      </c>
      <c r="C223" s="1339"/>
      <c r="D223" s="1339"/>
      <c r="E223" s="1339"/>
      <c r="F223" s="1325">
        <v>940</v>
      </c>
      <c r="H223" s="1332"/>
    </row>
    <row r="224" spans="1:8" s="1304" customFormat="1" ht="14.25" customHeight="1">
      <c r="A224" s="1312" t="s">
        <v>304</v>
      </c>
      <c r="B224" s="1317" t="s">
        <v>1792</v>
      </c>
      <c r="C224" s="1339"/>
      <c r="D224" s="1339"/>
      <c r="E224" s="1339"/>
      <c r="F224" s="1325">
        <v>990</v>
      </c>
      <c r="H224" s="1332"/>
    </row>
    <row r="225" spans="1:8" s="1304" customFormat="1" ht="14.25" customHeight="1">
      <c r="A225" s="1312" t="s">
        <v>304</v>
      </c>
      <c r="B225" s="1317" t="s">
        <v>1801</v>
      </c>
      <c r="C225" s="1317">
        <v>5730</v>
      </c>
      <c r="D225" s="1317">
        <v>5680</v>
      </c>
      <c r="E225" s="1317">
        <v>6020</v>
      </c>
      <c r="F225" s="1325">
        <v>1000</v>
      </c>
      <c r="H225" s="1332"/>
    </row>
    <row r="226" spans="1:8" s="1304" customFormat="1" ht="14.25" customHeight="1">
      <c r="A226" s="1312" t="s">
        <v>304</v>
      </c>
      <c r="B226" s="1317" t="s">
        <v>1809</v>
      </c>
      <c r="C226" s="1317">
        <v>4970</v>
      </c>
      <c r="D226" s="1317">
        <v>4940</v>
      </c>
      <c r="E226" s="1317">
        <v>5180</v>
      </c>
      <c r="F226" s="1325">
        <v>960</v>
      </c>
      <c r="H226" s="1332"/>
    </row>
    <row r="227" spans="1:8" s="1304" customFormat="1" ht="14.25" customHeight="1">
      <c r="A227" s="1312" t="s">
        <v>304</v>
      </c>
      <c r="B227" s="1317" t="s">
        <v>1817</v>
      </c>
      <c r="C227" s="1317">
        <v>5550</v>
      </c>
      <c r="D227" s="1317">
        <v>5500</v>
      </c>
      <c r="E227" s="1317">
        <v>5780</v>
      </c>
      <c r="F227" s="1325">
        <v>940</v>
      </c>
      <c r="H227" s="1332"/>
    </row>
    <row r="228" spans="1:8" s="1304" customFormat="1" ht="14.25" customHeight="1">
      <c r="A228" s="1312" t="s">
        <v>304</v>
      </c>
      <c r="B228" s="1317" t="s">
        <v>1824</v>
      </c>
      <c r="C228" s="1317">
        <v>5460</v>
      </c>
      <c r="D228" s="1317">
        <v>5420</v>
      </c>
      <c r="E228" s="1317">
        <v>5690</v>
      </c>
      <c r="F228" s="1325">
        <v>910</v>
      </c>
      <c r="H228" s="1332"/>
    </row>
    <row r="229" spans="1:8" s="1304" customFormat="1" ht="14.25" customHeight="1">
      <c r="A229" s="1312" t="s">
        <v>304</v>
      </c>
      <c r="B229" s="1317" t="s">
        <v>1831</v>
      </c>
      <c r="C229" s="1317">
        <v>5310</v>
      </c>
      <c r="D229" s="1317">
        <v>5270</v>
      </c>
      <c r="E229" s="1317">
        <v>5510</v>
      </c>
      <c r="F229" s="1334"/>
      <c r="H229" s="1332"/>
    </row>
    <row r="230" spans="1:8" s="1304" customFormat="1" ht="14.25" customHeight="1">
      <c r="A230" s="1312" t="s">
        <v>304</v>
      </c>
      <c r="B230" s="1317" t="s">
        <v>1838</v>
      </c>
      <c r="C230" s="1317">
        <v>4540</v>
      </c>
      <c r="D230" s="1317">
        <v>4500</v>
      </c>
      <c r="E230" s="1317">
        <v>4730</v>
      </c>
      <c r="F230" s="1334"/>
      <c r="H230" s="1332"/>
    </row>
    <row r="231" spans="1:8" s="1304" customFormat="1" ht="14.25" customHeight="1">
      <c r="A231" s="1312" t="s">
        <v>304</v>
      </c>
      <c r="B231" s="1317" t="s">
        <v>1845</v>
      </c>
      <c r="C231" s="1317">
        <v>4480</v>
      </c>
      <c r="D231" s="1317">
        <v>4410</v>
      </c>
      <c r="E231" s="1317">
        <v>4640</v>
      </c>
      <c r="F231" s="1334"/>
      <c r="H231" s="1332"/>
    </row>
    <row r="232" spans="1:8" s="1304" customFormat="1" ht="14.25" customHeight="1">
      <c r="A232" s="1312" t="s">
        <v>304</v>
      </c>
      <c r="B232" s="1317" t="s">
        <v>1852</v>
      </c>
      <c r="C232" s="1317">
        <v>5670</v>
      </c>
      <c r="D232" s="1317">
        <v>5600</v>
      </c>
      <c r="E232" s="1317">
        <v>5890</v>
      </c>
      <c r="F232" s="1325">
        <v>1150</v>
      </c>
      <c r="H232" s="1332"/>
    </row>
    <row r="233" spans="1:8" s="1304" customFormat="1" ht="14.25" customHeight="1">
      <c r="A233" s="1312" t="s">
        <v>304</v>
      </c>
      <c r="B233" s="1317" t="s">
        <v>1857</v>
      </c>
      <c r="C233" s="1317">
        <v>4590</v>
      </c>
      <c r="D233" s="1317">
        <v>4500</v>
      </c>
      <c r="E233" s="1317">
        <v>4600</v>
      </c>
      <c r="F233" s="1334"/>
      <c r="H233" s="1332"/>
    </row>
    <row r="234" spans="1:8" s="1304" customFormat="1" ht="14.25" customHeight="1">
      <c r="A234" s="1312" t="s">
        <v>304</v>
      </c>
      <c r="B234" s="1317" t="s">
        <v>1862</v>
      </c>
      <c r="C234" s="1317">
        <v>3990</v>
      </c>
      <c r="D234" s="1317">
        <v>3950</v>
      </c>
      <c r="E234" s="1317">
        <v>4180</v>
      </c>
      <c r="F234" s="1334"/>
      <c r="H234" s="1332"/>
    </row>
    <row r="235" spans="1:8" s="1304" customFormat="1" ht="14.25" customHeight="1">
      <c r="A235" s="1312" t="s">
        <v>304</v>
      </c>
      <c r="B235" s="1317" t="s">
        <v>1867</v>
      </c>
      <c r="C235" s="1317">
        <v>5590</v>
      </c>
      <c r="D235" s="1317">
        <v>5540</v>
      </c>
      <c r="E235" s="1317">
        <v>5810</v>
      </c>
      <c r="F235" s="1325">
        <v>970</v>
      </c>
      <c r="H235" s="1332"/>
    </row>
    <row r="236" spans="1:8" s="1304" customFormat="1" ht="14.25" customHeight="1">
      <c r="A236" s="1312" t="s">
        <v>304</v>
      </c>
      <c r="B236" s="1317" t="s">
        <v>1872</v>
      </c>
      <c r="C236" s="1317"/>
      <c r="D236" s="1317"/>
      <c r="E236" s="1317"/>
      <c r="F236" s="1325">
        <v>1020</v>
      </c>
      <c r="H236" s="1332"/>
    </row>
    <row r="237" spans="1:8" s="1304" customFormat="1" ht="14.25" customHeight="1">
      <c r="A237" s="1312" t="s">
        <v>304</v>
      </c>
      <c r="B237" s="1317" t="s">
        <v>1877</v>
      </c>
      <c r="C237" s="1317"/>
      <c r="D237" s="1317"/>
      <c r="E237" s="1317"/>
      <c r="F237" s="1325">
        <v>960</v>
      </c>
      <c r="H237" s="1332"/>
    </row>
    <row r="238" spans="1:8" s="1304" customFormat="1" ht="14.25" customHeight="1">
      <c r="A238" s="1312" t="s">
        <v>304</v>
      </c>
      <c r="B238" s="1317" t="s">
        <v>1882</v>
      </c>
      <c r="C238" s="1317"/>
      <c r="D238" s="1317"/>
      <c r="E238" s="1317"/>
      <c r="F238" s="1325">
        <v>960</v>
      </c>
      <c r="H238" s="1332"/>
    </row>
    <row r="239" spans="1:8" s="1304" customFormat="1" ht="14.25" customHeight="1">
      <c r="A239" s="1312" t="s">
        <v>304</v>
      </c>
      <c r="B239" s="1317" t="s">
        <v>1887</v>
      </c>
      <c r="C239" s="1317"/>
      <c r="D239" s="1317"/>
      <c r="E239" s="1317"/>
      <c r="F239" s="1325">
        <v>960</v>
      </c>
      <c r="H239" s="1332"/>
    </row>
    <row r="240" spans="1:8" s="1304" customFormat="1" ht="14.25" customHeight="1">
      <c r="A240" s="1312" t="s">
        <v>304</v>
      </c>
      <c r="B240" s="1317" t="s">
        <v>1891</v>
      </c>
      <c r="C240" s="1317"/>
      <c r="D240" s="1317"/>
      <c r="E240" s="1317"/>
      <c r="F240" s="1325">
        <v>990</v>
      </c>
      <c r="H240" s="1332"/>
    </row>
    <row r="241" spans="1:8" s="1304" customFormat="1" ht="14.25" customHeight="1">
      <c r="A241" s="1312" t="s">
        <v>304</v>
      </c>
      <c r="B241" s="1317" t="s">
        <v>1895</v>
      </c>
      <c r="C241" s="1317"/>
      <c r="D241" s="1317"/>
      <c r="E241" s="1317"/>
      <c r="F241" s="1325">
        <v>1000</v>
      </c>
      <c r="H241" s="1332"/>
    </row>
    <row r="242" spans="1:8" s="1304" customFormat="1" ht="14.25" customHeight="1">
      <c r="A242" s="1312" t="s">
        <v>304</v>
      </c>
      <c r="B242" s="1317" t="s">
        <v>1899</v>
      </c>
      <c r="C242" s="1317"/>
      <c r="D242" s="1317"/>
      <c r="E242" s="1317"/>
      <c r="F242" s="1325">
        <v>980</v>
      </c>
      <c r="H242" s="1332"/>
    </row>
    <row r="243" spans="1:8" s="1304" customFormat="1" ht="14.25" customHeight="1">
      <c r="A243" s="1312" t="s">
        <v>304</v>
      </c>
      <c r="B243" s="1317" t="s">
        <v>1903</v>
      </c>
      <c r="C243" s="1317"/>
      <c r="D243" s="1317"/>
      <c r="E243" s="1317"/>
      <c r="F243" s="1325">
        <v>970</v>
      </c>
      <c r="H243" s="1332"/>
    </row>
    <row r="244" spans="1:8" s="1304" customFormat="1" ht="14.25" customHeight="1">
      <c r="A244" s="1312" t="s">
        <v>304</v>
      </c>
      <c r="B244" s="1323" t="s">
        <v>1907</v>
      </c>
      <c r="C244" s="1323"/>
      <c r="D244" s="1323"/>
      <c r="E244" s="1323"/>
      <c r="F244" s="1333">
        <v>970</v>
      </c>
      <c r="H244" s="1332"/>
    </row>
    <row r="245" spans="1:8" s="1304" customFormat="1" ht="14.25" customHeight="1">
      <c r="A245" s="1312" t="s">
        <v>307</v>
      </c>
      <c r="B245" s="1313" t="s">
        <v>1600</v>
      </c>
      <c r="C245" s="1313">
        <v>4050</v>
      </c>
      <c r="D245" s="1313">
        <v>4020</v>
      </c>
      <c r="E245" s="1313">
        <v>4160</v>
      </c>
      <c r="F245" s="1314">
        <v>840</v>
      </c>
      <c r="H245" s="1332"/>
    </row>
    <row r="246" spans="1:8" s="1304" customFormat="1" ht="14.25" customHeight="1">
      <c r="A246" s="1312" t="s">
        <v>307</v>
      </c>
      <c r="B246" s="1317" t="s">
        <v>1613</v>
      </c>
      <c r="C246" s="1317">
        <v>4010</v>
      </c>
      <c r="D246" s="1317">
        <v>3960</v>
      </c>
      <c r="E246" s="1317">
        <v>4130</v>
      </c>
      <c r="F246" s="1325">
        <v>840</v>
      </c>
      <c r="H246" s="1332"/>
    </row>
    <row r="247" spans="1:8" s="1304" customFormat="1" ht="14.25" customHeight="1">
      <c r="A247" s="1312" t="s">
        <v>307</v>
      </c>
      <c r="B247" s="1317" t="s">
        <v>1626</v>
      </c>
      <c r="C247" s="1317">
        <v>3170</v>
      </c>
      <c r="D247" s="1317">
        <v>3140</v>
      </c>
      <c r="E247" s="1317">
        <v>3270</v>
      </c>
      <c r="F247" s="1325">
        <v>640</v>
      </c>
      <c r="H247" s="1332"/>
    </row>
    <row r="248" spans="1:8" s="1304" customFormat="1" ht="14.25" customHeight="1">
      <c r="A248" s="1312" t="s">
        <v>307</v>
      </c>
      <c r="B248" s="1317" t="s">
        <v>1638</v>
      </c>
      <c r="C248" s="1317">
        <v>3140</v>
      </c>
      <c r="D248" s="1317">
        <v>3120</v>
      </c>
      <c r="E248" s="1317">
        <v>3240</v>
      </c>
      <c r="F248" s="1325">
        <v>620</v>
      </c>
      <c r="H248" s="1332"/>
    </row>
    <row r="249" spans="1:8" s="1304" customFormat="1" ht="14.25" customHeight="1">
      <c r="A249" s="1312" t="s">
        <v>307</v>
      </c>
      <c r="B249" s="1317" t="s">
        <v>1650</v>
      </c>
      <c r="C249" s="1317">
        <v>3200</v>
      </c>
      <c r="D249" s="1317">
        <v>3100</v>
      </c>
      <c r="E249" s="1317">
        <v>3230</v>
      </c>
      <c r="F249" s="1325">
        <v>750</v>
      </c>
      <c r="H249" s="1332"/>
    </row>
    <row r="250" spans="1:8" s="1304" customFormat="1" ht="14.25" customHeight="1">
      <c r="A250" s="1312" t="s">
        <v>307</v>
      </c>
      <c r="B250" s="1317" t="s">
        <v>1661</v>
      </c>
      <c r="C250" s="1317">
        <v>4060</v>
      </c>
      <c r="D250" s="1317">
        <v>4000</v>
      </c>
      <c r="E250" s="1317">
        <v>4140</v>
      </c>
      <c r="F250" s="1325">
        <v>790</v>
      </c>
      <c r="H250" s="1332"/>
    </row>
    <row r="251" spans="1:8" s="1304" customFormat="1" ht="14.25" customHeight="1">
      <c r="A251" s="1312" t="s">
        <v>307</v>
      </c>
      <c r="B251" s="1317" t="s">
        <v>1672</v>
      </c>
      <c r="C251" s="1317">
        <v>3990</v>
      </c>
      <c r="D251" s="1317">
        <v>3970</v>
      </c>
      <c r="E251" s="1317">
        <v>4110</v>
      </c>
      <c r="F251" s="1325">
        <v>730</v>
      </c>
      <c r="H251" s="1332"/>
    </row>
    <row r="252" spans="1:8" s="1304" customFormat="1" ht="14.25" customHeight="1">
      <c r="A252" s="1312" t="s">
        <v>307</v>
      </c>
      <c r="B252" s="1317" t="s">
        <v>1683</v>
      </c>
      <c r="C252" s="1317">
        <v>3560</v>
      </c>
      <c r="D252" s="1317">
        <v>3530</v>
      </c>
      <c r="E252" s="1317">
        <v>3650</v>
      </c>
      <c r="F252" s="1325">
        <v>750</v>
      </c>
      <c r="H252" s="1332"/>
    </row>
    <row r="253" spans="1:8" s="1304" customFormat="1" ht="14.25" customHeight="1">
      <c r="A253" s="1312" t="s">
        <v>307</v>
      </c>
      <c r="B253" s="1317" t="s">
        <v>1693</v>
      </c>
      <c r="C253" s="1317">
        <v>3780</v>
      </c>
      <c r="D253" s="1317">
        <v>3750</v>
      </c>
      <c r="E253" s="1317">
        <v>3870</v>
      </c>
      <c r="F253" s="1325">
        <v>770</v>
      </c>
      <c r="H253" s="1332"/>
    </row>
    <row r="254" spans="1:8" s="1304" customFormat="1" ht="14.25" customHeight="1">
      <c r="A254" s="1312" t="s">
        <v>307</v>
      </c>
      <c r="B254" s="1317" t="s">
        <v>1703</v>
      </c>
      <c r="C254" s="1339"/>
      <c r="D254" s="1339"/>
      <c r="E254" s="1339"/>
      <c r="F254" s="1325">
        <v>740</v>
      </c>
      <c r="H254" s="1332"/>
    </row>
    <row r="255" spans="1:8" s="1304" customFormat="1" ht="14.25" customHeight="1">
      <c r="A255" s="1312" t="s">
        <v>307</v>
      </c>
      <c r="B255" s="1317" t="s">
        <v>1713</v>
      </c>
      <c r="C255" s="1339"/>
      <c r="D255" s="1339"/>
      <c r="E255" s="1339"/>
      <c r="F255" s="1325">
        <v>760</v>
      </c>
      <c r="H255" s="1332"/>
    </row>
    <row r="256" spans="1:8" s="1304" customFormat="1" ht="14.25" customHeight="1">
      <c r="A256" s="1312" t="s">
        <v>307</v>
      </c>
      <c r="B256" s="1317" t="s">
        <v>1723</v>
      </c>
      <c r="C256" s="1317">
        <v>3760</v>
      </c>
      <c r="D256" s="1317">
        <v>3730</v>
      </c>
      <c r="E256" s="1317">
        <v>3870</v>
      </c>
      <c r="F256" s="1325">
        <v>830</v>
      </c>
      <c r="H256" s="1332"/>
    </row>
    <row r="257" spans="1:8" s="1304" customFormat="1" ht="14.25" customHeight="1">
      <c r="A257" s="1312" t="s">
        <v>307</v>
      </c>
      <c r="B257" s="1317" t="s">
        <v>1733</v>
      </c>
      <c r="C257" s="1317">
        <v>3570</v>
      </c>
      <c r="D257" s="1317">
        <v>3540</v>
      </c>
      <c r="E257" s="1317">
        <v>3650</v>
      </c>
      <c r="F257" s="1325">
        <v>790</v>
      </c>
      <c r="H257" s="1332"/>
    </row>
    <row r="258" spans="1:8" s="1304" customFormat="1" ht="14.25" customHeight="1">
      <c r="A258" s="1312" t="s">
        <v>307</v>
      </c>
      <c r="B258" s="1317" t="s">
        <v>1743</v>
      </c>
      <c r="C258" s="1317">
        <v>3410</v>
      </c>
      <c r="D258" s="1317">
        <v>3380</v>
      </c>
      <c r="E258" s="1317">
        <v>3500</v>
      </c>
      <c r="F258" s="1325">
        <v>830</v>
      </c>
      <c r="H258" s="1332"/>
    </row>
    <row r="259" spans="1:8" s="1304" customFormat="1" ht="14.25" customHeight="1">
      <c r="A259" s="1312" t="s">
        <v>307</v>
      </c>
      <c r="B259" s="1317" t="s">
        <v>1753</v>
      </c>
      <c r="C259" s="1317">
        <v>3870</v>
      </c>
      <c r="D259" s="1317">
        <v>3840</v>
      </c>
      <c r="E259" s="1317">
        <v>3970</v>
      </c>
      <c r="F259" s="1325">
        <v>830</v>
      </c>
      <c r="H259" s="1332"/>
    </row>
    <row r="260" spans="1:8" s="1304" customFormat="1" ht="14.25" customHeight="1">
      <c r="A260" s="1312" t="s">
        <v>307</v>
      </c>
      <c r="B260" s="1317" t="s">
        <v>1763</v>
      </c>
      <c r="C260" s="1317">
        <v>3700</v>
      </c>
      <c r="D260" s="1317">
        <v>3660</v>
      </c>
      <c r="E260" s="1317">
        <v>3810</v>
      </c>
      <c r="F260" s="1325">
        <v>790</v>
      </c>
      <c r="H260" s="1332"/>
    </row>
    <row r="261" spans="1:8" s="1304" customFormat="1" ht="14.25" customHeight="1">
      <c r="A261" s="1312" t="s">
        <v>307</v>
      </c>
      <c r="B261" s="1317" t="s">
        <v>1773</v>
      </c>
      <c r="C261" s="1317">
        <v>3470</v>
      </c>
      <c r="D261" s="1317">
        <v>3430</v>
      </c>
      <c r="E261" s="1317">
        <v>3640</v>
      </c>
      <c r="F261" s="1325">
        <v>760</v>
      </c>
      <c r="H261" s="1332"/>
    </row>
    <row r="262" spans="1:8" s="1304" customFormat="1" ht="14.25" customHeight="1">
      <c r="A262" s="1312" t="s">
        <v>307</v>
      </c>
      <c r="B262" s="1317" t="s">
        <v>1783</v>
      </c>
      <c r="C262" s="1317">
        <v>3510</v>
      </c>
      <c r="D262" s="1317">
        <v>3470</v>
      </c>
      <c r="E262" s="1317">
        <v>3680</v>
      </c>
      <c r="F262" s="1334"/>
      <c r="H262" s="1332"/>
    </row>
    <row r="263" spans="1:8" s="1304" customFormat="1" ht="14.25" customHeight="1">
      <c r="A263" s="1312" t="s">
        <v>307</v>
      </c>
      <c r="B263" s="1317" t="s">
        <v>1793</v>
      </c>
      <c r="C263" s="1317">
        <v>3960</v>
      </c>
      <c r="D263" s="1317">
        <v>3930</v>
      </c>
      <c r="E263" s="1317">
        <v>4070</v>
      </c>
      <c r="F263" s="1325">
        <v>830</v>
      </c>
      <c r="H263" s="1332"/>
    </row>
    <row r="264" spans="1:8" s="1304" customFormat="1" ht="14.25" customHeight="1">
      <c r="A264" s="1312" t="s">
        <v>307</v>
      </c>
      <c r="B264" s="1317" t="s">
        <v>1802</v>
      </c>
      <c r="C264" s="1317">
        <v>4010</v>
      </c>
      <c r="D264" s="1317">
        <v>3980</v>
      </c>
      <c r="E264" s="1317">
        <v>4150</v>
      </c>
      <c r="F264" s="1325">
        <v>760</v>
      </c>
      <c r="H264" s="1332"/>
    </row>
    <row r="265" spans="1:8" s="1304" customFormat="1" ht="14.25" customHeight="1">
      <c r="A265" s="1312" t="s">
        <v>307</v>
      </c>
      <c r="B265" s="1317" t="s">
        <v>1810</v>
      </c>
      <c r="C265" s="1317">
        <v>3910</v>
      </c>
      <c r="D265" s="1317">
        <v>3890</v>
      </c>
      <c r="E265" s="1317">
        <v>4040</v>
      </c>
      <c r="F265" s="1325">
        <v>780</v>
      </c>
      <c r="H265" s="1332"/>
    </row>
    <row r="266" spans="1:8" s="1304" customFormat="1" ht="14.25" customHeight="1">
      <c r="A266" s="1312" t="s">
        <v>307</v>
      </c>
      <c r="B266" s="1317" t="s">
        <v>1818</v>
      </c>
      <c r="C266" s="1317">
        <v>3930</v>
      </c>
      <c r="D266" s="1317">
        <v>3900</v>
      </c>
      <c r="E266" s="1317">
        <v>4080</v>
      </c>
      <c r="F266" s="1325">
        <v>770</v>
      </c>
      <c r="H266" s="1332"/>
    </row>
    <row r="267" spans="1:8" s="1304" customFormat="1" ht="14.25" customHeight="1">
      <c r="A267" s="1312" t="s">
        <v>307</v>
      </c>
      <c r="B267" s="1317" t="s">
        <v>1825</v>
      </c>
      <c r="C267" s="1317">
        <v>3800</v>
      </c>
      <c r="D267" s="1317">
        <v>3780</v>
      </c>
      <c r="E267" s="1317">
        <v>3930</v>
      </c>
      <c r="F267" s="1334"/>
      <c r="H267" s="1332"/>
    </row>
    <row r="268" spans="1:8" s="1304" customFormat="1" ht="14.25" customHeight="1">
      <c r="A268" s="1312" t="s">
        <v>307</v>
      </c>
      <c r="B268" s="1317" t="s">
        <v>1832</v>
      </c>
      <c r="C268" s="1317">
        <v>3460</v>
      </c>
      <c r="D268" s="1317">
        <v>3430</v>
      </c>
      <c r="E268" s="1317">
        <v>3560</v>
      </c>
      <c r="F268" s="1325">
        <v>840</v>
      </c>
      <c r="H268" s="1332"/>
    </row>
    <row r="269" spans="1:8" s="1304" customFormat="1" ht="14.25" customHeight="1">
      <c r="A269" s="1312" t="s">
        <v>307</v>
      </c>
      <c r="B269" s="1317" t="s">
        <v>1839</v>
      </c>
      <c r="C269" s="1317">
        <v>3210</v>
      </c>
      <c r="D269" s="1317">
        <v>3190</v>
      </c>
      <c r="E269" s="1317">
        <v>3310</v>
      </c>
      <c r="F269" s="1325">
        <v>730</v>
      </c>
      <c r="H269" s="1332"/>
    </row>
    <row r="270" spans="1:8" s="1304" customFormat="1" ht="14.25" customHeight="1">
      <c r="A270" s="1312" t="s">
        <v>307</v>
      </c>
      <c r="B270" s="1317" t="s">
        <v>1846</v>
      </c>
      <c r="C270" s="1317">
        <v>3240</v>
      </c>
      <c r="D270" s="1317">
        <v>3210</v>
      </c>
      <c r="E270" s="1317">
        <v>3390</v>
      </c>
      <c r="F270" s="1325">
        <v>820</v>
      </c>
      <c r="H270" s="1332"/>
    </row>
    <row r="271" spans="1:8" s="1304" customFormat="1" ht="14.25" customHeight="1">
      <c r="A271" s="1312" t="s">
        <v>307</v>
      </c>
      <c r="B271" s="1317" t="s">
        <v>1853</v>
      </c>
      <c r="C271" s="1317">
        <v>3300</v>
      </c>
      <c r="D271" s="1317">
        <v>3270</v>
      </c>
      <c r="E271" s="1317">
        <v>3380</v>
      </c>
      <c r="F271" s="1325">
        <v>750</v>
      </c>
      <c r="H271" s="1332"/>
    </row>
    <row r="272" spans="1:8" s="1304" customFormat="1" ht="14.25" customHeight="1">
      <c r="A272" s="1312" t="s">
        <v>307</v>
      </c>
      <c r="B272" s="1317" t="s">
        <v>1858</v>
      </c>
      <c r="C272" s="1339"/>
      <c r="D272" s="1339"/>
      <c r="E272" s="1339"/>
      <c r="F272" s="1325">
        <v>740</v>
      </c>
      <c r="H272" s="1332"/>
    </row>
    <row r="273" spans="1:8" s="1304" customFormat="1" ht="14.25" customHeight="1">
      <c r="A273" s="1312" t="s">
        <v>307</v>
      </c>
      <c r="B273" s="1317" t="s">
        <v>1863</v>
      </c>
      <c r="C273" s="1317">
        <v>3130</v>
      </c>
      <c r="D273" s="1317">
        <v>3100</v>
      </c>
      <c r="E273" s="1317">
        <v>3230</v>
      </c>
      <c r="F273" s="1325">
        <v>700</v>
      </c>
      <c r="H273" s="1332"/>
    </row>
    <row r="274" spans="1:8" s="1304" customFormat="1" ht="14.25" customHeight="1">
      <c r="A274" s="1312" t="s">
        <v>307</v>
      </c>
      <c r="B274" s="1317" t="s">
        <v>1868</v>
      </c>
      <c r="C274" s="1317">
        <v>3460</v>
      </c>
      <c r="D274" s="1317">
        <v>3430</v>
      </c>
      <c r="E274" s="1317">
        <v>3560</v>
      </c>
      <c r="F274" s="1325">
        <v>690</v>
      </c>
      <c r="H274" s="1332"/>
    </row>
    <row r="275" spans="1:8" s="1304" customFormat="1" ht="14.25" customHeight="1">
      <c r="A275" s="1312" t="s">
        <v>307</v>
      </c>
      <c r="B275" s="1317" t="s">
        <v>1873</v>
      </c>
      <c r="C275" s="1317">
        <v>4040</v>
      </c>
      <c r="D275" s="1317">
        <v>4020</v>
      </c>
      <c r="E275" s="1317">
        <v>4160</v>
      </c>
      <c r="F275" s="1325">
        <v>820</v>
      </c>
      <c r="H275" s="1332"/>
    </row>
    <row r="276" spans="1:8" s="1304" customFormat="1" ht="14.25" customHeight="1">
      <c r="A276" s="1312" t="s">
        <v>307</v>
      </c>
      <c r="B276" s="1317" t="s">
        <v>1878</v>
      </c>
      <c r="C276" s="1317">
        <v>3270</v>
      </c>
      <c r="D276" s="1317">
        <v>3240</v>
      </c>
      <c r="E276" s="1317">
        <v>3350</v>
      </c>
      <c r="F276" s="1325">
        <v>680</v>
      </c>
      <c r="H276" s="1332"/>
    </row>
    <row r="277" spans="1:8" s="1304" customFormat="1" ht="14.25" customHeight="1">
      <c r="A277" s="1312" t="s">
        <v>307</v>
      </c>
      <c r="B277" s="1317" t="s">
        <v>1883</v>
      </c>
      <c r="C277" s="1317">
        <v>2930</v>
      </c>
      <c r="D277" s="1317">
        <v>2900</v>
      </c>
      <c r="E277" s="1317">
        <v>3000</v>
      </c>
      <c r="F277" s="1325">
        <v>640</v>
      </c>
      <c r="H277" s="1332"/>
    </row>
    <row r="278" spans="1:8" s="1304" customFormat="1" ht="14.25" customHeight="1">
      <c r="A278" s="1312" t="s">
        <v>307</v>
      </c>
      <c r="B278" s="1317" t="s">
        <v>1888</v>
      </c>
      <c r="C278" s="1317">
        <v>4080</v>
      </c>
      <c r="D278" s="1317">
        <v>4030</v>
      </c>
      <c r="E278" s="1317">
        <v>4140</v>
      </c>
      <c r="F278" s="1325">
        <v>850</v>
      </c>
      <c r="H278" s="1332"/>
    </row>
    <row r="279" spans="1:8" s="1304" customFormat="1" ht="14.25" customHeight="1">
      <c r="A279" s="1312" t="s">
        <v>307</v>
      </c>
      <c r="B279" s="1317" t="s">
        <v>1892</v>
      </c>
      <c r="C279" s="1317"/>
      <c r="D279" s="1317"/>
      <c r="E279" s="1317"/>
      <c r="F279" s="1325">
        <v>760</v>
      </c>
      <c r="H279" s="1332"/>
    </row>
    <row r="280" spans="1:8" s="1304" customFormat="1" ht="14.25" customHeight="1">
      <c r="A280" s="1312" t="s">
        <v>307</v>
      </c>
      <c r="B280" s="1317" t="s">
        <v>1896</v>
      </c>
      <c r="C280" s="1317"/>
      <c r="D280" s="1317"/>
      <c r="E280" s="1317"/>
      <c r="F280" s="1325">
        <v>760</v>
      </c>
      <c r="H280" s="1332"/>
    </row>
    <row r="281" spans="1:8" s="1304" customFormat="1" ht="14.25" customHeight="1">
      <c r="A281" s="1312" t="s">
        <v>307</v>
      </c>
      <c r="B281" s="1317" t="s">
        <v>1900</v>
      </c>
      <c r="C281" s="1317"/>
      <c r="D281" s="1317"/>
      <c r="E281" s="1317"/>
      <c r="F281" s="1325">
        <v>780</v>
      </c>
      <c r="H281" s="1332"/>
    </row>
    <row r="282" spans="1:8" s="1304" customFormat="1" ht="14.25" customHeight="1">
      <c r="A282" s="1312" t="s">
        <v>307</v>
      </c>
      <c r="B282" s="1317" t="s">
        <v>1904</v>
      </c>
      <c r="C282" s="1317"/>
      <c r="D282" s="1317"/>
      <c r="E282" s="1317"/>
      <c r="F282" s="1325">
        <v>730</v>
      </c>
      <c r="H282" s="1332"/>
    </row>
    <row r="283" spans="1:8" s="1304" customFormat="1" ht="14.25" customHeight="1">
      <c r="A283" s="1312" t="s">
        <v>307</v>
      </c>
      <c r="B283" s="1317" t="s">
        <v>1908</v>
      </c>
      <c r="C283" s="1317"/>
      <c r="D283" s="1317"/>
      <c r="E283" s="1317"/>
      <c r="F283" s="1325">
        <v>770</v>
      </c>
      <c r="H283" s="1332"/>
    </row>
    <row r="284" spans="1:8" s="1304" customFormat="1" ht="14.25" customHeight="1">
      <c r="A284" s="1312" t="s">
        <v>307</v>
      </c>
      <c r="B284" s="1317" t="s">
        <v>1911</v>
      </c>
      <c r="C284" s="1317"/>
      <c r="D284" s="1317"/>
      <c r="E284" s="1317"/>
      <c r="F284" s="1325">
        <v>640</v>
      </c>
      <c r="H284" s="1332"/>
    </row>
    <row r="285" spans="1:8" s="1304" customFormat="1" ht="14.25" customHeight="1">
      <c r="A285" s="1312" t="s">
        <v>307</v>
      </c>
      <c r="B285" s="1317" t="s">
        <v>1914</v>
      </c>
      <c r="C285" s="1317"/>
      <c r="D285" s="1317"/>
      <c r="E285" s="1317"/>
      <c r="F285" s="1325">
        <v>640</v>
      </c>
      <c r="H285" s="1332"/>
    </row>
    <row r="286" spans="1:8" s="1304" customFormat="1" ht="14.25" customHeight="1">
      <c r="A286" s="1312" t="s">
        <v>307</v>
      </c>
      <c r="B286" s="1317" t="s">
        <v>1917</v>
      </c>
      <c r="C286" s="1317"/>
      <c r="D286" s="1317"/>
      <c r="E286" s="1317"/>
      <c r="F286" s="1325">
        <v>850</v>
      </c>
      <c r="H286" s="1332"/>
    </row>
    <row r="287" spans="1:8" s="1304" customFormat="1" ht="14.25" customHeight="1">
      <c r="A287" s="1312" t="s">
        <v>307</v>
      </c>
      <c r="B287" s="1317" t="s">
        <v>1920</v>
      </c>
      <c r="C287" s="1317"/>
      <c r="D287" s="1317"/>
      <c r="E287" s="1317"/>
      <c r="F287" s="1325">
        <v>760</v>
      </c>
      <c r="H287" s="1332"/>
    </row>
    <row r="288" spans="1:8" s="1304" customFormat="1" ht="14.25" customHeight="1">
      <c r="A288" s="1312" t="s">
        <v>307</v>
      </c>
      <c r="B288" s="1317" t="s">
        <v>1923</v>
      </c>
      <c r="C288" s="1317"/>
      <c r="D288" s="1317"/>
      <c r="E288" s="1317"/>
      <c r="F288" s="1325">
        <v>830</v>
      </c>
      <c r="H288" s="1332"/>
    </row>
    <row r="289" spans="1:8" s="1304" customFormat="1" ht="14.25" customHeight="1">
      <c r="A289" s="1312" t="s">
        <v>307</v>
      </c>
      <c r="B289" s="1323" t="s">
        <v>1926</v>
      </c>
      <c r="C289" s="1323"/>
      <c r="D289" s="1323"/>
      <c r="E289" s="1323"/>
      <c r="F289" s="1333">
        <v>680</v>
      </c>
      <c r="H289" s="1332"/>
    </row>
    <row r="290" spans="1:8" s="1304" customFormat="1" ht="14.25" customHeight="1">
      <c r="A290" s="1312" t="s">
        <v>310</v>
      </c>
      <c r="B290" s="1313" t="s">
        <v>1601</v>
      </c>
      <c r="C290" s="1313">
        <v>2770</v>
      </c>
      <c r="D290" s="1313">
        <v>2740</v>
      </c>
      <c r="E290" s="1313">
        <v>2720</v>
      </c>
      <c r="F290" s="1340"/>
      <c r="H290" s="1332"/>
    </row>
    <row r="291" spans="1:8" s="1304" customFormat="1" ht="14.25" customHeight="1">
      <c r="A291" s="1312" t="s">
        <v>310</v>
      </c>
      <c r="B291" s="1317" t="s">
        <v>1614</v>
      </c>
      <c r="C291" s="1317">
        <v>2670</v>
      </c>
      <c r="D291" s="1317">
        <v>2640</v>
      </c>
      <c r="E291" s="1317">
        <v>2620</v>
      </c>
      <c r="F291" s="1334"/>
      <c r="H291" s="1332"/>
    </row>
    <row r="292" spans="1:8" s="1304" customFormat="1" ht="14.25" customHeight="1">
      <c r="A292" s="1312" t="s">
        <v>310</v>
      </c>
      <c r="B292" s="1317" t="s">
        <v>1627</v>
      </c>
      <c r="C292" s="1317">
        <v>2180</v>
      </c>
      <c r="D292" s="1317">
        <v>2140</v>
      </c>
      <c r="E292" s="1317">
        <v>2120</v>
      </c>
      <c r="F292" s="1325">
        <v>490</v>
      </c>
      <c r="H292" s="1332"/>
    </row>
    <row r="293" spans="1:8" s="1304" customFormat="1" ht="14.25" customHeight="1">
      <c r="A293" s="1312" t="s">
        <v>310</v>
      </c>
      <c r="B293" s="1317" t="s">
        <v>1933</v>
      </c>
      <c r="C293" s="1317"/>
      <c r="D293" s="1317"/>
      <c r="E293" s="1317"/>
      <c r="F293" s="1325">
        <v>470</v>
      </c>
      <c r="H293" s="1332"/>
    </row>
    <row r="294" spans="1:8" s="1304" customFormat="1" ht="14.25" customHeight="1">
      <c r="A294" s="1312" t="s">
        <v>310</v>
      </c>
      <c r="B294" s="1317" t="s">
        <v>1639</v>
      </c>
      <c r="C294" s="1317">
        <v>2730</v>
      </c>
      <c r="D294" s="1317">
        <v>2700</v>
      </c>
      <c r="E294" s="1317">
        <v>2680</v>
      </c>
      <c r="F294" s="1325">
        <v>490</v>
      </c>
      <c r="H294" s="1332"/>
    </row>
    <row r="295" spans="1:8" s="1304" customFormat="1" ht="14.25" customHeight="1">
      <c r="A295" s="1312" t="s">
        <v>310</v>
      </c>
      <c r="B295" s="1317" t="s">
        <v>1651</v>
      </c>
      <c r="C295" s="1317">
        <v>2380</v>
      </c>
      <c r="D295" s="1317">
        <v>2350</v>
      </c>
      <c r="E295" s="1317">
        <v>2330</v>
      </c>
      <c r="F295" s="1325">
        <v>530</v>
      </c>
      <c r="H295" s="1332"/>
    </row>
    <row r="296" spans="1:8" s="1304" customFormat="1" ht="14.25" customHeight="1">
      <c r="A296" s="1312" t="s">
        <v>310</v>
      </c>
      <c r="B296" s="1317" t="s">
        <v>1662</v>
      </c>
      <c r="C296" s="1317">
        <v>2650</v>
      </c>
      <c r="D296" s="1317">
        <v>2620</v>
      </c>
      <c r="E296" s="1317">
        <v>2590</v>
      </c>
      <c r="F296" s="1325">
        <v>590</v>
      </c>
      <c r="H296" s="1332"/>
    </row>
    <row r="297" spans="1:8" s="1304" customFormat="1" ht="14.25" customHeight="1">
      <c r="A297" s="1312" t="s">
        <v>310</v>
      </c>
      <c r="B297" s="1317" t="s">
        <v>1673</v>
      </c>
      <c r="C297" s="1317">
        <v>2700</v>
      </c>
      <c r="D297" s="1317">
        <v>2670</v>
      </c>
      <c r="E297" s="1317">
        <v>2650</v>
      </c>
      <c r="F297" s="1325">
        <v>630</v>
      </c>
      <c r="H297" s="1332"/>
    </row>
    <row r="298" spans="1:8" s="1304" customFormat="1" ht="14.25" customHeight="1">
      <c r="A298" s="1312" t="s">
        <v>310</v>
      </c>
      <c r="B298" s="1317" t="s">
        <v>1684</v>
      </c>
      <c r="C298" s="1317">
        <v>2650</v>
      </c>
      <c r="D298" s="1317">
        <v>2620</v>
      </c>
      <c r="E298" s="1317">
        <v>2590</v>
      </c>
      <c r="F298" s="1325">
        <v>640</v>
      </c>
      <c r="H298" s="1332"/>
    </row>
    <row r="299" spans="1:8" s="1304" customFormat="1" ht="14.25" customHeight="1">
      <c r="A299" s="1312" t="s">
        <v>310</v>
      </c>
      <c r="B299" s="1317" t="s">
        <v>1694</v>
      </c>
      <c r="C299" s="1317">
        <v>2500</v>
      </c>
      <c r="D299" s="1317">
        <v>2480</v>
      </c>
      <c r="E299" s="1317">
        <v>2460</v>
      </c>
      <c r="F299" s="1334"/>
      <c r="H299" s="1332"/>
    </row>
    <row r="300" spans="1:8" s="1304" customFormat="1" ht="14.25" customHeight="1">
      <c r="A300" s="1312" t="s">
        <v>310</v>
      </c>
      <c r="B300" s="1317" t="s">
        <v>1704</v>
      </c>
      <c r="C300" s="1317">
        <v>2760</v>
      </c>
      <c r="D300" s="1317">
        <v>2730</v>
      </c>
      <c r="E300" s="1317">
        <v>2700</v>
      </c>
      <c r="F300" s="1325">
        <v>630</v>
      </c>
      <c r="H300" s="1332"/>
    </row>
    <row r="301" spans="1:8" s="1304" customFormat="1" ht="14.25" customHeight="1">
      <c r="A301" s="1312" t="s">
        <v>310</v>
      </c>
      <c r="B301" s="1317" t="s">
        <v>1714</v>
      </c>
      <c r="C301" s="1317">
        <v>2510</v>
      </c>
      <c r="D301" s="1317">
        <v>2480</v>
      </c>
      <c r="E301" s="1317">
        <v>2460</v>
      </c>
      <c r="F301" s="1334"/>
      <c r="H301" s="1332"/>
    </row>
    <row r="302" spans="1:8" s="1304" customFormat="1" ht="14.25" customHeight="1">
      <c r="A302" s="1312" t="s">
        <v>310</v>
      </c>
      <c r="B302" s="1317" t="s">
        <v>1724</v>
      </c>
      <c r="C302" s="1317">
        <v>2480</v>
      </c>
      <c r="D302" s="1317">
        <v>2450</v>
      </c>
      <c r="E302" s="1317">
        <v>2420</v>
      </c>
      <c r="F302" s="1325">
        <v>600</v>
      </c>
      <c r="H302" s="1332"/>
    </row>
    <row r="303" spans="1:8" s="1304" customFormat="1" ht="14.25" customHeight="1">
      <c r="A303" s="1312" t="s">
        <v>310</v>
      </c>
      <c r="B303" s="1317" t="s">
        <v>1734</v>
      </c>
      <c r="C303" s="1317">
        <v>2270</v>
      </c>
      <c r="D303" s="1317">
        <v>2240</v>
      </c>
      <c r="E303" s="1317">
        <v>2210</v>
      </c>
      <c r="F303" s="1325">
        <v>540</v>
      </c>
      <c r="H303" s="1332"/>
    </row>
    <row r="304" spans="1:8" s="1304" customFormat="1" ht="14.25" customHeight="1">
      <c r="A304" s="1312" t="s">
        <v>310</v>
      </c>
      <c r="B304" s="1317" t="s">
        <v>1744</v>
      </c>
      <c r="C304" s="1317">
        <v>2310</v>
      </c>
      <c r="D304" s="1317">
        <v>2290</v>
      </c>
      <c r="E304" s="1317">
        <v>2270</v>
      </c>
      <c r="F304" s="1334"/>
      <c r="H304" s="1332"/>
    </row>
    <row r="305" spans="1:8" s="1304" customFormat="1" ht="14.25" customHeight="1">
      <c r="A305" s="1312" t="s">
        <v>310</v>
      </c>
      <c r="B305" s="1317" t="s">
        <v>1754</v>
      </c>
      <c r="C305" s="1317">
        <v>2490</v>
      </c>
      <c r="D305" s="1317">
        <v>2470</v>
      </c>
      <c r="E305" s="1317">
        <v>2440</v>
      </c>
      <c r="F305" s="1325">
        <v>560</v>
      </c>
      <c r="H305" s="1332"/>
    </row>
    <row r="306" spans="1:8" s="1304" customFormat="1" ht="14.25" customHeight="1">
      <c r="A306" s="1312" t="s">
        <v>310</v>
      </c>
      <c r="B306" s="1317" t="s">
        <v>1764</v>
      </c>
      <c r="C306" s="1317">
        <v>2420</v>
      </c>
      <c r="D306" s="1317">
        <v>2400</v>
      </c>
      <c r="E306" s="1317">
        <v>2380</v>
      </c>
      <c r="F306" s="1334"/>
      <c r="H306" s="1332"/>
    </row>
    <row r="307" spans="1:8" s="1304" customFormat="1" ht="14.25" customHeight="1">
      <c r="A307" s="1312" t="s">
        <v>310</v>
      </c>
      <c r="B307" s="1317" t="s">
        <v>1774</v>
      </c>
      <c r="C307" s="1317">
        <v>2770</v>
      </c>
      <c r="D307" s="1317">
        <v>2740</v>
      </c>
      <c r="E307" s="1317">
        <v>2710</v>
      </c>
      <c r="F307" s="1325">
        <v>650</v>
      </c>
      <c r="H307" s="1332"/>
    </row>
    <row r="308" spans="1:8" s="1304" customFormat="1" ht="14.25" customHeight="1">
      <c r="A308" s="1312" t="s">
        <v>310</v>
      </c>
      <c r="B308" s="1317" t="s">
        <v>1784</v>
      </c>
      <c r="C308" s="1317">
        <v>2610</v>
      </c>
      <c r="D308" s="1317">
        <v>2580</v>
      </c>
      <c r="E308" s="1317">
        <v>2550</v>
      </c>
      <c r="F308" s="1325">
        <v>580</v>
      </c>
      <c r="H308" s="1332"/>
    </row>
    <row r="309" spans="1:8" s="1304" customFormat="1" ht="14.25" customHeight="1">
      <c r="A309" s="1312" t="s">
        <v>310</v>
      </c>
      <c r="B309" s="1317" t="s">
        <v>1794</v>
      </c>
      <c r="C309" s="1317">
        <v>2690</v>
      </c>
      <c r="D309" s="1317">
        <v>2670</v>
      </c>
      <c r="E309" s="1317">
        <v>2650</v>
      </c>
      <c r="F309" s="1334"/>
      <c r="H309" s="1332"/>
    </row>
    <row r="310" spans="1:8" s="1304" customFormat="1" ht="14.25" customHeight="1">
      <c r="A310" s="1312" t="s">
        <v>310</v>
      </c>
      <c r="B310" s="1317" t="s">
        <v>1803</v>
      </c>
      <c r="C310" s="1317">
        <v>2360</v>
      </c>
      <c r="D310" s="1317">
        <v>2330</v>
      </c>
      <c r="E310" s="1317">
        <v>2310</v>
      </c>
      <c r="F310" s="1325">
        <v>560</v>
      </c>
      <c r="H310" s="1332"/>
    </row>
    <row r="311" spans="1:8" s="1304" customFormat="1" ht="14.25" customHeight="1">
      <c r="A311" s="1312" t="s">
        <v>310</v>
      </c>
      <c r="B311" s="1317" t="s">
        <v>1811</v>
      </c>
      <c r="C311" s="1317">
        <v>1970</v>
      </c>
      <c r="D311" s="1317">
        <v>1950</v>
      </c>
      <c r="E311" s="1317">
        <v>1920</v>
      </c>
      <c r="F311" s="1325">
        <v>470</v>
      </c>
      <c r="H311" s="1332"/>
    </row>
    <row r="312" spans="1:8" s="1304" customFormat="1" ht="14.25" customHeight="1">
      <c r="A312" s="1312" t="s">
        <v>310</v>
      </c>
      <c r="B312" s="1317" t="s">
        <v>1819</v>
      </c>
      <c r="C312" s="1317">
        <v>2230</v>
      </c>
      <c r="D312" s="1317">
        <v>2200</v>
      </c>
      <c r="E312" s="1317">
        <v>2170</v>
      </c>
      <c r="F312" s="1325">
        <v>460</v>
      </c>
      <c r="H312" s="1332"/>
    </row>
    <row r="313" spans="1:8" s="1304" customFormat="1" ht="14.25" customHeight="1">
      <c r="A313" s="1312" t="s">
        <v>310</v>
      </c>
      <c r="B313" s="1317" t="s">
        <v>1826</v>
      </c>
      <c r="C313" s="1317">
        <v>2770</v>
      </c>
      <c r="D313" s="1317">
        <v>2740</v>
      </c>
      <c r="E313" s="1317">
        <v>2710</v>
      </c>
      <c r="F313" s="1325">
        <v>610</v>
      </c>
      <c r="H313" s="1332"/>
    </row>
    <row r="314" spans="1:8" s="1304" customFormat="1" ht="14.25" customHeight="1">
      <c r="A314" s="1312" t="s">
        <v>310</v>
      </c>
      <c r="B314" s="1317" t="s">
        <v>1833</v>
      </c>
      <c r="C314" s="1317"/>
      <c r="D314" s="1317"/>
      <c r="E314" s="1317"/>
      <c r="F314" s="1325">
        <v>490</v>
      </c>
      <c r="H314" s="1332"/>
    </row>
    <row r="315" spans="1:8" s="1304" customFormat="1" ht="14.25" customHeight="1">
      <c r="A315" s="1312" t="s">
        <v>310</v>
      </c>
      <c r="B315" s="1317" t="s">
        <v>1840</v>
      </c>
      <c r="C315" s="1317"/>
      <c r="D315" s="1317"/>
      <c r="E315" s="1317"/>
      <c r="F315" s="1325">
        <v>520</v>
      </c>
      <c r="H315" s="1332"/>
    </row>
    <row r="316" spans="1:8" s="1304" customFormat="1" ht="14.25" customHeight="1">
      <c r="A316" s="1312" t="s">
        <v>310</v>
      </c>
      <c r="B316" s="1323" t="s">
        <v>1847</v>
      </c>
      <c r="C316" s="1323"/>
      <c r="D316" s="1323"/>
      <c r="E316" s="1323"/>
      <c r="F316" s="1333">
        <v>460</v>
      </c>
      <c r="H316" s="1332"/>
    </row>
    <row r="317" spans="1:8" s="1304" customFormat="1" ht="14.25" customHeight="1">
      <c r="A317" s="1312" t="s">
        <v>313</v>
      </c>
      <c r="B317" s="1313" t="s">
        <v>1602</v>
      </c>
      <c r="C317" s="1313">
        <v>1200</v>
      </c>
      <c r="D317" s="1313">
        <v>1180</v>
      </c>
      <c r="E317" s="1313">
        <v>1160</v>
      </c>
      <c r="F317" s="1314">
        <v>370</v>
      </c>
      <c r="H317" s="1306"/>
    </row>
    <row r="318" spans="1:8" s="1304" customFormat="1" ht="14.25" customHeight="1">
      <c r="A318" s="1312" t="s">
        <v>313</v>
      </c>
      <c r="B318" s="1317" t="s">
        <v>1615</v>
      </c>
      <c r="C318" s="1317">
        <v>1090</v>
      </c>
      <c r="D318" s="1317">
        <v>1060</v>
      </c>
      <c r="E318" s="1317">
        <v>1040</v>
      </c>
      <c r="F318" s="1334"/>
      <c r="H318" s="1306"/>
    </row>
    <row r="319" spans="1:8" s="1304" customFormat="1" ht="14.25" customHeight="1">
      <c r="A319" s="1312" t="s">
        <v>313</v>
      </c>
      <c r="B319" s="1317" t="s">
        <v>1628</v>
      </c>
      <c r="C319" s="1317">
        <v>1520</v>
      </c>
      <c r="D319" s="1317">
        <v>1470</v>
      </c>
      <c r="E319" s="1317">
        <v>1440</v>
      </c>
      <c r="F319" s="1325">
        <v>370</v>
      </c>
      <c r="H319" s="1306"/>
    </row>
    <row r="320" spans="1:8" s="1304" customFormat="1" ht="14.25" customHeight="1">
      <c r="A320" s="1312" t="s">
        <v>313</v>
      </c>
      <c r="B320" s="1317" t="s">
        <v>1640</v>
      </c>
      <c r="C320" s="1317">
        <v>1360</v>
      </c>
      <c r="D320" s="1317">
        <v>1300</v>
      </c>
      <c r="E320" s="1317">
        <v>1270</v>
      </c>
      <c r="F320" s="1334"/>
      <c r="H320" s="1306"/>
    </row>
    <row r="321" spans="1:8" s="1304" customFormat="1" ht="14.25" customHeight="1">
      <c r="A321" s="1312" t="s">
        <v>313</v>
      </c>
      <c r="B321" s="1317" t="s">
        <v>1652</v>
      </c>
      <c r="C321" s="1317">
        <v>1750</v>
      </c>
      <c r="D321" s="1317">
        <v>1690</v>
      </c>
      <c r="E321" s="1317">
        <v>1660</v>
      </c>
      <c r="F321" s="1334"/>
      <c r="H321" s="1306"/>
    </row>
    <row r="322" spans="1:8" s="1304" customFormat="1" ht="14.25" customHeight="1">
      <c r="A322" s="1312" t="s">
        <v>313</v>
      </c>
      <c r="B322" s="1317" t="s">
        <v>1663</v>
      </c>
      <c r="C322" s="1317">
        <v>1650</v>
      </c>
      <c r="D322" s="1317">
        <v>1610</v>
      </c>
      <c r="E322" s="1317">
        <v>1580</v>
      </c>
      <c r="F322" s="1325">
        <v>500</v>
      </c>
      <c r="H322" s="1306"/>
    </row>
    <row r="323" spans="1:8" s="1304" customFormat="1" ht="14.25" customHeight="1">
      <c r="A323" s="1312" t="s">
        <v>313</v>
      </c>
      <c r="B323" s="1317" t="s">
        <v>1674</v>
      </c>
      <c r="C323" s="1317">
        <v>1780</v>
      </c>
      <c r="D323" s="1317">
        <v>1740</v>
      </c>
      <c r="E323" s="1317">
        <v>1720</v>
      </c>
      <c r="F323" s="1334"/>
      <c r="H323" s="1306"/>
    </row>
    <row r="324" spans="1:8" s="1304" customFormat="1" ht="14.25" customHeight="1">
      <c r="A324" s="1312" t="s">
        <v>313</v>
      </c>
      <c r="B324" s="1317" t="s">
        <v>1685</v>
      </c>
      <c r="C324" s="1317">
        <v>1650</v>
      </c>
      <c r="D324" s="1317">
        <v>1610</v>
      </c>
      <c r="E324" s="1317">
        <v>1580</v>
      </c>
      <c r="F324" s="1334"/>
      <c r="H324" s="1306"/>
    </row>
    <row r="325" spans="1:8" s="1304" customFormat="1" ht="14.25" customHeight="1">
      <c r="A325" s="1312" t="s">
        <v>313</v>
      </c>
      <c r="B325" s="1317" t="s">
        <v>1695</v>
      </c>
      <c r="C325" s="1317">
        <v>1330</v>
      </c>
      <c r="D325" s="1317">
        <v>1270</v>
      </c>
      <c r="E325" s="1317">
        <v>1240</v>
      </c>
      <c r="F325" s="1325">
        <v>430</v>
      </c>
      <c r="H325" s="1306"/>
    </row>
    <row r="326" spans="1:8" s="1304" customFormat="1" ht="14.25" customHeight="1">
      <c r="A326" s="1312" t="s">
        <v>313</v>
      </c>
      <c r="B326" s="1317" t="s">
        <v>1705</v>
      </c>
      <c r="C326" s="1317">
        <v>1470</v>
      </c>
      <c r="D326" s="1317">
        <v>1430</v>
      </c>
      <c r="E326" s="1317">
        <v>1400</v>
      </c>
      <c r="F326" s="1334"/>
      <c r="H326" s="1306"/>
    </row>
    <row r="327" spans="1:8" s="1304" customFormat="1" ht="14.25" customHeight="1">
      <c r="A327" s="1312" t="s">
        <v>313</v>
      </c>
      <c r="B327" s="1317" t="s">
        <v>1715</v>
      </c>
      <c r="C327" s="1317">
        <v>1420</v>
      </c>
      <c r="D327" s="1317">
        <v>1380</v>
      </c>
      <c r="E327" s="1317">
        <v>1360</v>
      </c>
      <c r="F327" s="1325">
        <v>420</v>
      </c>
      <c r="H327" s="1306"/>
    </row>
    <row r="328" spans="1:8" s="1304" customFormat="1" ht="14.25" customHeight="1">
      <c r="A328" s="1312" t="s">
        <v>313</v>
      </c>
      <c r="B328" s="1317" t="s">
        <v>1725</v>
      </c>
      <c r="C328" s="1317">
        <v>1400</v>
      </c>
      <c r="D328" s="1317">
        <v>1360</v>
      </c>
      <c r="E328" s="1317">
        <v>1330</v>
      </c>
      <c r="F328" s="1325">
        <v>460</v>
      </c>
      <c r="H328" s="1306"/>
    </row>
    <row r="329" spans="1:8" s="1304" customFormat="1" ht="14.25" customHeight="1">
      <c r="A329" s="1312" t="s">
        <v>313</v>
      </c>
      <c r="B329" s="1317" t="s">
        <v>1735</v>
      </c>
      <c r="C329" s="1317">
        <v>1640</v>
      </c>
      <c r="D329" s="1317">
        <v>1610</v>
      </c>
      <c r="E329" s="1317">
        <v>1580</v>
      </c>
      <c r="F329" s="1325">
        <v>410</v>
      </c>
      <c r="H329" s="1306"/>
    </row>
    <row r="330" spans="1:8" s="1304" customFormat="1" ht="14.25" customHeight="1">
      <c r="A330" s="1312" t="s">
        <v>313</v>
      </c>
      <c r="B330" s="1317" t="s">
        <v>1745</v>
      </c>
      <c r="C330" s="1317">
        <v>1260</v>
      </c>
      <c r="D330" s="1317">
        <v>1220</v>
      </c>
      <c r="E330" s="1317">
        <v>1200</v>
      </c>
      <c r="F330" s="1334"/>
      <c r="H330" s="1306"/>
    </row>
    <row r="331" spans="1:8" s="1304" customFormat="1" ht="14.25" customHeight="1">
      <c r="A331" s="1312" t="s">
        <v>313</v>
      </c>
      <c r="B331" s="1317" t="s">
        <v>1755</v>
      </c>
      <c r="C331" s="1317">
        <v>1620</v>
      </c>
      <c r="D331" s="1317">
        <v>1560</v>
      </c>
      <c r="E331" s="1317">
        <v>1530</v>
      </c>
      <c r="F331" s="1325">
        <v>490</v>
      </c>
      <c r="H331" s="1306"/>
    </row>
    <row r="332" spans="1:8" s="1304" customFormat="1" ht="14.25" customHeight="1">
      <c r="A332" s="1312" t="s">
        <v>313</v>
      </c>
      <c r="B332" s="1317" t="s">
        <v>1765</v>
      </c>
      <c r="C332" s="1317">
        <v>1520</v>
      </c>
      <c r="D332" s="1317">
        <v>1470</v>
      </c>
      <c r="E332" s="1317">
        <v>1440</v>
      </c>
      <c r="F332" s="1325">
        <v>440</v>
      </c>
      <c r="H332" s="1306"/>
    </row>
    <row r="333" spans="1:8" s="1304" customFormat="1" ht="14.25" customHeight="1">
      <c r="A333" s="1312" t="s">
        <v>313</v>
      </c>
      <c r="B333" s="1317" t="s">
        <v>1775</v>
      </c>
      <c r="C333" s="1317">
        <v>1370</v>
      </c>
      <c r="D333" s="1317">
        <v>1320</v>
      </c>
      <c r="E333" s="1317">
        <v>1300</v>
      </c>
      <c r="F333" s="1325">
        <v>460</v>
      </c>
      <c r="H333" s="1306"/>
    </row>
    <row r="334" spans="1:8" s="1304" customFormat="1" ht="14.25" customHeight="1">
      <c r="A334" s="1312" t="s">
        <v>313</v>
      </c>
      <c r="B334" s="1317" t="s">
        <v>1785</v>
      </c>
      <c r="C334" s="1317">
        <v>1410</v>
      </c>
      <c r="D334" s="1317">
        <v>1340</v>
      </c>
      <c r="E334" s="1317">
        <v>1310</v>
      </c>
      <c r="F334" s="1325">
        <v>410</v>
      </c>
      <c r="H334" s="1306"/>
    </row>
    <row r="335" spans="1:8" s="1304" customFormat="1" ht="14.25" customHeight="1">
      <c r="A335" s="1312" t="s">
        <v>313</v>
      </c>
      <c r="B335" s="1317" t="s">
        <v>1795</v>
      </c>
      <c r="C335" s="1317">
        <v>1260</v>
      </c>
      <c r="D335" s="1317">
        <v>1220</v>
      </c>
      <c r="E335" s="1317">
        <v>1200</v>
      </c>
      <c r="F335" s="1334"/>
      <c r="H335" s="1306"/>
    </row>
    <row r="336" spans="1:8" s="1304" customFormat="1" ht="14.25" customHeight="1">
      <c r="A336" s="1312" t="s">
        <v>313</v>
      </c>
      <c r="B336" s="1317" t="s">
        <v>1804</v>
      </c>
      <c r="C336" s="1317">
        <v>1160</v>
      </c>
      <c r="D336" s="1317">
        <v>1140</v>
      </c>
      <c r="E336" s="1317">
        <v>1120</v>
      </c>
      <c r="F336" s="1325">
        <v>430</v>
      </c>
      <c r="H336" s="1306"/>
    </row>
    <row r="337" spans="1:8" s="1304" customFormat="1" ht="14.25" customHeight="1">
      <c r="A337" s="1312" t="s">
        <v>313</v>
      </c>
      <c r="B337" s="1323" t="s">
        <v>1812</v>
      </c>
      <c r="C337" s="1323"/>
      <c r="D337" s="1323"/>
      <c r="E337" s="1323"/>
      <c r="F337" s="1333">
        <v>380</v>
      </c>
      <c r="H337" s="1306"/>
    </row>
    <row r="338" spans="1:8" s="1304" customFormat="1" ht="14.25" customHeight="1">
      <c r="A338" s="1312" t="s">
        <v>316</v>
      </c>
      <c r="B338" s="1313" t="s">
        <v>1603</v>
      </c>
      <c r="C338" s="1313">
        <v>880</v>
      </c>
      <c r="D338" s="1313">
        <v>850</v>
      </c>
      <c r="E338" s="1313">
        <v>830</v>
      </c>
      <c r="F338" s="1340"/>
      <c r="H338" s="1306"/>
    </row>
    <row r="339" spans="1:8" s="1304" customFormat="1" ht="14.25" customHeight="1">
      <c r="A339" s="1312" t="s">
        <v>316</v>
      </c>
      <c r="B339" s="1317" t="s">
        <v>1616</v>
      </c>
      <c r="C339" s="1317">
        <v>830</v>
      </c>
      <c r="D339" s="1317">
        <v>800</v>
      </c>
      <c r="E339" s="1317">
        <v>780</v>
      </c>
      <c r="F339" s="1334"/>
      <c r="H339" s="1306"/>
    </row>
    <row r="340" spans="1:8" s="1304" customFormat="1" ht="14.25" customHeight="1">
      <c r="A340" s="1312" t="s">
        <v>316</v>
      </c>
      <c r="B340" s="1317" t="s">
        <v>1629</v>
      </c>
      <c r="C340" s="1317">
        <v>980</v>
      </c>
      <c r="D340" s="1317">
        <v>950</v>
      </c>
      <c r="E340" s="1317">
        <v>920</v>
      </c>
      <c r="F340" s="1334"/>
      <c r="H340" s="1306"/>
    </row>
    <row r="341" spans="1:8" s="1304" customFormat="1" ht="14.25" customHeight="1">
      <c r="A341" s="1312" t="s">
        <v>316</v>
      </c>
      <c r="B341" s="1317" t="s">
        <v>1641</v>
      </c>
      <c r="C341" s="1317">
        <v>760</v>
      </c>
      <c r="D341" s="1317">
        <v>720</v>
      </c>
      <c r="E341" s="1317">
        <v>690</v>
      </c>
      <c r="F341" s="1325">
        <v>350</v>
      </c>
      <c r="H341" s="1306"/>
    </row>
    <row r="342" spans="1:8" s="1304" customFormat="1" ht="14.25" customHeight="1">
      <c r="A342" s="1312" t="s">
        <v>316</v>
      </c>
      <c r="B342" s="1317" t="s">
        <v>1653</v>
      </c>
      <c r="C342" s="1317">
        <v>910</v>
      </c>
      <c r="D342" s="1317">
        <v>870</v>
      </c>
      <c r="E342" s="1317">
        <v>850</v>
      </c>
      <c r="F342" s="1325">
        <v>370</v>
      </c>
      <c r="H342" s="1306"/>
    </row>
    <row r="343" spans="1:8" s="1304" customFormat="1" ht="14.25" customHeight="1">
      <c r="A343" s="1312" t="s">
        <v>316</v>
      </c>
      <c r="B343" s="1317" t="s">
        <v>1664</v>
      </c>
      <c r="C343" s="1317">
        <v>800</v>
      </c>
      <c r="D343" s="1317">
        <v>760</v>
      </c>
      <c r="E343" s="1317">
        <v>730</v>
      </c>
      <c r="F343" s="1325">
        <v>340</v>
      </c>
      <c r="H343" s="1306"/>
    </row>
    <row r="344" spans="1:8" s="1304" customFormat="1" ht="14.25" customHeight="1">
      <c r="A344" s="1312" t="s">
        <v>316</v>
      </c>
      <c r="B344" s="1323" t="s">
        <v>1675</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1934</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1935</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1936</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1937</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26" t="s">
        <v>1938</v>
      </c>
      <c r="B1" s="3426"/>
    </row>
    <row r="2" spans="1:6">
      <c r="A2" s="1263"/>
      <c r="B2" s="1263"/>
    </row>
    <row r="3" spans="1:6">
      <c r="A3" s="1263"/>
      <c r="B3" s="1263"/>
      <c r="C3" s="1264" t="s">
        <v>373</v>
      </c>
      <c r="D3" s="1264" t="s">
        <v>374</v>
      </c>
      <c r="E3" s="1264" t="s">
        <v>372</v>
      </c>
      <c r="F3" s="1264" t="s">
        <v>164</v>
      </c>
    </row>
    <row r="4" spans="1:6">
      <c r="A4" s="1265" t="s">
        <v>1604</v>
      </c>
      <c r="B4" s="1266" t="s">
        <v>421</v>
      </c>
      <c r="C4" s="1264"/>
      <c r="D4" s="1264"/>
      <c r="E4" s="1264"/>
      <c r="F4" s="1264"/>
    </row>
    <row r="5" spans="1:6">
      <c r="A5" s="1267" t="s">
        <v>242</v>
      </c>
      <c r="B5" s="1268" t="s">
        <v>1592</v>
      </c>
      <c r="C5" s="1269">
        <v>8.8999999999999996E-2</v>
      </c>
      <c r="D5" s="1269">
        <v>7.3999999999999996E-2</v>
      </c>
      <c r="E5" s="1269">
        <v>7.4999999999999997E-2</v>
      </c>
      <c r="F5" s="1270">
        <v>0.1</v>
      </c>
    </row>
    <row r="6" spans="1:6">
      <c r="A6" s="1267" t="s">
        <v>242</v>
      </c>
      <c r="B6" s="1271" t="s">
        <v>1605</v>
      </c>
      <c r="C6" s="1272">
        <v>0.1</v>
      </c>
      <c r="D6" s="1272">
        <v>9.0999999999999998E-2</v>
      </c>
      <c r="E6" s="1272">
        <v>9.0999999999999998E-2</v>
      </c>
      <c r="F6" s="1273">
        <v>0.1</v>
      </c>
    </row>
    <row r="7" spans="1:6">
      <c r="A7" s="1267" t="s">
        <v>242</v>
      </c>
      <c r="B7" s="1274" t="s">
        <v>1618</v>
      </c>
      <c r="C7" s="1272">
        <v>8.5999999999999993E-2</v>
      </c>
      <c r="D7" s="1272">
        <v>9.6000000000000002E-2</v>
      </c>
      <c r="E7" s="1272">
        <v>7.5999999999999998E-2</v>
      </c>
      <c r="F7" s="1273">
        <v>0.1</v>
      </c>
    </row>
    <row r="8" spans="1:6">
      <c r="A8" s="1267" t="s">
        <v>242</v>
      </c>
      <c r="B8" s="1271" t="s">
        <v>1630</v>
      </c>
      <c r="C8" s="1272">
        <v>9.9000000000000005E-2</v>
      </c>
      <c r="D8" s="1272">
        <v>9.8000000000000004E-2</v>
      </c>
      <c r="E8" s="1272">
        <v>9.8000000000000004E-2</v>
      </c>
      <c r="F8" s="1273">
        <v>0.1</v>
      </c>
    </row>
    <row r="9" spans="1:6">
      <c r="A9" s="1275" t="s">
        <v>242</v>
      </c>
      <c r="B9" s="1276" t="s">
        <v>1642</v>
      </c>
      <c r="C9" s="1277">
        <v>0.05</v>
      </c>
      <c r="D9" s="1278"/>
      <c r="E9" s="1278"/>
      <c r="F9" s="1279"/>
    </row>
    <row r="10" spans="1:6">
      <c r="A10" s="1267" t="s">
        <v>255</v>
      </c>
      <c r="B10" s="1268" t="s">
        <v>1593</v>
      </c>
      <c r="C10" s="1269">
        <v>8.8999999999999996E-2</v>
      </c>
      <c r="D10" s="1269">
        <v>7.2999999999999995E-2</v>
      </c>
      <c r="E10" s="1269">
        <v>8.2000000000000003E-2</v>
      </c>
      <c r="F10" s="1270">
        <v>0.1</v>
      </c>
    </row>
    <row r="11" spans="1:6">
      <c r="A11" s="1267" t="s">
        <v>255</v>
      </c>
      <c r="B11" s="1274" t="s">
        <v>1606</v>
      </c>
      <c r="C11" s="1272">
        <v>8.8999999999999996E-2</v>
      </c>
      <c r="D11" s="1272">
        <v>7.2999999999999995E-2</v>
      </c>
      <c r="E11" s="1272">
        <v>8.2000000000000003E-2</v>
      </c>
      <c r="F11" s="1273">
        <v>0.1</v>
      </c>
    </row>
    <row r="12" spans="1:6">
      <c r="A12" s="1267" t="s">
        <v>255</v>
      </c>
      <c r="B12" s="1274" t="s">
        <v>1619</v>
      </c>
      <c r="C12" s="1272">
        <v>6.0999999999999999E-2</v>
      </c>
      <c r="D12" s="1272">
        <v>7.0999999999999994E-2</v>
      </c>
      <c r="E12" s="1272">
        <v>9.6000000000000002E-2</v>
      </c>
      <c r="F12" s="1273">
        <v>0.1</v>
      </c>
    </row>
    <row r="13" spans="1:6">
      <c r="A13" s="1267" t="s">
        <v>255</v>
      </c>
      <c r="B13" s="1274" t="s">
        <v>1631</v>
      </c>
      <c r="C13" s="1272">
        <v>6.9000000000000006E-2</v>
      </c>
      <c r="D13" s="1272">
        <v>6.5000000000000002E-2</v>
      </c>
      <c r="E13" s="1272">
        <v>6.6000000000000003E-2</v>
      </c>
      <c r="F13" s="1273">
        <v>0.1</v>
      </c>
    </row>
    <row r="14" spans="1:6">
      <c r="A14" s="1267" t="s">
        <v>255</v>
      </c>
      <c r="B14" s="1274" t="s">
        <v>1643</v>
      </c>
      <c r="C14" s="1272">
        <v>0.1</v>
      </c>
      <c r="D14" s="1272">
        <v>6.5000000000000002E-2</v>
      </c>
      <c r="E14" s="1272">
        <v>7.0000000000000007E-2</v>
      </c>
      <c r="F14" s="1273">
        <v>0.1</v>
      </c>
    </row>
    <row r="15" spans="1:6">
      <c r="A15" s="1267" t="s">
        <v>255</v>
      </c>
      <c r="B15" s="1274" t="s">
        <v>1654</v>
      </c>
      <c r="C15" s="1272">
        <v>9.8000000000000004E-2</v>
      </c>
      <c r="D15" s="1272">
        <v>8.8999999999999996E-2</v>
      </c>
      <c r="E15" s="1272">
        <v>8.8999999999999996E-2</v>
      </c>
      <c r="F15" s="1273">
        <v>0.1</v>
      </c>
    </row>
    <row r="16" spans="1:6">
      <c r="A16" s="1267" t="s">
        <v>255</v>
      </c>
      <c r="B16" s="1274" t="s">
        <v>1665</v>
      </c>
      <c r="C16" s="1272">
        <v>7.0000000000000007E-2</v>
      </c>
      <c r="D16" s="1272">
        <v>9.2999999999999999E-2</v>
      </c>
      <c r="E16" s="1272">
        <v>9.6000000000000002E-2</v>
      </c>
      <c r="F16" s="1273">
        <v>0.1</v>
      </c>
    </row>
    <row r="17" spans="1:6">
      <c r="A17" s="1267" t="s">
        <v>255</v>
      </c>
      <c r="B17" s="1274" t="s">
        <v>1676</v>
      </c>
      <c r="C17" s="1272">
        <v>9.5000000000000001E-2</v>
      </c>
      <c r="D17" s="1272">
        <v>0.1</v>
      </c>
      <c r="E17" s="1272">
        <v>0.1</v>
      </c>
      <c r="F17" s="1280"/>
    </row>
    <row r="18" spans="1:6">
      <c r="A18" s="1267" t="s">
        <v>255</v>
      </c>
      <c r="B18" s="1274" t="s">
        <v>1686</v>
      </c>
      <c r="C18" s="1272">
        <v>7.3999999999999996E-2</v>
      </c>
      <c r="D18" s="1272">
        <v>9.9000000000000005E-2</v>
      </c>
      <c r="E18" s="1272">
        <v>0.1</v>
      </c>
      <c r="F18" s="1280"/>
    </row>
    <row r="19" spans="1:6">
      <c r="A19" s="1267" t="s">
        <v>255</v>
      </c>
      <c r="B19" s="1274" t="s">
        <v>1696</v>
      </c>
      <c r="C19" s="1272">
        <v>9.9000000000000005E-2</v>
      </c>
      <c r="D19" s="1272">
        <v>7.5999999999999998E-2</v>
      </c>
      <c r="E19" s="1272">
        <v>8.6999999999999994E-2</v>
      </c>
      <c r="F19" s="1280"/>
    </row>
    <row r="20" spans="1:6">
      <c r="A20" s="1267" t="s">
        <v>255</v>
      </c>
      <c r="B20" s="1274" t="s">
        <v>1706</v>
      </c>
      <c r="C20" s="1272">
        <v>9.8000000000000004E-2</v>
      </c>
      <c r="D20" s="1272">
        <v>8.5000000000000006E-2</v>
      </c>
      <c r="E20" s="1272">
        <v>8.2000000000000003E-2</v>
      </c>
      <c r="F20" s="1280"/>
    </row>
    <row r="21" spans="1:6">
      <c r="A21" s="1267" t="s">
        <v>255</v>
      </c>
      <c r="B21" s="1274" t="s">
        <v>1716</v>
      </c>
      <c r="C21" s="1272">
        <v>6.6000000000000003E-2</v>
      </c>
      <c r="D21" s="1272">
        <v>6.4000000000000001E-2</v>
      </c>
      <c r="E21" s="1272">
        <v>6.5000000000000002E-2</v>
      </c>
      <c r="F21" s="1280"/>
    </row>
    <row r="22" spans="1:6">
      <c r="A22" s="1267" t="s">
        <v>255</v>
      </c>
      <c r="B22" s="1274" t="s">
        <v>1726</v>
      </c>
      <c r="C22" s="1272">
        <v>0.08</v>
      </c>
      <c r="D22" s="1272">
        <v>9.8000000000000004E-2</v>
      </c>
      <c r="E22" s="1272">
        <v>9.8000000000000004E-2</v>
      </c>
      <c r="F22" s="1280"/>
    </row>
    <row r="23" spans="1:6">
      <c r="A23" s="1267" t="s">
        <v>255</v>
      </c>
      <c r="B23" s="1274" t="s">
        <v>1736</v>
      </c>
      <c r="C23" s="1272">
        <v>9.9000000000000005E-2</v>
      </c>
      <c r="D23" s="1272">
        <v>9.8000000000000004E-2</v>
      </c>
      <c r="E23" s="1272">
        <v>9.0999999999999998E-2</v>
      </c>
      <c r="F23" s="1280"/>
    </row>
    <row r="24" spans="1:6">
      <c r="A24" s="1267" t="s">
        <v>255</v>
      </c>
      <c r="B24" s="1274" t="s">
        <v>1746</v>
      </c>
      <c r="C24" s="1272">
        <v>8.8999999999999996E-2</v>
      </c>
      <c r="D24" s="1272">
        <v>9.7000000000000003E-2</v>
      </c>
      <c r="E24" s="1272">
        <v>7.0000000000000007E-2</v>
      </c>
      <c r="F24" s="1280"/>
    </row>
    <row r="25" spans="1:6">
      <c r="A25" s="1267" t="s">
        <v>255</v>
      </c>
      <c r="B25" s="1274" t="s">
        <v>1756</v>
      </c>
      <c r="C25" s="1272">
        <v>8.8999999999999996E-2</v>
      </c>
      <c r="D25" s="1272">
        <v>0.1</v>
      </c>
      <c r="E25" s="1272">
        <v>8.1000000000000003E-2</v>
      </c>
      <c r="F25" s="1280"/>
    </row>
    <row r="26" spans="1:6">
      <c r="A26" s="1267" t="s">
        <v>255</v>
      </c>
      <c r="B26" s="1274" t="s">
        <v>1766</v>
      </c>
      <c r="C26" s="1281"/>
      <c r="D26" s="1272">
        <v>9.6000000000000002E-2</v>
      </c>
      <c r="E26" s="1272">
        <v>9.2999999999999999E-2</v>
      </c>
      <c r="F26" s="1280"/>
    </row>
    <row r="27" spans="1:6">
      <c r="A27" s="1267" t="s">
        <v>255</v>
      </c>
      <c r="B27" s="1274" t="s">
        <v>1776</v>
      </c>
      <c r="C27" s="1281"/>
      <c r="D27" s="1272">
        <v>7.5999999999999998E-2</v>
      </c>
      <c r="E27" s="1272">
        <v>9.1999999999999998E-2</v>
      </c>
      <c r="F27" s="1280"/>
    </row>
    <row r="28" spans="1:6">
      <c r="A28" s="1275" t="s">
        <v>255</v>
      </c>
      <c r="B28" s="1276" t="s">
        <v>1786</v>
      </c>
      <c r="C28" s="1278"/>
      <c r="D28" s="1277">
        <v>7.5999999999999998E-2</v>
      </c>
      <c r="E28" s="1277">
        <v>9.1999999999999998E-2</v>
      </c>
      <c r="F28" s="1279"/>
    </row>
    <row r="29" spans="1:6">
      <c r="A29" s="1267" t="s">
        <v>267</v>
      </c>
      <c r="B29" s="1268" t="s">
        <v>1594</v>
      </c>
      <c r="C29" s="1269">
        <v>6.4000000000000001E-2</v>
      </c>
      <c r="D29" s="1269">
        <v>6.5000000000000002E-2</v>
      </c>
      <c r="E29" s="1269">
        <v>6.9000000000000006E-2</v>
      </c>
      <c r="F29" s="1270">
        <v>0.1</v>
      </c>
    </row>
    <row r="30" spans="1:6">
      <c r="A30" s="1267" t="s">
        <v>267</v>
      </c>
      <c r="B30" s="1274" t="s">
        <v>1607</v>
      </c>
      <c r="C30" s="1272">
        <v>6.4000000000000001E-2</v>
      </c>
      <c r="D30" s="1272">
        <v>9.9000000000000005E-2</v>
      </c>
      <c r="E30" s="1272">
        <v>0.1</v>
      </c>
      <c r="F30" s="1273">
        <v>0.1</v>
      </c>
    </row>
    <row r="31" spans="1:6">
      <c r="A31" s="1267" t="s">
        <v>267</v>
      </c>
      <c r="B31" s="1274" t="s">
        <v>1620</v>
      </c>
      <c r="C31" s="1272">
        <v>0.1</v>
      </c>
      <c r="D31" s="1272">
        <v>9.5000000000000001E-2</v>
      </c>
      <c r="E31" s="1272">
        <v>8.8999999999999996E-2</v>
      </c>
      <c r="F31" s="1273">
        <v>0.1</v>
      </c>
    </row>
    <row r="32" spans="1:6">
      <c r="A32" s="1267" t="s">
        <v>267</v>
      </c>
      <c r="B32" s="1274" t="s">
        <v>1632</v>
      </c>
      <c r="C32" s="1272">
        <v>0.05</v>
      </c>
      <c r="D32" s="1272">
        <v>0.05</v>
      </c>
      <c r="E32" s="1272">
        <v>8.7999999999999995E-2</v>
      </c>
      <c r="F32" s="1273">
        <v>0.1</v>
      </c>
    </row>
    <row r="33" spans="1:6">
      <c r="A33" s="1267" t="s">
        <v>267</v>
      </c>
      <c r="B33" s="1274" t="s">
        <v>1644</v>
      </c>
      <c r="C33" s="1272">
        <v>7.4999999999999997E-2</v>
      </c>
      <c r="D33" s="1272">
        <v>9.4E-2</v>
      </c>
      <c r="E33" s="1272">
        <v>9.7000000000000003E-2</v>
      </c>
      <c r="F33" s="1273">
        <v>0.1</v>
      </c>
    </row>
    <row r="34" spans="1:6">
      <c r="A34" s="1267" t="s">
        <v>267</v>
      </c>
      <c r="B34" s="1274" t="s">
        <v>1655</v>
      </c>
      <c r="C34" s="1272">
        <v>9.8000000000000004E-2</v>
      </c>
      <c r="D34" s="1272">
        <v>8.5999999999999993E-2</v>
      </c>
      <c r="E34" s="1272">
        <v>9.7000000000000003E-2</v>
      </c>
      <c r="F34" s="1273">
        <v>0.1</v>
      </c>
    </row>
    <row r="35" spans="1:6">
      <c r="A35" s="1267" t="s">
        <v>267</v>
      </c>
      <c r="B35" s="1274" t="s">
        <v>1666</v>
      </c>
      <c r="C35" s="1272">
        <v>5.8999999999999997E-2</v>
      </c>
      <c r="D35" s="1272">
        <v>6.5000000000000002E-2</v>
      </c>
      <c r="E35" s="1272">
        <v>7.0000000000000007E-2</v>
      </c>
      <c r="F35" s="1273">
        <v>0.1</v>
      </c>
    </row>
    <row r="36" spans="1:6">
      <c r="A36" s="1267" t="s">
        <v>267</v>
      </c>
      <c r="B36" s="1274" t="s">
        <v>1677</v>
      </c>
      <c r="C36" s="1272">
        <v>6.3E-2</v>
      </c>
      <c r="D36" s="1272">
        <v>0.1</v>
      </c>
      <c r="E36" s="1272">
        <v>0.1</v>
      </c>
      <c r="F36" s="1273">
        <v>0.1</v>
      </c>
    </row>
    <row r="37" spans="1:6">
      <c r="A37" s="1267" t="s">
        <v>267</v>
      </c>
      <c r="B37" s="1274" t="s">
        <v>1687</v>
      </c>
      <c r="C37" s="1272">
        <v>7.3999999999999996E-2</v>
      </c>
      <c r="D37" s="1272">
        <v>0.1</v>
      </c>
      <c r="E37" s="1272">
        <v>0.1</v>
      </c>
      <c r="F37" s="1273">
        <v>0.1</v>
      </c>
    </row>
    <row r="38" spans="1:6">
      <c r="A38" s="1267" t="s">
        <v>267</v>
      </c>
      <c r="B38" s="1274" t="s">
        <v>1697</v>
      </c>
      <c r="C38" s="1272">
        <v>0.1</v>
      </c>
      <c r="D38" s="1272">
        <v>9.6000000000000002E-2</v>
      </c>
      <c r="E38" s="1272">
        <v>9.6000000000000002E-2</v>
      </c>
      <c r="F38" s="1280"/>
    </row>
    <row r="39" spans="1:6">
      <c r="A39" s="1267" t="s">
        <v>267</v>
      </c>
      <c r="B39" s="1274" t="s">
        <v>1707</v>
      </c>
      <c r="C39" s="1272">
        <v>0.1</v>
      </c>
      <c r="D39" s="1272">
        <v>9.6000000000000002E-2</v>
      </c>
      <c r="E39" s="1272">
        <v>9.6000000000000002E-2</v>
      </c>
      <c r="F39" s="1280"/>
    </row>
    <row r="40" spans="1:6">
      <c r="A40" s="1267" t="s">
        <v>267</v>
      </c>
      <c r="B40" s="1274" t="s">
        <v>1717</v>
      </c>
      <c r="C40" s="1272">
        <v>9.6000000000000002E-2</v>
      </c>
      <c r="D40" s="1272">
        <v>0.1</v>
      </c>
      <c r="E40" s="1272">
        <v>9.9000000000000005E-2</v>
      </c>
      <c r="F40" s="1280"/>
    </row>
    <row r="41" spans="1:6">
      <c r="A41" s="1267" t="s">
        <v>267</v>
      </c>
      <c r="B41" s="1274" t="s">
        <v>1727</v>
      </c>
      <c r="C41" s="1272">
        <v>9.6000000000000002E-2</v>
      </c>
      <c r="D41" s="1272">
        <v>9.8000000000000004E-2</v>
      </c>
      <c r="E41" s="1272">
        <v>9.8000000000000004E-2</v>
      </c>
      <c r="F41" s="1280"/>
    </row>
    <row r="42" spans="1:6">
      <c r="A42" s="1267" t="s">
        <v>267</v>
      </c>
      <c r="B42" s="1274" t="s">
        <v>1737</v>
      </c>
      <c r="C42" s="1272">
        <v>0.1</v>
      </c>
      <c r="D42" s="1272">
        <v>8.7999999999999995E-2</v>
      </c>
      <c r="E42" s="1272">
        <v>0.1</v>
      </c>
      <c r="F42" s="1280"/>
    </row>
    <row r="43" spans="1:6">
      <c r="A43" s="1267" t="s">
        <v>267</v>
      </c>
      <c r="B43" s="1274" t="s">
        <v>1747</v>
      </c>
      <c r="C43" s="1272">
        <v>9.8000000000000004E-2</v>
      </c>
      <c r="D43" s="1272">
        <v>9.7000000000000003E-2</v>
      </c>
      <c r="E43" s="1272">
        <v>9.6000000000000002E-2</v>
      </c>
      <c r="F43" s="1280"/>
    </row>
    <row r="44" spans="1:6">
      <c r="A44" s="1267" t="s">
        <v>267</v>
      </c>
      <c r="B44" s="1274" t="s">
        <v>1757</v>
      </c>
      <c r="C44" s="1272">
        <v>8.5999999999999993E-2</v>
      </c>
      <c r="D44" s="1272">
        <v>7.9000000000000001E-2</v>
      </c>
      <c r="E44" s="1272">
        <v>7.0999999999999994E-2</v>
      </c>
      <c r="F44" s="1280"/>
    </row>
    <row r="45" spans="1:6">
      <c r="A45" s="1267" t="s">
        <v>267</v>
      </c>
      <c r="B45" s="1274" t="s">
        <v>1767</v>
      </c>
      <c r="C45" s="1272">
        <v>9.8000000000000004E-2</v>
      </c>
      <c r="D45" s="1272">
        <v>9.6000000000000002E-2</v>
      </c>
      <c r="E45" s="1272">
        <v>9.6000000000000002E-2</v>
      </c>
      <c r="F45" s="1280"/>
    </row>
    <row r="46" spans="1:6">
      <c r="A46" s="1267" t="s">
        <v>267</v>
      </c>
      <c r="B46" s="1274" t="s">
        <v>1777</v>
      </c>
      <c r="C46" s="1272">
        <v>8.5999999999999993E-2</v>
      </c>
      <c r="D46" s="1272">
        <v>9.8000000000000004E-2</v>
      </c>
      <c r="E46" s="1272">
        <v>8.7999999999999995E-2</v>
      </c>
      <c r="F46" s="1280"/>
    </row>
    <row r="47" spans="1:6">
      <c r="A47" s="1267" t="s">
        <v>267</v>
      </c>
      <c r="B47" s="1274" t="s">
        <v>1787</v>
      </c>
      <c r="C47" s="1272">
        <v>9.6000000000000002E-2</v>
      </c>
      <c r="D47" s="1281"/>
      <c r="E47" s="1272">
        <v>6.9000000000000006E-2</v>
      </c>
      <c r="F47" s="1280"/>
    </row>
    <row r="48" spans="1:6">
      <c r="A48" s="1275" t="s">
        <v>267</v>
      </c>
      <c r="B48" s="1276" t="s">
        <v>1796</v>
      </c>
      <c r="C48" s="1277">
        <v>9.8000000000000004E-2</v>
      </c>
      <c r="D48" s="1278"/>
      <c r="E48" s="1277">
        <v>9.5000000000000001E-2</v>
      </c>
      <c r="F48" s="1279"/>
    </row>
    <row r="49" spans="1:6">
      <c r="A49" s="1267" t="s">
        <v>277</v>
      </c>
      <c r="B49" s="1268" t="s">
        <v>1595</v>
      </c>
      <c r="C49" s="1269">
        <v>9.7000000000000003E-2</v>
      </c>
      <c r="D49" s="1269">
        <v>9.5000000000000001E-2</v>
      </c>
      <c r="E49" s="1269">
        <v>9.7000000000000003E-2</v>
      </c>
      <c r="F49" s="1270">
        <v>0.1</v>
      </c>
    </row>
    <row r="50" spans="1:6">
      <c r="A50" s="1267" t="s">
        <v>277</v>
      </c>
      <c r="B50" s="1271" t="s">
        <v>1608</v>
      </c>
      <c r="C50" s="1272">
        <v>7.4999999999999997E-2</v>
      </c>
      <c r="D50" s="1272">
        <v>9.5000000000000001E-2</v>
      </c>
      <c r="E50" s="1272">
        <v>0.1</v>
      </c>
      <c r="F50" s="1273">
        <v>0.1</v>
      </c>
    </row>
    <row r="51" spans="1:6">
      <c r="A51" s="1267" t="s">
        <v>277</v>
      </c>
      <c r="B51" s="1271" t="s">
        <v>1621</v>
      </c>
      <c r="C51" s="1272">
        <v>9.8000000000000004E-2</v>
      </c>
      <c r="D51" s="1272">
        <v>8.8999999999999996E-2</v>
      </c>
      <c r="E51" s="1272">
        <v>0.1</v>
      </c>
      <c r="F51" s="1273">
        <v>0.1</v>
      </c>
    </row>
    <row r="52" spans="1:6">
      <c r="A52" s="1267" t="s">
        <v>277</v>
      </c>
      <c r="B52" s="1271" t="s">
        <v>1633</v>
      </c>
      <c r="C52" s="1272">
        <v>9.8000000000000004E-2</v>
      </c>
      <c r="D52" s="1272">
        <v>9.7000000000000003E-2</v>
      </c>
      <c r="E52" s="1272">
        <v>8.1000000000000003E-2</v>
      </c>
      <c r="F52" s="1273">
        <v>0.1</v>
      </c>
    </row>
    <row r="53" spans="1:6">
      <c r="A53" s="1267" t="s">
        <v>277</v>
      </c>
      <c r="B53" s="1271" t="s">
        <v>1645</v>
      </c>
      <c r="C53" s="1272">
        <v>9.7000000000000003E-2</v>
      </c>
      <c r="D53" s="1272">
        <v>7.5999999999999998E-2</v>
      </c>
      <c r="E53" s="1272">
        <v>7.0999999999999994E-2</v>
      </c>
      <c r="F53" s="1273">
        <v>0.1</v>
      </c>
    </row>
    <row r="54" spans="1:6">
      <c r="A54" s="1267" t="s">
        <v>277</v>
      </c>
      <c r="B54" s="1271" t="s">
        <v>1656</v>
      </c>
      <c r="C54" s="1272">
        <v>7.5999999999999998E-2</v>
      </c>
      <c r="D54" s="1272">
        <v>0.1</v>
      </c>
      <c r="E54" s="1272">
        <v>9.9000000000000005E-2</v>
      </c>
      <c r="F54" s="1273">
        <v>0.1</v>
      </c>
    </row>
    <row r="55" spans="1:6">
      <c r="A55" s="1267" t="s">
        <v>277</v>
      </c>
      <c r="B55" s="1271" t="s">
        <v>1667</v>
      </c>
      <c r="C55" s="1272">
        <v>0.1</v>
      </c>
      <c r="D55" s="1272">
        <v>0.1</v>
      </c>
      <c r="E55" s="1272">
        <v>9.6000000000000002E-2</v>
      </c>
      <c r="F55" s="1273">
        <v>0.1</v>
      </c>
    </row>
    <row r="56" spans="1:6">
      <c r="A56" s="1267" t="s">
        <v>277</v>
      </c>
      <c r="B56" s="1271" t="s">
        <v>1678</v>
      </c>
      <c r="C56" s="1272">
        <v>0.1</v>
      </c>
      <c r="D56" s="1272">
        <v>9.6000000000000002E-2</v>
      </c>
      <c r="E56" s="1272">
        <v>5.1999999999999998E-2</v>
      </c>
      <c r="F56" s="1273">
        <v>0.1</v>
      </c>
    </row>
    <row r="57" spans="1:6">
      <c r="A57" s="1267" t="s">
        <v>277</v>
      </c>
      <c r="B57" s="1271" t="s">
        <v>1688</v>
      </c>
      <c r="C57" s="1272">
        <v>9.7000000000000003E-2</v>
      </c>
      <c r="D57" s="1272">
        <v>9.6000000000000002E-2</v>
      </c>
      <c r="E57" s="1272">
        <v>9.6000000000000002E-2</v>
      </c>
      <c r="F57" s="1273">
        <v>0.1</v>
      </c>
    </row>
    <row r="58" spans="1:6">
      <c r="A58" s="1267" t="s">
        <v>277</v>
      </c>
      <c r="B58" s="1271" t="s">
        <v>1698</v>
      </c>
      <c r="C58" s="1272">
        <v>9.6000000000000002E-2</v>
      </c>
      <c r="D58" s="1272">
        <v>9.9000000000000005E-2</v>
      </c>
      <c r="E58" s="1272">
        <v>9.6000000000000002E-2</v>
      </c>
      <c r="F58" s="1273">
        <v>0.1</v>
      </c>
    </row>
    <row r="59" spans="1:6">
      <c r="A59" s="1267" t="s">
        <v>277</v>
      </c>
      <c r="B59" s="1271" t="s">
        <v>1708</v>
      </c>
      <c r="C59" s="1272">
        <v>7.1999999999999995E-2</v>
      </c>
      <c r="D59" s="1272">
        <v>9.6000000000000002E-2</v>
      </c>
      <c r="E59" s="1272">
        <v>7.0999999999999994E-2</v>
      </c>
      <c r="F59" s="1273">
        <v>0.1</v>
      </c>
    </row>
    <row r="60" spans="1:6">
      <c r="A60" s="1267" t="s">
        <v>277</v>
      </c>
      <c r="B60" s="1271" t="s">
        <v>1718</v>
      </c>
      <c r="C60" s="1272">
        <v>9.6000000000000002E-2</v>
      </c>
      <c r="D60" s="1272">
        <v>8.8999999999999996E-2</v>
      </c>
      <c r="E60" s="1272">
        <v>9.6000000000000002E-2</v>
      </c>
      <c r="F60" s="1273">
        <v>0.1</v>
      </c>
    </row>
    <row r="61" spans="1:6">
      <c r="A61" s="1267" t="s">
        <v>277</v>
      </c>
      <c r="B61" s="1271" t="s">
        <v>1728</v>
      </c>
      <c r="C61" s="1272">
        <v>8.8999999999999996E-2</v>
      </c>
      <c r="D61" s="1272">
        <v>9.8000000000000004E-2</v>
      </c>
      <c r="E61" s="1272">
        <v>8.7999999999999995E-2</v>
      </c>
      <c r="F61" s="1280"/>
    </row>
    <row r="62" spans="1:6">
      <c r="A62" s="1267" t="s">
        <v>277</v>
      </c>
      <c r="B62" s="1271" t="s">
        <v>1738</v>
      </c>
      <c r="C62" s="1272">
        <v>9.8000000000000004E-2</v>
      </c>
      <c r="D62" s="1272">
        <v>9.2999999999999999E-2</v>
      </c>
      <c r="E62" s="1272">
        <v>9.7000000000000003E-2</v>
      </c>
      <c r="F62" s="1280"/>
    </row>
    <row r="63" spans="1:6">
      <c r="A63" s="1267" t="s">
        <v>277</v>
      </c>
      <c r="B63" s="1271" t="s">
        <v>1748</v>
      </c>
      <c r="C63" s="1272">
        <v>9.6000000000000002E-2</v>
      </c>
      <c r="D63" s="1272">
        <v>9.8000000000000004E-2</v>
      </c>
      <c r="E63" s="1272">
        <v>0.09</v>
      </c>
      <c r="F63" s="1280"/>
    </row>
    <row r="64" spans="1:6">
      <c r="A64" s="1267" t="s">
        <v>277</v>
      </c>
      <c r="B64" s="1271" t="s">
        <v>1758</v>
      </c>
      <c r="C64" s="1272">
        <v>9.9000000000000005E-2</v>
      </c>
      <c r="D64" s="1272">
        <v>9.7000000000000003E-2</v>
      </c>
      <c r="E64" s="1272">
        <v>9.9000000000000005E-2</v>
      </c>
      <c r="F64" s="1280"/>
    </row>
    <row r="65" spans="1:6">
      <c r="A65" s="1267" t="s">
        <v>277</v>
      </c>
      <c r="B65" s="1271" t="s">
        <v>1768</v>
      </c>
      <c r="C65" s="1272">
        <v>9.8000000000000004E-2</v>
      </c>
      <c r="D65" s="1272">
        <v>9.6000000000000002E-2</v>
      </c>
      <c r="E65" s="1272">
        <v>9.6000000000000002E-2</v>
      </c>
      <c r="F65" s="1280"/>
    </row>
    <row r="66" spans="1:6">
      <c r="A66" s="1267" t="s">
        <v>277</v>
      </c>
      <c r="B66" s="1271" t="s">
        <v>1778</v>
      </c>
      <c r="C66" s="1272">
        <v>9.6000000000000002E-2</v>
      </c>
      <c r="D66" s="1272">
        <v>9.1999999999999998E-2</v>
      </c>
      <c r="E66" s="1272">
        <v>9.6000000000000002E-2</v>
      </c>
      <c r="F66" s="1280"/>
    </row>
    <row r="67" spans="1:6">
      <c r="A67" s="1267" t="s">
        <v>277</v>
      </c>
      <c r="B67" s="1271" t="s">
        <v>1788</v>
      </c>
      <c r="C67" s="1272">
        <v>9.4E-2</v>
      </c>
      <c r="D67" s="1272">
        <v>0.1</v>
      </c>
      <c r="E67" s="1272">
        <v>8.7999999999999995E-2</v>
      </c>
      <c r="F67" s="1280"/>
    </row>
    <row r="68" spans="1:6">
      <c r="A68" s="1267" t="s">
        <v>277</v>
      </c>
      <c r="B68" s="1271" t="s">
        <v>1797</v>
      </c>
      <c r="C68" s="1272">
        <v>0.1</v>
      </c>
      <c r="D68" s="1272">
        <v>8.7999999999999995E-2</v>
      </c>
      <c r="E68" s="1272">
        <v>9.7000000000000003E-2</v>
      </c>
      <c r="F68" s="1280"/>
    </row>
    <row r="69" spans="1:6">
      <c r="A69" s="1267" t="s">
        <v>277</v>
      </c>
      <c r="B69" s="1271" t="s">
        <v>1805</v>
      </c>
      <c r="C69" s="1272">
        <v>6.4000000000000001E-2</v>
      </c>
      <c r="D69" s="1272">
        <v>0.1</v>
      </c>
      <c r="E69" s="1272">
        <v>0.1</v>
      </c>
      <c r="F69" s="1280"/>
    </row>
    <row r="70" spans="1:6">
      <c r="A70" s="1267" t="s">
        <v>277</v>
      </c>
      <c r="B70" s="1271" t="s">
        <v>1813</v>
      </c>
      <c r="C70" s="1272">
        <v>9.0999999999999998E-2</v>
      </c>
      <c r="D70" s="1281"/>
      <c r="E70" s="1281"/>
      <c r="F70" s="1280"/>
    </row>
    <row r="71" spans="1:6">
      <c r="A71" s="1267" t="s">
        <v>277</v>
      </c>
      <c r="B71" s="1271" t="s">
        <v>1820</v>
      </c>
      <c r="C71" s="1272">
        <v>0.1</v>
      </c>
      <c r="D71" s="1281"/>
      <c r="E71" s="1281"/>
      <c r="F71" s="1280"/>
    </row>
    <row r="72" spans="1:6">
      <c r="A72" s="1267" t="s">
        <v>277</v>
      </c>
      <c r="B72" s="1271" t="s">
        <v>1827</v>
      </c>
      <c r="C72" s="1281"/>
      <c r="D72" s="1281"/>
      <c r="E72" s="1281"/>
      <c r="F72" s="1273">
        <v>0.05</v>
      </c>
    </row>
    <row r="73" spans="1:6">
      <c r="A73" s="1267" t="s">
        <v>277</v>
      </c>
      <c r="B73" s="1271" t="s">
        <v>1834</v>
      </c>
      <c r="C73" s="1281"/>
      <c r="D73" s="1281"/>
      <c r="E73" s="1281"/>
      <c r="F73" s="1273">
        <v>0.05</v>
      </c>
    </row>
    <row r="74" spans="1:6">
      <c r="A74" s="1267" t="s">
        <v>277</v>
      </c>
      <c r="B74" s="1271" t="s">
        <v>1841</v>
      </c>
      <c r="C74" s="1281"/>
      <c r="D74" s="1281"/>
      <c r="E74" s="1281"/>
      <c r="F74" s="1273">
        <v>0.05</v>
      </c>
    </row>
    <row r="75" spans="1:6">
      <c r="A75" s="1275" t="s">
        <v>277</v>
      </c>
      <c r="B75" s="1282" t="s">
        <v>1848</v>
      </c>
      <c r="C75" s="1278"/>
      <c r="D75" s="1278"/>
      <c r="E75" s="1278"/>
      <c r="F75" s="1283">
        <v>0.05</v>
      </c>
    </row>
    <row r="76" spans="1:6">
      <c r="A76" s="1267" t="s">
        <v>286</v>
      </c>
      <c r="B76" s="1268" t="s">
        <v>1596</v>
      </c>
      <c r="C76" s="1269">
        <v>0.1</v>
      </c>
      <c r="D76" s="1269">
        <v>0.1</v>
      </c>
      <c r="E76" s="1269">
        <v>0.1</v>
      </c>
      <c r="F76" s="1270">
        <v>0.1</v>
      </c>
    </row>
    <row r="77" spans="1:6">
      <c r="A77" s="1267" t="s">
        <v>286</v>
      </c>
      <c r="B77" s="1271" t="s">
        <v>1609</v>
      </c>
      <c r="C77" s="1272">
        <v>8.7999999999999995E-2</v>
      </c>
      <c r="D77" s="1272">
        <v>8.6999999999999994E-2</v>
      </c>
      <c r="E77" s="1272">
        <v>7.9000000000000001E-2</v>
      </c>
      <c r="F77" s="1273">
        <v>0.1</v>
      </c>
    </row>
    <row r="78" spans="1:6">
      <c r="A78" s="1267" t="s">
        <v>286</v>
      </c>
      <c r="B78" s="1271" t="s">
        <v>1622</v>
      </c>
      <c r="C78" s="1272">
        <v>8.6999999999999994E-2</v>
      </c>
      <c r="D78" s="1272">
        <v>8.4000000000000005E-2</v>
      </c>
      <c r="E78" s="1272">
        <v>9.6000000000000002E-2</v>
      </c>
      <c r="F78" s="1273">
        <v>0.1</v>
      </c>
    </row>
    <row r="79" spans="1:6">
      <c r="A79" s="1267" t="s">
        <v>286</v>
      </c>
      <c r="B79" s="1271" t="s">
        <v>1634</v>
      </c>
      <c r="C79" s="1272">
        <v>9.8000000000000004E-2</v>
      </c>
      <c r="D79" s="1272">
        <v>9.8000000000000004E-2</v>
      </c>
      <c r="E79" s="1272">
        <v>9.0999999999999998E-2</v>
      </c>
      <c r="F79" s="1273">
        <v>0.1</v>
      </c>
    </row>
    <row r="80" spans="1:6">
      <c r="A80" s="1267" t="s">
        <v>286</v>
      </c>
      <c r="B80" s="1271" t="s">
        <v>1646</v>
      </c>
      <c r="C80" s="1272">
        <v>9.6000000000000002E-2</v>
      </c>
      <c r="D80" s="1272">
        <v>9.6000000000000002E-2</v>
      </c>
      <c r="E80" s="1272">
        <v>0.1</v>
      </c>
      <c r="F80" s="1273">
        <v>0.1</v>
      </c>
    </row>
    <row r="81" spans="1:6">
      <c r="A81" s="1267" t="s">
        <v>286</v>
      </c>
      <c r="B81" s="1271" t="s">
        <v>1657</v>
      </c>
      <c r="C81" s="1272">
        <v>9.9000000000000005E-2</v>
      </c>
      <c r="D81" s="1272">
        <v>9.9000000000000005E-2</v>
      </c>
      <c r="E81" s="1272">
        <v>9.8000000000000004E-2</v>
      </c>
      <c r="F81" s="1273">
        <v>0.1</v>
      </c>
    </row>
    <row r="82" spans="1:6">
      <c r="A82" s="1267" t="s">
        <v>286</v>
      </c>
      <c r="B82" s="1271" t="s">
        <v>1668</v>
      </c>
      <c r="C82" s="1272">
        <v>9.9000000000000005E-2</v>
      </c>
      <c r="D82" s="1272">
        <v>9.9000000000000005E-2</v>
      </c>
      <c r="E82" s="1272">
        <v>9.7000000000000003E-2</v>
      </c>
      <c r="F82" s="1273">
        <v>0.1</v>
      </c>
    </row>
    <row r="83" spans="1:6">
      <c r="A83" s="1267" t="s">
        <v>286</v>
      </c>
      <c r="B83" s="1271" t="s">
        <v>1679</v>
      </c>
      <c r="C83" s="1272">
        <v>9.8000000000000004E-2</v>
      </c>
      <c r="D83" s="1272">
        <v>9.8000000000000004E-2</v>
      </c>
      <c r="E83" s="1272">
        <v>9.8000000000000004E-2</v>
      </c>
      <c r="F83" s="1273">
        <v>0.1</v>
      </c>
    </row>
    <row r="84" spans="1:6">
      <c r="A84" s="1267" t="s">
        <v>286</v>
      </c>
      <c r="B84" s="1271" t="s">
        <v>1689</v>
      </c>
      <c r="C84" s="1272">
        <v>9.9000000000000005E-2</v>
      </c>
      <c r="D84" s="1272">
        <v>9.9000000000000005E-2</v>
      </c>
      <c r="E84" s="1272">
        <v>9.9000000000000005E-2</v>
      </c>
      <c r="F84" s="1273">
        <v>0.1</v>
      </c>
    </row>
    <row r="85" spans="1:6">
      <c r="A85" s="1267" t="s">
        <v>286</v>
      </c>
      <c r="B85" s="1271" t="s">
        <v>1699</v>
      </c>
      <c r="C85" s="1272">
        <v>9.9000000000000005E-2</v>
      </c>
      <c r="D85" s="1272">
        <v>9.9000000000000005E-2</v>
      </c>
      <c r="E85" s="1272">
        <v>9.9000000000000005E-2</v>
      </c>
      <c r="F85" s="1273">
        <v>0.1</v>
      </c>
    </row>
    <row r="86" spans="1:6">
      <c r="A86" s="1267" t="s">
        <v>286</v>
      </c>
      <c r="B86" s="1271" t="s">
        <v>1709</v>
      </c>
      <c r="C86" s="1272">
        <v>0.1</v>
      </c>
      <c r="D86" s="1272">
        <v>0.1</v>
      </c>
      <c r="E86" s="1272">
        <v>7.6999999999999999E-2</v>
      </c>
      <c r="F86" s="1273">
        <v>0.1</v>
      </c>
    </row>
    <row r="87" spans="1:6">
      <c r="A87" s="1267" t="s">
        <v>286</v>
      </c>
      <c r="B87" s="1271" t="s">
        <v>1719</v>
      </c>
      <c r="C87" s="1272">
        <v>0.1</v>
      </c>
      <c r="D87" s="1272">
        <v>0.1</v>
      </c>
      <c r="E87" s="1272">
        <v>9.8000000000000004E-2</v>
      </c>
      <c r="F87" s="1280"/>
    </row>
    <row r="88" spans="1:6">
      <c r="A88" s="1267" t="s">
        <v>286</v>
      </c>
      <c r="B88" s="1271" t="s">
        <v>1729</v>
      </c>
      <c r="C88" s="1272">
        <v>9.1999999999999998E-2</v>
      </c>
      <c r="D88" s="1272">
        <v>8.5000000000000006E-2</v>
      </c>
      <c r="E88" s="1272">
        <v>9.6000000000000002E-2</v>
      </c>
      <c r="F88" s="1280"/>
    </row>
    <row r="89" spans="1:6">
      <c r="A89" s="1267" t="s">
        <v>286</v>
      </c>
      <c r="B89" s="1271" t="s">
        <v>1739</v>
      </c>
      <c r="C89" s="1272">
        <v>0.1</v>
      </c>
      <c r="D89" s="1272">
        <v>0.1</v>
      </c>
      <c r="E89" s="1272">
        <v>9.7000000000000003E-2</v>
      </c>
      <c r="F89" s="1280"/>
    </row>
    <row r="90" spans="1:6">
      <c r="A90" s="1267" t="s">
        <v>286</v>
      </c>
      <c r="B90" s="1271" t="s">
        <v>1749</v>
      </c>
      <c r="C90" s="1272">
        <v>9.8000000000000004E-2</v>
      </c>
      <c r="D90" s="1272">
        <v>9.8000000000000004E-2</v>
      </c>
      <c r="E90" s="1272">
        <v>8.7999999999999995E-2</v>
      </c>
      <c r="F90" s="1280"/>
    </row>
    <row r="91" spans="1:6">
      <c r="A91" s="1267" t="s">
        <v>286</v>
      </c>
      <c r="B91" s="1271" t="s">
        <v>1759</v>
      </c>
      <c r="C91" s="1272">
        <v>9.9000000000000005E-2</v>
      </c>
      <c r="D91" s="1272">
        <v>9.9000000000000005E-2</v>
      </c>
      <c r="E91" s="1272">
        <v>9.0999999999999998E-2</v>
      </c>
      <c r="F91" s="1280"/>
    </row>
    <row r="92" spans="1:6">
      <c r="A92" s="1267" t="s">
        <v>286</v>
      </c>
      <c r="B92" s="1271" t="s">
        <v>1769</v>
      </c>
      <c r="C92" s="1272">
        <v>9.6000000000000002E-2</v>
      </c>
      <c r="D92" s="1272">
        <v>9.6000000000000002E-2</v>
      </c>
      <c r="E92" s="1272">
        <v>7.2999999999999995E-2</v>
      </c>
      <c r="F92" s="1280"/>
    </row>
    <row r="93" spans="1:6">
      <c r="A93" s="1267" t="s">
        <v>286</v>
      </c>
      <c r="B93" s="1271" t="s">
        <v>1779</v>
      </c>
      <c r="C93" s="1272">
        <v>9.6000000000000002E-2</v>
      </c>
      <c r="D93" s="1272">
        <v>9.6000000000000002E-2</v>
      </c>
      <c r="E93" s="1272">
        <v>9.9000000000000005E-2</v>
      </c>
      <c r="F93" s="1280"/>
    </row>
    <row r="94" spans="1:6">
      <c r="A94" s="1267" t="s">
        <v>286</v>
      </c>
      <c r="B94" s="1271" t="s">
        <v>1789</v>
      </c>
      <c r="C94" s="1272">
        <v>7.5999999999999998E-2</v>
      </c>
      <c r="D94" s="1272">
        <v>7.3999999999999996E-2</v>
      </c>
      <c r="E94" s="1272">
        <v>9.7000000000000003E-2</v>
      </c>
      <c r="F94" s="1280"/>
    </row>
    <row r="95" spans="1:6">
      <c r="A95" s="1267" t="s">
        <v>286</v>
      </c>
      <c r="B95" s="1271" t="s">
        <v>1798</v>
      </c>
      <c r="C95" s="1272">
        <v>9.9000000000000005E-2</v>
      </c>
      <c r="D95" s="1272">
        <v>9.4E-2</v>
      </c>
      <c r="E95" s="1272">
        <v>9.6000000000000002E-2</v>
      </c>
      <c r="F95" s="1280"/>
    </row>
    <row r="96" spans="1:6">
      <c r="A96" s="1267" t="s">
        <v>286</v>
      </c>
      <c r="B96" s="1271" t="s">
        <v>1806</v>
      </c>
      <c r="C96" s="1272">
        <v>9.9000000000000005E-2</v>
      </c>
      <c r="D96" s="1272">
        <v>9.9000000000000005E-2</v>
      </c>
      <c r="E96" s="1272">
        <v>9.9000000000000005E-2</v>
      </c>
      <c r="F96" s="1280"/>
    </row>
    <row r="97" spans="1:6">
      <c r="A97" s="1267" t="s">
        <v>286</v>
      </c>
      <c r="B97" s="1271" t="s">
        <v>1814</v>
      </c>
      <c r="C97" s="1272">
        <v>9.8000000000000004E-2</v>
      </c>
      <c r="D97" s="1272">
        <v>9.8000000000000004E-2</v>
      </c>
      <c r="E97" s="1272">
        <v>9.7000000000000003E-2</v>
      </c>
      <c r="F97" s="1280"/>
    </row>
    <row r="98" spans="1:6">
      <c r="A98" s="1267" t="s">
        <v>286</v>
      </c>
      <c r="B98" s="1271" t="s">
        <v>1821</v>
      </c>
      <c r="C98" s="1272">
        <v>0.1</v>
      </c>
      <c r="D98" s="1272">
        <v>0.1</v>
      </c>
      <c r="E98" s="1272">
        <v>9.7000000000000003E-2</v>
      </c>
      <c r="F98" s="1280"/>
    </row>
    <row r="99" spans="1:6">
      <c r="A99" s="1267" t="s">
        <v>286</v>
      </c>
      <c r="B99" s="1271" t="s">
        <v>1828</v>
      </c>
      <c r="C99" s="1272">
        <v>0.1</v>
      </c>
      <c r="D99" s="1272">
        <v>0.1</v>
      </c>
      <c r="E99" s="1281"/>
      <c r="F99" s="1280"/>
    </row>
    <row r="100" spans="1:6">
      <c r="A100" s="1267" t="s">
        <v>286</v>
      </c>
      <c r="B100" s="1271" t="s">
        <v>1835</v>
      </c>
      <c r="C100" s="1272">
        <v>0.09</v>
      </c>
      <c r="D100" s="1272">
        <v>8.8999999999999996E-2</v>
      </c>
      <c r="E100" s="1281"/>
      <c r="F100" s="1280"/>
    </row>
    <row r="101" spans="1:6">
      <c r="A101" s="1267" t="s">
        <v>286</v>
      </c>
      <c r="B101" s="1271" t="s">
        <v>1842</v>
      </c>
      <c r="C101" s="1272">
        <v>9.8000000000000004E-2</v>
      </c>
      <c r="D101" s="1272">
        <v>9.7000000000000003E-2</v>
      </c>
      <c r="E101" s="1281"/>
      <c r="F101" s="1280"/>
    </row>
    <row r="102" spans="1:6">
      <c r="A102" s="1267" t="s">
        <v>286</v>
      </c>
      <c r="B102" s="1271" t="s">
        <v>1849</v>
      </c>
      <c r="C102" s="1281"/>
      <c r="D102" s="1281"/>
      <c r="E102" s="1281"/>
      <c r="F102" s="1273">
        <v>0.05</v>
      </c>
    </row>
    <row r="103" spans="1:6" ht="24">
      <c r="A103" s="1267" t="s">
        <v>286</v>
      </c>
      <c r="B103" s="1271" t="s">
        <v>1854</v>
      </c>
      <c r="C103" s="1281"/>
      <c r="D103" s="1281"/>
      <c r="E103" s="1281"/>
      <c r="F103" s="1273">
        <v>0.05</v>
      </c>
    </row>
    <row r="104" spans="1:6">
      <c r="A104" s="1267" t="s">
        <v>286</v>
      </c>
      <c r="B104" s="1271" t="s">
        <v>1859</v>
      </c>
      <c r="C104" s="1281"/>
      <c r="D104" s="1281"/>
      <c r="E104" s="1281"/>
      <c r="F104" s="1273">
        <v>0.05</v>
      </c>
    </row>
    <row r="105" spans="1:6">
      <c r="A105" s="1267" t="s">
        <v>286</v>
      </c>
      <c r="B105" s="1271" t="s">
        <v>1864</v>
      </c>
      <c r="C105" s="1281"/>
      <c r="D105" s="1281"/>
      <c r="E105" s="1281"/>
      <c r="F105" s="1273">
        <v>0.05</v>
      </c>
    </row>
    <row r="106" spans="1:6">
      <c r="A106" s="1267" t="s">
        <v>286</v>
      </c>
      <c r="B106" s="1271" t="s">
        <v>1869</v>
      </c>
      <c r="C106" s="1281"/>
      <c r="D106" s="1281"/>
      <c r="E106" s="1281"/>
      <c r="F106" s="1273">
        <v>0.05</v>
      </c>
    </row>
    <row r="107" spans="1:6" ht="24">
      <c r="A107" s="1267" t="s">
        <v>286</v>
      </c>
      <c r="B107" s="1271" t="s">
        <v>1874</v>
      </c>
      <c r="C107" s="1281"/>
      <c r="D107" s="1281"/>
      <c r="E107" s="1281"/>
      <c r="F107" s="1273">
        <v>0.05</v>
      </c>
    </row>
    <row r="108" spans="1:6" ht="24">
      <c r="A108" s="1267" t="s">
        <v>286</v>
      </c>
      <c r="B108" s="1271" t="s">
        <v>1879</v>
      </c>
      <c r="C108" s="1281"/>
      <c r="D108" s="1281"/>
      <c r="E108" s="1281"/>
      <c r="F108" s="1273">
        <v>0.05</v>
      </c>
    </row>
    <row r="109" spans="1:6" ht="24">
      <c r="A109" s="1275" t="s">
        <v>286</v>
      </c>
      <c r="B109" s="1282" t="s">
        <v>1884</v>
      </c>
      <c r="C109" s="1278"/>
      <c r="D109" s="1278"/>
      <c r="E109" s="1278"/>
      <c r="F109" s="1283">
        <v>0.05</v>
      </c>
    </row>
    <row r="110" spans="1:6">
      <c r="A110" s="1267" t="s">
        <v>294</v>
      </c>
      <c r="B110" s="1268" t="s">
        <v>1597</v>
      </c>
      <c r="C110" s="1269">
        <v>0.129</v>
      </c>
      <c r="D110" s="1269">
        <v>0.129</v>
      </c>
      <c r="E110" s="1269">
        <v>0.126</v>
      </c>
      <c r="F110" s="1270">
        <v>0.13</v>
      </c>
    </row>
    <row r="111" spans="1:6">
      <c r="A111" s="1267" t="s">
        <v>294</v>
      </c>
      <c r="B111" s="1271" t="s">
        <v>1610</v>
      </c>
      <c r="C111" s="1272">
        <v>0.11</v>
      </c>
      <c r="D111" s="1272">
        <v>0.11</v>
      </c>
      <c r="E111" s="1272">
        <v>9.9000000000000005E-2</v>
      </c>
      <c r="F111" s="1273">
        <v>0.128</v>
      </c>
    </row>
    <row r="112" spans="1:6">
      <c r="A112" s="1267" t="s">
        <v>294</v>
      </c>
      <c r="B112" s="1271" t="s">
        <v>1623</v>
      </c>
      <c r="C112" s="1272">
        <v>0.125</v>
      </c>
      <c r="D112" s="1272">
        <v>0.125</v>
      </c>
      <c r="E112" s="1272">
        <v>0.12</v>
      </c>
      <c r="F112" s="1273">
        <v>0.125</v>
      </c>
    </row>
    <row r="113" spans="1:6">
      <c r="A113" s="1267" t="s">
        <v>294</v>
      </c>
      <c r="B113" s="1271" t="s">
        <v>1635</v>
      </c>
      <c r="C113" s="1272">
        <v>0.13</v>
      </c>
      <c r="D113" s="1272">
        <v>0.13</v>
      </c>
      <c r="E113" s="1272">
        <v>0.13</v>
      </c>
      <c r="F113" s="1273">
        <v>0.13</v>
      </c>
    </row>
    <row r="114" spans="1:6">
      <c r="A114" s="1267" t="s">
        <v>294</v>
      </c>
      <c r="B114" s="1271" t="s">
        <v>1647</v>
      </c>
      <c r="C114" s="1272">
        <v>0.123</v>
      </c>
      <c r="D114" s="1272">
        <v>0.123</v>
      </c>
      <c r="E114" s="1272">
        <v>0.12</v>
      </c>
      <c r="F114" s="1273">
        <v>0.13</v>
      </c>
    </row>
    <row r="115" spans="1:6">
      <c r="A115" s="1267" t="s">
        <v>294</v>
      </c>
      <c r="B115" s="1271" t="s">
        <v>1658</v>
      </c>
      <c r="C115" s="1272">
        <v>0.125</v>
      </c>
      <c r="D115" s="1272">
        <v>0.125</v>
      </c>
      <c r="E115" s="1272">
        <v>0.11700000000000001</v>
      </c>
      <c r="F115" s="1273">
        <v>0.13</v>
      </c>
    </row>
    <row r="116" spans="1:6">
      <c r="A116" s="1267" t="s">
        <v>294</v>
      </c>
      <c r="B116" s="1271" t="s">
        <v>1669</v>
      </c>
      <c r="C116" s="1272">
        <v>0.11700000000000001</v>
      </c>
      <c r="D116" s="1272">
        <v>0.11700000000000001</v>
      </c>
      <c r="E116" s="1272">
        <v>8.7999999999999995E-2</v>
      </c>
      <c r="F116" s="1273">
        <v>0.13</v>
      </c>
    </row>
    <row r="117" spans="1:6">
      <c r="A117" s="1267" t="s">
        <v>294</v>
      </c>
      <c r="B117" s="1271" t="s">
        <v>1680</v>
      </c>
      <c r="C117" s="1272">
        <v>0.13</v>
      </c>
      <c r="D117" s="1272">
        <v>0.13</v>
      </c>
      <c r="E117" s="1272">
        <v>0.129</v>
      </c>
      <c r="F117" s="1273">
        <v>0.13</v>
      </c>
    </row>
    <row r="118" spans="1:6">
      <c r="A118" s="1267" t="s">
        <v>294</v>
      </c>
      <c r="B118" s="1271" t="s">
        <v>1690</v>
      </c>
      <c r="C118" s="1272">
        <v>0.123</v>
      </c>
      <c r="D118" s="1272">
        <v>0.123</v>
      </c>
      <c r="E118" s="1272">
        <v>0.11600000000000001</v>
      </c>
      <c r="F118" s="1273">
        <v>0.13</v>
      </c>
    </row>
    <row r="119" spans="1:6">
      <c r="A119" s="1267" t="s">
        <v>294</v>
      </c>
      <c r="B119" s="1271" t="s">
        <v>1700</v>
      </c>
      <c r="C119" s="1272">
        <v>0.127</v>
      </c>
      <c r="D119" s="1272">
        <v>0.127</v>
      </c>
      <c r="E119" s="1272">
        <v>0.124</v>
      </c>
      <c r="F119" s="1273">
        <v>0.13</v>
      </c>
    </row>
    <row r="120" spans="1:6">
      <c r="A120" s="1267" t="s">
        <v>294</v>
      </c>
      <c r="B120" s="1271" t="s">
        <v>1710</v>
      </c>
      <c r="C120" s="1272">
        <v>0.125</v>
      </c>
      <c r="D120" s="1272">
        <v>0.125</v>
      </c>
      <c r="E120" s="1272">
        <v>0.122</v>
      </c>
      <c r="F120" s="1273">
        <v>0.13</v>
      </c>
    </row>
    <row r="121" spans="1:6">
      <c r="A121" s="1267" t="s">
        <v>294</v>
      </c>
      <c r="B121" s="1271" t="s">
        <v>1720</v>
      </c>
      <c r="C121" s="1272">
        <v>0.13</v>
      </c>
      <c r="D121" s="1272">
        <v>0.13</v>
      </c>
      <c r="E121" s="1272">
        <v>0.13</v>
      </c>
      <c r="F121" s="1273">
        <v>0.13</v>
      </c>
    </row>
    <row r="122" spans="1:6">
      <c r="A122" s="1267" t="s">
        <v>294</v>
      </c>
      <c r="B122" s="1271" t="s">
        <v>1730</v>
      </c>
      <c r="C122" s="1272">
        <v>0.13</v>
      </c>
      <c r="D122" s="1272">
        <v>0.13</v>
      </c>
      <c r="E122" s="1272">
        <v>0.125</v>
      </c>
      <c r="F122" s="1273">
        <v>0.13</v>
      </c>
    </row>
    <row r="123" spans="1:6">
      <c r="A123" s="1267" t="s">
        <v>294</v>
      </c>
      <c r="B123" s="1271" t="s">
        <v>1740</v>
      </c>
      <c r="C123" s="1272">
        <v>0.129</v>
      </c>
      <c r="D123" s="1272">
        <v>0.129</v>
      </c>
      <c r="E123" s="1272">
        <v>0.123</v>
      </c>
      <c r="F123" s="1273">
        <v>0.13</v>
      </c>
    </row>
    <row r="124" spans="1:6">
      <c r="A124" s="1267" t="s">
        <v>294</v>
      </c>
      <c r="B124" s="1271" t="s">
        <v>1750</v>
      </c>
      <c r="C124" s="1272">
        <v>0.10199999999999999</v>
      </c>
      <c r="D124" s="1272">
        <v>0.10100000000000001</v>
      </c>
      <c r="E124" s="1272">
        <v>0.08</v>
      </c>
      <c r="F124" s="1280"/>
    </row>
    <row r="125" spans="1:6">
      <c r="A125" s="1267" t="s">
        <v>294</v>
      </c>
      <c r="B125" s="1271" t="s">
        <v>1760</v>
      </c>
      <c r="C125" s="1272">
        <v>0.13</v>
      </c>
      <c r="D125" s="1272">
        <v>0.13</v>
      </c>
      <c r="E125" s="1272">
        <v>0.129</v>
      </c>
      <c r="F125" s="1280"/>
    </row>
    <row r="126" spans="1:6">
      <c r="A126" s="1267" t="s">
        <v>294</v>
      </c>
      <c r="B126" s="1271" t="s">
        <v>1770</v>
      </c>
      <c r="C126" s="1272">
        <v>0.13</v>
      </c>
      <c r="D126" s="1272">
        <v>0.13</v>
      </c>
      <c r="E126" s="1272">
        <v>0.126</v>
      </c>
      <c r="F126" s="1280"/>
    </row>
    <row r="127" spans="1:6">
      <c r="A127" s="1267" t="s">
        <v>294</v>
      </c>
      <c r="B127" s="1271" t="s">
        <v>1780</v>
      </c>
      <c r="C127" s="1272">
        <v>0.125</v>
      </c>
      <c r="D127" s="1272">
        <v>0.125</v>
      </c>
      <c r="E127" s="1272">
        <v>0.121</v>
      </c>
      <c r="F127" s="1280"/>
    </row>
    <row r="128" spans="1:6">
      <c r="A128" s="1267" t="s">
        <v>294</v>
      </c>
      <c r="B128" s="1271" t="s">
        <v>1790</v>
      </c>
      <c r="C128" s="1272">
        <v>0.12</v>
      </c>
      <c r="D128" s="1272">
        <v>0.12</v>
      </c>
      <c r="E128" s="1272">
        <v>0.105</v>
      </c>
      <c r="F128" s="1280"/>
    </row>
    <row r="129" spans="1:6">
      <c r="A129" s="1267" t="s">
        <v>294</v>
      </c>
      <c r="B129" s="1271" t="s">
        <v>1799</v>
      </c>
      <c r="C129" s="1272">
        <v>0.13</v>
      </c>
      <c r="D129" s="1272">
        <v>0.13</v>
      </c>
      <c r="E129" s="1272">
        <v>0.126</v>
      </c>
      <c r="F129" s="1280"/>
    </row>
    <row r="130" spans="1:6">
      <c r="A130" s="1267" t="s">
        <v>294</v>
      </c>
      <c r="B130" s="1271" t="s">
        <v>1807</v>
      </c>
      <c r="C130" s="1272">
        <v>0.125</v>
      </c>
      <c r="D130" s="1272">
        <v>0.125</v>
      </c>
      <c r="E130" s="1272">
        <v>0.122</v>
      </c>
      <c r="F130" s="1280"/>
    </row>
    <row r="131" spans="1:6">
      <c r="A131" s="1267" t="s">
        <v>294</v>
      </c>
      <c r="B131" s="1271" t="s">
        <v>1815</v>
      </c>
      <c r="C131" s="1272">
        <v>0.127</v>
      </c>
      <c r="D131" s="1272">
        <v>0.126</v>
      </c>
      <c r="E131" s="1272">
        <v>0.123</v>
      </c>
      <c r="F131" s="1280"/>
    </row>
    <row r="132" spans="1:6">
      <c r="A132" s="1267" t="s">
        <v>294</v>
      </c>
      <c r="B132" s="1271" t="s">
        <v>1822</v>
      </c>
      <c r="C132" s="1272">
        <v>9.0999999999999998E-2</v>
      </c>
      <c r="D132" s="1272">
        <v>0.121</v>
      </c>
      <c r="E132" s="1272">
        <v>9.9000000000000005E-2</v>
      </c>
      <c r="F132" s="1280"/>
    </row>
    <row r="133" spans="1:6">
      <c r="A133" s="1267" t="s">
        <v>294</v>
      </c>
      <c r="B133" s="1271" t="s">
        <v>1829</v>
      </c>
      <c r="C133" s="1272">
        <v>0.13</v>
      </c>
      <c r="D133" s="1272">
        <v>0.13</v>
      </c>
      <c r="E133" s="1272">
        <v>0.129</v>
      </c>
      <c r="F133" s="1280"/>
    </row>
    <row r="134" spans="1:6">
      <c r="A134" s="1267" t="s">
        <v>294</v>
      </c>
      <c r="B134" s="1271" t="s">
        <v>1836</v>
      </c>
      <c r="C134" s="1272">
        <v>6.8000000000000005E-2</v>
      </c>
      <c r="D134" s="1272">
        <v>6.5000000000000002E-2</v>
      </c>
      <c r="E134" s="1272">
        <v>6.5000000000000002E-2</v>
      </c>
      <c r="F134" s="1273">
        <v>0.13</v>
      </c>
    </row>
    <row r="135" spans="1:6">
      <c r="A135" s="1267" t="s">
        <v>294</v>
      </c>
      <c r="B135" s="1271" t="s">
        <v>1843</v>
      </c>
      <c r="C135" s="1272">
        <v>0.123</v>
      </c>
      <c r="D135" s="1272">
        <v>0.123</v>
      </c>
      <c r="E135" s="1272">
        <v>0.11</v>
      </c>
      <c r="F135" s="1280"/>
    </row>
    <row r="136" spans="1:6">
      <c r="A136" s="1267" t="s">
        <v>294</v>
      </c>
      <c r="B136" s="1271" t="s">
        <v>1850</v>
      </c>
      <c r="C136" s="1272">
        <v>0.13</v>
      </c>
      <c r="D136" s="1272">
        <v>0.13</v>
      </c>
      <c r="E136" s="1272">
        <v>0.125</v>
      </c>
      <c r="F136" s="1280"/>
    </row>
    <row r="137" spans="1:6">
      <c r="A137" s="1267" t="s">
        <v>294</v>
      </c>
      <c r="B137" s="1271" t="s">
        <v>1855</v>
      </c>
      <c r="C137" s="1272">
        <v>0.121</v>
      </c>
      <c r="D137" s="1272">
        <v>0.122</v>
      </c>
      <c r="E137" s="1272">
        <v>0.115</v>
      </c>
      <c r="F137" s="1280"/>
    </row>
    <row r="138" spans="1:6">
      <c r="A138" s="1267" t="s">
        <v>294</v>
      </c>
      <c r="B138" s="1271" t="s">
        <v>1860</v>
      </c>
      <c r="C138" s="1272">
        <v>0.105</v>
      </c>
      <c r="D138" s="1272">
        <v>0.125</v>
      </c>
      <c r="E138" s="1272">
        <v>0.112</v>
      </c>
      <c r="F138" s="1280"/>
    </row>
    <row r="139" spans="1:6">
      <c r="A139" s="1267" t="s">
        <v>294</v>
      </c>
      <c r="B139" s="1271" t="s">
        <v>1865</v>
      </c>
      <c r="C139" s="1272">
        <v>0.127</v>
      </c>
      <c r="D139" s="1272">
        <v>0.127</v>
      </c>
      <c r="E139" s="1272">
        <v>0.122</v>
      </c>
      <c r="F139" s="1273">
        <v>0.13</v>
      </c>
    </row>
    <row r="140" spans="1:6">
      <c r="A140" s="1267" t="s">
        <v>294</v>
      </c>
      <c r="B140" s="1271" t="s">
        <v>1870</v>
      </c>
      <c r="C140" s="1272">
        <v>0.125</v>
      </c>
      <c r="D140" s="1272">
        <v>0.125</v>
      </c>
      <c r="E140" s="1272">
        <v>0.11899999999999999</v>
      </c>
      <c r="F140" s="1273">
        <v>0.13</v>
      </c>
    </row>
    <row r="141" spans="1:6">
      <c r="A141" s="1267" t="s">
        <v>294</v>
      </c>
      <c r="B141" s="1271" t="s">
        <v>1875</v>
      </c>
      <c r="C141" s="1272">
        <v>0.125</v>
      </c>
      <c r="D141" s="1272">
        <v>0.125</v>
      </c>
      <c r="E141" s="1272">
        <v>0.11700000000000001</v>
      </c>
      <c r="F141" s="1280"/>
    </row>
    <row r="142" spans="1:6">
      <c r="A142" s="1267" t="s">
        <v>294</v>
      </c>
      <c r="B142" s="1271" t="s">
        <v>1880</v>
      </c>
      <c r="C142" s="1272">
        <v>0.125</v>
      </c>
      <c r="D142" s="1272">
        <v>0.125</v>
      </c>
      <c r="E142" s="1272">
        <v>0.115</v>
      </c>
      <c r="F142" s="1280"/>
    </row>
    <row r="143" spans="1:6">
      <c r="A143" s="1267" t="s">
        <v>294</v>
      </c>
      <c r="B143" s="1271" t="s">
        <v>1885</v>
      </c>
      <c r="C143" s="1272">
        <v>0.121</v>
      </c>
      <c r="D143" s="1272">
        <v>0.121</v>
      </c>
      <c r="E143" s="1272">
        <v>0.108</v>
      </c>
      <c r="F143" s="1280"/>
    </row>
    <row r="144" spans="1:6">
      <c r="A144" s="1267" t="s">
        <v>294</v>
      </c>
      <c r="B144" s="1284" t="s">
        <v>1889</v>
      </c>
      <c r="C144" s="1285">
        <v>0.126</v>
      </c>
      <c r="D144" s="1285">
        <v>0.126</v>
      </c>
      <c r="E144" s="1285">
        <v>0.121</v>
      </c>
      <c r="F144" s="1280"/>
    </row>
    <row r="145" spans="1:6">
      <c r="A145" s="1275" t="s">
        <v>294</v>
      </c>
      <c r="B145" s="1286" t="s">
        <v>1893</v>
      </c>
      <c r="C145" s="1287"/>
      <c r="D145" s="1287"/>
      <c r="E145" s="1287"/>
      <c r="F145" s="1288">
        <v>0.05</v>
      </c>
    </row>
    <row r="146" spans="1:6" ht="24">
      <c r="A146" s="1289" t="s">
        <v>294</v>
      </c>
      <c r="B146" s="1274" t="s">
        <v>1897</v>
      </c>
      <c r="C146" s="1281"/>
      <c r="D146" s="1281"/>
      <c r="E146" s="1281"/>
      <c r="F146" s="1290">
        <v>0.05</v>
      </c>
    </row>
    <row r="147" spans="1:6" ht="24">
      <c r="A147" s="1267" t="s">
        <v>294</v>
      </c>
      <c r="B147" s="1271" t="s">
        <v>1901</v>
      </c>
      <c r="C147" s="1281"/>
      <c r="D147" s="1281"/>
      <c r="E147" s="1281"/>
      <c r="F147" s="1273">
        <v>0.05</v>
      </c>
    </row>
    <row r="148" spans="1:6" ht="24">
      <c r="A148" s="1267" t="s">
        <v>294</v>
      </c>
      <c r="B148" s="1271" t="s">
        <v>1905</v>
      </c>
      <c r="C148" s="1281"/>
      <c r="D148" s="1281"/>
      <c r="E148" s="1281"/>
      <c r="F148" s="1273">
        <v>0.05</v>
      </c>
    </row>
    <row r="149" spans="1:6" ht="24">
      <c r="A149" s="1267" t="s">
        <v>294</v>
      </c>
      <c r="B149" s="1271" t="s">
        <v>1909</v>
      </c>
      <c r="C149" s="1281"/>
      <c r="D149" s="1281"/>
      <c r="E149" s="1281"/>
      <c r="F149" s="1273">
        <v>0.05</v>
      </c>
    </row>
    <row r="150" spans="1:6" ht="24">
      <c r="A150" s="1267" t="s">
        <v>294</v>
      </c>
      <c r="B150" s="1271" t="s">
        <v>1912</v>
      </c>
      <c r="C150" s="1281"/>
      <c r="D150" s="1281"/>
      <c r="E150" s="1281"/>
      <c r="F150" s="1273">
        <v>0.05</v>
      </c>
    </row>
    <row r="151" spans="1:6" ht="24">
      <c r="A151" s="1267" t="s">
        <v>294</v>
      </c>
      <c r="B151" s="1271" t="s">
        <v>1915</v>
      </c>
      <c r="C151" s="1281"/>
      <c r="D151" s="1281"/>
      <c r="E151" s="1281"/>
      <c r="F151" s="1273">
        <v>0.05</v>
      </c>
    </row>
    <row r="152" spans="1:6" ht="24">
      <c r="A152" s="1267" t="s">
        <v>294</v>
      </c>
      <c r="B152" s="1271" t="s">
        <v>1918</v>
      </c>
      <c r="C152" s="1281"/>
      <c r="D152" s="1281"/>
      <c r="E152" s="1281"/>
      <c r="F152" s="1273">
        <v>0.05</v>
      </c>
    </row>
    <row r="153" spans="1:6">
      <c r="A153" s="1267" t="s">
        <v>294</v>
      </c>
      <c r="B153" s="1271" t="s">
        <v>1921</v>
      </c>
      <c r="C153" s="1281"/>
      <c r="D153" s="1281"/>
      <c r="E153" s="1281"/>
      <c r="F153" s="1273">
        <v>0.05</v>
      </c>
    </row>
    <row r="154" spans="1:6">
      <c r="A154" s="1267" t="s">
        <v>294</v>
      </c>
      <c r="B154" s="1271" t="s">
        <v>1924</v>
      </c>
      <c r="C154" s="1281"/>
      <c r="D154" s="1281"/>
      <c r="E154" s="1281"/>
      <c r="F154" s="1273">
        <v>0.05</v>
      </c>
    </row>
    <row r="155" spans="1:6" ht="24">
      <c r="A155" s="1267" t="s">
        <v>294</v>
      </c>
      <c r="B155" s="1271" t="s">
        <v>1927</v>
      </c>
      <c r="C155" s="1281"/>
      <c r="D155" s="1281"/>
      <c r="E155" s="1281"/>
      <c r="F155" s="1273">
        <v>0.05</v>
      </c>
    </row>
    <row r="156" spans="1:6" ht="24">
      <c r="A156" s="1267" t="s">
        <v>294</v>
      </c>
      <c r="B156" s="1271" t="s">
        <v>1929</v>
      </c>
      <c r="C156" s="1281"/>
      <c r="D156" s="1281"/>
      <c r="E156" s="1281"/>
      <c r="F156" s="1273">
        <v>0.05</v>
      </c>
    </row>
    <row r="157" spans="1:6">
      <c r="A157" s="1275" t="s">
        <v>294</v>
      </c>
      <c r="B157" s="1282" t="s">
        <v>1931</v>
      </c>
      <c r="C157" s="1278"/>
      <c r="D157" s="1278"/>
      <c r="E157" s="1278"/>
      <c r="F157" s="1283">
        <v>0.05</v>
      </c>
    </row>
    <row r="158" spans="1:6">
      <c r="A158" s="1267" t="s">
        <v>299</v>
      </c>
      <c r="B158" s="1268" t="s">
        <v>1598</v>
      </c>
      <c r="C158" s="1269">
        <v>0.13</v>
      </c>
      <c r="D158" s="1269">
        <v>0.13</v>
      </c>
      <c r="E158" s="1269">
        <v>0.13</v>
      </c>
      <c r="F158" s="1270">
        <v>0.13</v>
      </c>
    </row>
    <row r="159" spans="1:6">
      <c r="A159" s="1267" t="s">
        <v>299</v>
      </c>
      <c r="B159" s="1271" t="s">
        <v>1611</v>
      </c>
      <c r="C159" s="1272">
        <v>0.13</v>
      </c>
      <c r="D159" s="1272">
        <v>0.13</v>
      </c>
      <c r="E159" s="1272">
        <v>0.13</v>
      </c>
      <c r="F159" s="1273">
        <v>0.13</v>
      </c>
    </row>
    <row r="160" spans="1:6">
      <c r="A160" s="1267" t="s">
        <v>299</v>
      </c>
      <c r="B160" s="1271" t="s">
        <v>1624</v>
      </c>
      <c r="C160" s="1272">
        <v>0.13</v>
      </c>
      <c r="D160" s="1272">
        <v>0.13</v>
      </c>
      <c r="E160" s="1272">
        <v>0.129</v>
      </c>
      <c r="F160" s="1273">
        <v>0.13</v>
      </c>
    </row>
    <row r="161" spans="1:6">
      <c r="A161" s="1267" t="s">
        <v>299</v>
      </c>
      <c r="B161" s="1271" t="s">
        <v>1636</v>
      </c>
      <c r="C161" s="1272">
        <v>0.128</v>
      </c>
      <c r="D161" s="1272">
        <v>0.128</v>
      </c>
      <c r="E161" s="1272">
        <v>0.125</v>
      </c>
      <c r="F161" s="1273">
        <v>0.13</v>
      </c>
    </row>
    <row r="162" spans="1:6">
      <c r="A162" s="1267" t="s">
        <v>299</v>
      </c>
      <c r="B162" s="1271" t="s">
        <v>1648</v>
      </c>
      <c r="C162" s="1272">
        <v>0.122</v>
      </c>
      <c r="D162" s="1272">
        <v>0.122</v>
      </c>
      <c r="E162" s="1272">
        <v>0.126</v>
      </c>
      <c r="F162" s="1273">
        <v>0.122</v>
      </c>
    </row>
    <row r="163" spans="1:6">
      <c r="A163" s="1267" t="s">
        <v>299</v>
      </c>
      <c r="B163" s="1271" t="s">
        <v>1659</v>
      </c>
      <c r="C163" s="1272">
        <v>0.13</v>
      </c>
      <c r="D163" s="1272">
        <v>0.13</v>
      </c>
      <c r="E163" s="1272">
        <v>0.125</v>
      </c>
      <c r="F163" s="1273">
        <v>0.13</v>
      </c>
    </row>
    <row r="164" spans="1:6">
      <c r="A164" s="1267" t="s">
        <v>299</v>
      </c>
      <c r="B164" s="1271" t="s">
        <v>1670</v>
      </c>
      <c r="C164" s="1272">
        <v>0.13</v>
      </c>
      <c r="D164" s="1272">
        <v>0.13</v>
      </c>
      <c r="E164" s="1272">
        <v>0.13</v>
      </c>
      <c r="F164" s="1273">
        <v>0.13</v>
      </c>
    </row>
    <row r="165" spans="1:6">
      <c r="A165" s="1267" t="s">
        <v>299</v>
      </c>
      <c r="B165" s="1271" t="s">
        <v>1681</v>
      </c>
      <c r="C165" s="1272">
        <v>0.13</v>
      </c>
      <c r="D165" s="1272">
        <v>0.13</v>
      </c>
      <c r="E165" s="1272">
        <v>0.124</v>
      </c>
      <c r="F165" s="1273">
        <v>0.13</v>
      </c>
    </row>
    <row r="166" spans="1:6">
      <c r="A166" s="1267" t="s">
        <v>299</v>
      </c>
      <c r="B166" s="1271" t="s">
        <v>1691</v>
      </c>
      <c r="C166" s="1272">
        <v>0.13</v>
      </c>
      <c r="D166" s="1272">
        <v>0.13</v>
      </c>
      <c r="E166" s="1272">
        <v>0.13</v>
      </c>
      <c r="F166" s="1273">
        <v>0.13</v>
      </c>
    </row>
    <row r="167" spans="1:6">
      <c r="A167" s="1267" t="s">
        <v>299</v>
      </c>
      <c r="B167" s="1271" t="s">
        <v>1701</v>
      </c>
      <c r="C167" s="1272">
        <v>0.125</v>
      </c>
      <c r="D167" s="1272">
        <v>0.125</v>
      </c>
      <c r="E167" s="1272">
        <v>0.121</v>
      </c>
      <c r="F167" s="1280"/>
    </row>
    <row r="168" spans="1:6">
      <c r="A168" s="1267" t="s">
        <v>299</v>
      </c>
      <c r="B168" s="1271" t="s">
        <v>1711</v>
      </c>
      <c r="C168" s="1272">
        <v>0.13</v>
      </c>
      <c r="D168" s="1272">
        <v>0.13</v>
      </c>
      <c r="E168" s="1272">
        <v>0.126</v>
      </c>
      <c r="F168" s="1280"/>
    </row>
    <row r="169" spans="1:6">
      <c r="A169" s="1267" t="s">
        <v>299</v>
      </c>
      <c r="B169" s="1271" t="s">
        <v>1721</v>
      </c>
      <c r="C169" s="1272">
        <v>0.128</v>
      </c>
      <c r="D169" s="1272">
        <v>0.129</v>
      </c>
      <c r="E169" s="1272">
        <v>0.13</v>
      </c>
      <c r="F169" s="1280"/>
    </row>
    <row r="170" spans="1:6">
      <c r="A170" s="1267" t="s">
        <v>299</v>
      </c>
      <c r="B170" s="1271" t="s">
        <v>1731</v>
      </c>
      <c r="C170" s="1272">
        <v>0.14099999999999999</v>
      </c>
      <c r="D170" s="1272">
        <v>0.13</v>
      </c>
      <c r="E170" s="1272">
        <v>0.125</v>
      </c>
      <c r="F170" s="1280"/>
    </row>
    <row r="171" spans="1:6">
      <c r="A171" s="1267" t="s">
        <v>299</v>
      </c>
      <c r="B171" s="1271" t="s">
        <v>1741</v>
      </c>
      <c r="C171" s="1272">
        <v>0.127</v>
      </c>
      <c r="D171" s="1272">
        <v>0.126</v>
      </c>
      <c r="E171" s="1272">
        <v>0.126</v>
      </c>
      <c r="F171" s="1273">
        <v>0.11799999999999999</v>
      </c>
    </row>
    <row r="172" spans="1:6">
      <c r="A172" s="1267" t="s">
        <v>299</v>
      </c>
      <c r="B172" s="1271" t="s">
        <v>1751</v>
      </c>
      <c r="C172" s="1272">
        <v>0.13</v>
      </c>
      <c r="D172" s="1272">
        <v>0.13</v>
      </c>
      <c r="E172" s="1272">
        <v>0.13</v>
      </c>
      <c r="F172" s="1280"/>
    </row>
    <row r="173" spans="1:6">
      <c r="A173" s="1267" t="s">
        <v>299</v>
      </c>
      <c r="B173" s="1271" t="s">
        <v>1761</v>
      </c>
      <c r="C173" s="1272">
        <v>0.13</v>
      </c>
      <c r="D173" s="1272">
        <v>0.13</v>
      </c>
      <c r="E173" s="1272">
        <v>0.13</v>
      </c>
      <c r="F173" s="1280"/>
    </row>
    <row r="174" spans="1:6">
      <c r="A174" s="1267" t="s">
        <v>299</v>
      </c>
      <c r="B174" s="1271" t="s">
        <v>1771</v>
      </c>
      <c r="C174" s="1272">
        <v>0.13</v>
      </c>
      <c r="D174" s="1272">
        <v>0.13</v>
      </c>
      <c r="E174" s="1272">
        <v>0.13</v>
      </c>
      <c r="F174" s="1273">
        <v>0.13</v>
      </c>
    </row>
    <row r="175" spans="1:6">
      <c r="A175" s="1267" t="s">
        <v>299</v>
      </c>
      <c r="B175" s="1271" t="s">
        <v>1781</v>
      </c>
      <c r="C175" s="1272">
        <v>0.13</v>
      </c>
      <c r="D175" s="1272">
        <v>0.13</v>
      </c>
      <c r="E175" s="1272">
        <v>0.13</v>
      </c>
      <c r="F175" s="1273">
        <v>0.13</v>
      </c>
    </row>
    <row r="176" spans="1:6">
      <c r="A176" s="1267" t="s">
        <v>299</v>
      </c>
      <c r="B176" s="1271" t="s">
        <v>1791</v>
      </c>
      <c r="C176" s="1272">
        <v>0.13</v>
      </c>
      <c r="D176" s="1272">
        <v>0.13</v>
      </c>
      <c r="E176" s="1272">
        <v>0.13</v>
      </c>
      <c r="F176" s="1273">
        <v>0.13</v>
      </c>
    </row>
    <row r="177" spans="1:6">
      <c r="A177" s="1267" t="s">
        <v>299</v>
      </c>
      <c r="B177" s="1271" t="s">
        <v>1800</v>
      </c>
      <c r="C177" s="1272">
        <v>0.13</v>
      </c>
      <c r="D177" s="1272">
        <v>0.13</v>
      </c>
      <c r="E177" s="1272">
        <v>0.13</v>
      </c>
      <c r="F177" s="1273">
        <v>0.13</v>
      </c>
    </row>
    <row r="178" spans="1:6">
      <c r="A178" s="1267" t="s">
        <v>299</v>
      </c>
      <c r="B178" s="1271" t="s">
        <v>1808</v>
      </c>
      <c r="C178" s="1272">
        <v>0.13</v>
      </c>
      <c r="D178" s="1272">
        <v>0.13</v>
      </c>
      <c r="E178" s="1272">
        <v>0.13</v>
      </c>
      <c r="F178" s="1273">
        <v>0.127</v>
      </c>
    </row>
    <row r="179" spans="1:6">
      <c r="A179" s="1267" t="s">
        <v>299</v>
      </c>
      <c r="B179" s="1271" t="s">
        <v>1816</v>
      </c>
      <c r="C179" s="1272">
        <v>0.13</v>
      </c>
      <c r="D179" s="1272">
        <v>0.13</v>
      </c>
      <c r="E179" s="1272">
        <v>0.13</v>
      </c>
      <c r="F179" s="1280"/>
    </row>
    <row r="180" spans="1:6">
      <c r="A180" s="1267" t="s">
        <v>299</v>
      </c>
      <c r="B180" s="1271" t="s">
        <v>1823</v>
      </c>
      <c r="C180" s="1272">
        <v>0.13</v>
      </c>
      <c r="D180" s="1272">
        <v>0.13</v>
      </c>
      <c r="E180" s="1272">
        <v>0.125</v>
      </c>
      <c r="F180" s="1273">
        <v>0.13</v>
      </c>
    </row>
    <row r="181" spans="1:6">
      <c r="A181" s="1267" t="s">
        <v>299</v>
      </c>
      <c r="B181" s="1271" t="s">
        <v>1830</v>
      </c>
      <c r="C181" s="1272">
        <v>0.122</v>
      </c>
      <c r="D181" s="1272">
        <v>0.123</v>
      </c>
      <c r="E181" s="1272">
        <v>0.126</v>
      </c>
      <c r="F181" s="1273">
        <v>0.121</v>
      </c>
    </row>
    <row r="182" spans="1:6">
      <c r="A182" s="1267" t="s">
        <v>299</v>
      </c>
      <c r="B182" s="1271" t="s">
        <v>1837</v>
      </c>
      <c r="C182" s="1272">
        <v>0.125</v>
      </c>
      <c r="D182" s="1272">
        <v>0.125</v>
      </c>
      <c r="E182" s="1272">
        <v>0.11700000000000001</v>
      </c>
      <c r="F182" s="1273">
        <v>0.13</v>
      </c>
    </row>
    <row r="183" spans="1:6">
      <c r="A183" s="1267" t="s">
        <v>299</v>
      </c>
      <c r="B183" s="1271" t="s">
        <v>1844</v>
      </c>
      <c r="C183" s="1272">
        <v>0.127</v>
      </c>
      <c r="D183" s="1272">
        <v>0.127</v>
      </c>
      <c r="E183" s="1272">
        <v>0.128</v>
      </c>
      <c r="F183" s="1280"/>
    </row>
    <row r="184" spans="1:6">
      <c r="A184" s="1267" t="s">
        <v>299</v>
      </c>
      <c r="B184" s="1271" t="s">
        <v>1851</v>
      </c>
      <c r="C184" s="1272">
        <v>0.125</v>
      </c>
      <c r="D184" s="1272">
        <v>0.125</v>
      </c>
      <c r="E184" s="1272">
        <v>0.127</v>
      </c>
      <c r="F184" s="1280"/>
    </row>
    <row r="185" spans="1:6">
      <c r="A185" s="1267" t="s">
        <v>299</v>
      </c>
      <c r="B185" s="1271" t="s">
        <v>1856</v>
      </c>
      <c r="C185" s="1272">
        <v>0.127</v>
      </c>
      <c r="D185" s="1272">
        <v>0.127</v>
      </c>
      <c r="E185" s="1272">
        <v>0.128</v>
      </c>
      <c r="F185" s="1273">
        <v>0.13</v>
      </c>
    </row>
    <row r="186" spans="1:6" ht="24">
      <c r="A186" s="1267" t="s">
        <v>299</v>
      </c>
      <c r="B186" s="1271" t="s">
        <v>1861</v>
      </c>
      <c r="C186" s="1281"/>
      <c r="D186" s="1281"/>
      <c r="E186" s="1281"/>
      <c r="F186" s="1273">
        <v>0.05</v>
      </c>
    </row>
    <row r="187" spans="1:6">
      <c r="A187" s="1267" t="s">
        <v>299</v>
      </c>
      <c r="B187" s="1271" t="s">
        <v>1866</v>
      </c>
      <c r="C187" s="1281"/>
      <c r="D187" s="1281"/>
      <c r="E187" s="1281"/>
      <c r="F187" s="1273">
        <v>0.05</v>
      </c>
    </row>
    <row r="188" spans="1:6">
      <c r="A188" s="1267" t="s">
        <v>299</v>
      </c>
      <c r="B188" s="1271" t="s">
        <v>1871</v>
      </c>
      <c r="C188" s="1281"/>
      <c r="D188" s="1281"/>
      <c r="E188" s="1281"/>
      <c r="F188" s="1273">
        <v>0.05</v>
      </c>
    </row>
    <row r="189" spans="1:6" ht="24">
      <c r="A189" s="1267" t="s">
        <v>299</v>
      </c>
      <c r="B189" s="1271" t="s">
        <v>1876</v>
      </c>
      <c r="C189" s="1281"/>
      <c r="D189" s="1281"/>
      <c r="E189" s="1281"/>
      <c r="F189" s="1273">
        <v>0.05</v>
      </c>
    </row>
    <row r="190" spans="1:6" ht="24">
      <c r="A190" s="1267" t="s">
        <v>299</v>
      </c>
      <c r="B190" s="1271" t="s">
        <v>1881</v>
      </c>
      <c r="C190" s="1281"/>
      <c r="D190" s="1281"/>
      <c r="E190" s="1281"/>
      <c r="F190" s="1273">
        <v>0.05</v>
      </c>
    </row>
    <row r="191" spans="1:6" ht="24">
      <c r="A191" s="1267" t="s">
        <v>299</v>
      </c>
      <c r="B191" s="1271" t="s">
        <v>1886</v>
      </c>
      <c r="C191" s="1281"/>
      <c r="D191" s="1281"/>
      <c r="E191" s="1281"/>
      <c r="F191" s="1273">
        <v>0.05</v>
      </c>
    </row>
    <row r="192" spans="1:6" ht="24">
      <c r="A192" s="1267" t="s">
        <v>299</v>
      </c>
      <c r="B192" s="1271" t="s">
        <v>1890</v>
      </c>
      <c r="C192" s="1281"/>
      <c r="D192" s="1281"/>
      <c r="E192" s="1281"/>
      <c r="F192" s="1273">
        <v>0.05</v>
      </c>
    </row>
    <row r="193" spans="1:6" ht="24">
      <c r="A193" s="1267" t="s">
        <v>299</v>
      </c>
      <c r="B193" s="1271" t="s">
        <v>1894</v>
      </c>
      <c r="C193" s="1281"/>
      <c r="D193" s="1281"/>
      <c r="E193" s="1281"/>
      <c r="F193" s="1273">
        <v>0.05</v>
      </c>
    </row>
    <row r="194" spans="1:6" ht="24">
      <c r="A194" s="1267" t="s">
        <v>299</v>
      </c>
      <c r="B194" s="1271" t="s">
        <v>1898</v>
      </c>
      <c r="C194" s="1281"/>
      <c r="D194" s="1281"/>
      <c r="E194" s="1281"/>
      <c r="F194" s="1273">
        <v>0.05</v>
      </c>
    </row>
    <row r="195" spans="1:6">
      <c r="A195" s="1267" t="s">
        <v>299</v>
      </c>
      <c r="B195" s="1271" t="s">
        <v>1902</v>
      </c>
      <c r="C195" s="1281"/>
      <c r="D195" s="1281"/>
      <c r="E195" s="1281"/>
      <c r="F195" s="1273">
        <v>0.05</v>
      </c>
    </row>
    <row r="196" spans="1:6" ht="24">
      <c r="A196" s="1267" t="s">
        <v>299</v>
      </c>
      <c r="B196" s="1271" t="s">
        <v>1906</v>
      </c>
      <c r="C196" s="1281"/>
      <c r="D196" s="1281"/>
      <c r="E196" s="1281"/>
      <c r="F196" s="1273">
        <v>0.05</v>
      </c>
    </row>
    <row r="197" spans="1:6" ht="24">
      <c r="A197" s="1267" t="s">
        <v>299</v>
      </c>
      <c r="B197" s="1271" t="s">
        <v>1910</v>
      </c>
      <c r="C197" s="1281"/>
      <c r="D197" s="1281"/>
      <c r="E197" s="1281"/>
      <c r="F197" s="1273">
        <v>0.05</v>
      </c>
    </row>
    <row r="198" spans="1:6" ht="24">
      <c r="A198" s="1267" t="s">
        <v>299</v>
      </c>
      <c r="B198" s="1271" t="s">
        <v>1913</v>
      </c>
      <c r="C198" s="1281"/>
      <c r="D198" s="1281"/>
      <c r="E198" s="1281"/>
      <c r="F198" s="1273">
        <v>0.05</v>
      </c>
    </row>
    <row r="199" spans="1:6" ht="24">
      <c r="A199" s="1267" t="s">
        <v>299</v>
      </c>
      <c r="B199" s="1271" t="s">
        <v>1916</v>
      </c>
      <c r="C199" s="1281"/>
      <c r="D199" s="1281"/>
      <c r="E199" s="1281"/>
      <c r="F199" s="1273">
        <v>0.05</v>
      </c>
    </row>
    <row r="200" spans="1:6" ht="24">
      <c r="A200" s="1267" t="s">
        <v>299</v>
      </c>
      <c r="B200" s="1271" t="s">
        <v>1919</v>
      </c>
      <c r="C200" s="1281"/>
      <c r="D200" s="1281"/>
      <c r="E200" s="1281"/>
      <c r="F200" s="1273">
        <v>0.05</v>
      </c>
    </row>
    <row r="201" spans="1:6" ht="24">
      <c r="A201" s="1267" t="s">
        <v>299</v>
      </c>
      <c r="B201" s="1271" t="s">
        <v>1922</v>
      </c>
      <c r="C201" s="1281"/>
      <c r="D201" s="1281"/>
      <c r="E201" s="1281"/>
      <c r="F201" s="1273">
        <v>0.05</v>
      </c>
    </row>
    <row r="202" spans="1:6" ht="24">
      <c r="A202" s="1267" t="s">
        <v>299</v>
      </c>
      <c r="B202" s="1271" t="s">
        <v>1925</v>
      </c>
      <c r="C202" s="1281"/>
      <c r="D202" s="1281"/>
      <c r="E202" s="1281"/>
      <c r="F202" s="1273">
        <v>0.05</v>
      </c>
    </row>
    <row r="203" spans="1:6" ht="24">
      <c r="A203" s="1267" t="s">
        <v>299</v>
      </c>
      <c r="B203" s="1271" t="s">
        <v>1928</v>
      </c>
      <c r="C203" s="1281"/>
      <c r="D203" s="1281"/>
      <c r="E203" s="1281"/>
      <c r="F203" s="1273">
        <v>0.05</v>
      </c>
    </row>
    <row r="204" spans="1:6">
      <c r="A204" s="1267" t="s">
        <v>299</v>
      </c>
      <c r="B204" s="1271" t="s">
        <v>1930</v>
      </c>
      <c r="C204" s="1281"/>
      <c r="D204" s="1281"/>
      <c r="E204" s="1281"/>
      <c r="F204" s="1273">
        <v>0.05</v>
      </c>
    </row>
    <row r="205" spans="1:6">
      <c r="A205" s="1275" t="s">
        <v>299</v>
      </c>
      <c r="B205" s="1282" t="s">
        <v>1932</v>
      </c>
      <c r="C205" s="1278"/>
      <c r="D205" s="1278"/>
      <c r="E205" s="1278"/>
      <c r="F205" s="1283">
        <v>0.05</v>
      </c>
    </row>
    <row r="206" spans="1:6">
      <c r="A206" s="1267" t="s">
        <v>304</v>
      </c>
      <c r="B206" s="1268" t="s">
        <v>1599</v>
      </c>
      <c r="C206" s="1269">
        <v>0.15</v>
      </c>
      <c r="D206" s="1269">
        <v>0.15</v>
      </c>
      <c r="E206" s="1269">
        <v>0.15</v>
      </c>
      <c r="F206" s="1270">
        <v>0.15</v>
      </c>
    </row>
    <row r="207" spans="1:6">
      <c r="A207" s="1267" t="s">
        <v>304</v>
      </c>
      <c r="B207" s="1271" t="s">
        <v>1612</v>
      </c>
      <c r="C207" s="1272">
        <v>0.15</v>
      </c>
      <c r="D207" s="1272">
        <v>0.15</v>
      </c>
      <c r="E207" s="1272">
        <v>0.15</v>
      </c>
      <c r="F207" s="1273">
        <v>0.14399999999999999</v>
      </c>
    </row>
    <row r="208" spans="1:6">
      <c r="A208" s="1267" t="s">
        <v>304</v>
      </c>
      <c r="B208" s="1271" t="s">
        <v>1625</v>
      </c>
      <c r="C208" s="1272">
        <v>0.15</v>
      </c>
      <c r="D208" s="1272">
        <v>0.15</v>
      </c>
      <c r="E208" s="1272">
        <v>0.15</v>
      </c>
      <c r="F208" s="1273">
        <v>0.15</v>
      </c>
    </row>
    <row r="209" spans="1:6">
      <c r="A209" s="1267" t="s">
        <v>304</v>
      </c>
      <c r="B209" s="1271" t="s">
        <v>1637</v>
      </c>
      <c r="C209" s="1272">
        <v>0.13700000000000001</v>
      </c>
      <c r="D209" s="1272">
        <v>0.13700000000000001</v>
      </c>
      <c r="E209" s="1272">
        <v>0.14000000000000001</v>
      </c>
      <c r="F209" s="1273">
        <v>0.11700000000000001</v>
      </c>
    </row>
    <row r="210" spans="1:6">
      <c r="A210" s="1267" t="s">
        <v>304</v>
      </c>
      <c r="B210" s="1271" t="s">
        <v>1649</v>
      </c>
      <c r="C210" s="1272">
        <v>0.15</v>
      </c>
      <c r="D210" s="1272">
        <v>0.15</v>
      </c>
      <c r="E210" s="1272">
        <v>0.15</v>
      </c>
      <c r="F210" s="1273">
        <v>0.13800000000000001</v>
      </c>
    </row>
    <row r="211" spans="1:6">
      <c r="A211" s="1267" t="s">
        <v>304</v>
      </c>
      <c r="B211" s="1271" t="s">
        <v>1660</v>
      </c>
      <c r="C211" s="1272">
        <v>0.13700000000000001</v>
      </c>
      <c r="D211" s="1272">
        <v>0.13500000000000001</v>
      </c>
      <c r="E211" s="1272">
        <v>0.13600000000000001</v>
      </c>
      <c r="F211" s="1273">
        <v>0.1</v>
      </c>
    </row>
    <row r="212" spans="1:6">
      <c r="A212" s="1267" t="s">
        <v>304</v>
      </c>
      <c r="B212" s="1271" t="s">
        <v>1671</v>
      </c>
      <c r="C212" s="1272">
        <v>0.15</v>
      </c>
      <c r="D212" s="1272">
        <v>0.15</v>
      </c>
      <c r="E212" s="1272">
        <v>0.14799999999999999</v>
      </c>
      <c r="F212" s="1273">
        <v>0.13600000000000001</v>
      </c>
    </row>
    <row r="213" spans="1:6">
      <c r="A213" s="1267" t="s">
        <v>304</v>
      </c>
      <c r="B213" s="1271" t="s">
        <v>1682</v>
      </c>
      <c r="C213" s="1272">
        <v>0.15</v>
      </c>
      <c r="D213" s="1272">
        <v>0.15</v>
      </c>
      <c r="E213" s="1272">
        <v>0.15</v>
      </c>
      <c r="F213" s="1273">
        <v>0.13800000000000001</v>
      </c>
    </row>
    <row r="214" spans="1:6">
      <c r="A214" s="1267" t="s">
        <v>304</v>
      </c>
      <c r="B214" s="1271" t="s">
        <v>1692</v>
      </c>
      <c r="C214" s="1272">
        <v>9.0999999999999998E-2</v>
      </c>
      <c r="D214" s="1272">
        <v>0.09</v>
      </c>
      <c r="E214" s="1272">
        <v>9.1999999999999998E-2</v>
      </c>
      <c r="F214" s="1280"/>
    </row>
    <row r="215" spans="1:6">
      <c r="A215" s="1267" t="s">
        <v>304</v>
      </c>
      <c r="B215" s="1271" t="s">
        <v>1702</v>
      </c>
      <c r="C215" s="1272">
        <v>0.15</v>
      </c>
      <c r="D215" s="1272">
        <v>0.15</v>
      </c>
      <c r="E215" s="1272">
        <v>0.15</v>
      </c>
      <c r="F215" s="1273">
        <v>0.15</v>
      </c>
    </row>
    <row r="216" spans="1:6">
      <c r="A216" s="1267" t="s">
        <v>304</v>
      </c>
      <c r="B216" s="1271" t="s">
        <v>1712</v>
      </c>
      <c r="C216" s="1272">
        <v>0.14699999999999999</v>
      </c>
      <c r="D216" s="1272">
        <v>0.14699999999999999</v>
      </c>
      <c r="E216" s="1272">
        <v>0.15</v>
      </c>
      <c r="F216" s="1273">
        <v>0.14000000000000001</v>
      </c>
    </row>
    <row r="217" spans="1:6">
      <c r="A217" s="1267" t="s">
        <v>304</v>
      </c>
      <c r="B217" s="1271" t="s">
        <v>1722</v>
      </c>
      <c r="C217" s="1272">
        <v>0.15</v>
      </c>
      <c r="D217" s="1272">
        <v>0.15</v>
      </c>
      <c r="E217" s="1272">
        <v>0.15</v>
      </c>
      <c r="F217" s="1273">
        <v>0.15</v>
      </c>
    </row>
    <row r="218" spans="1:6">
      <c r="A218" s="1267" t="s">
        <v>304</v>
      </c>
      <c r="B218" s="1271" t="s">
        <v>1732</v>
      </c>
      <c r="C218" s="1272">
        <v>0.15</v>
      </c>
      <c r="D218" s="1272">
        <v>0.15</v>
      </c>
      <c r="E218" s="1272">
        <v>0.15</v>
      </c>
      <c r="F218" s="1273">
        <v>0.15</v>
      </c>
    </row>
    <row r="219" spans="1:6">
      <c r="A219" s="1267" t="s">
        <v>304</v>
      </c>
      <c r="B219" s="1271" t="s">
        <v>1742</v>
      </c>
      <c r="C219" s="1272">
        <v>0.15</v>
      </c>
      <c r="D219" s="1272">
        <v>0.15</v>
      </c>
      <c r="E219" s="1272">
        <v>0.15</v>
      </c>
      <c r="F219" s="1273">
        <v>0.14799999999999999</v>
      </c>
    </row>
    <row r="220" spans="1:6">
      <c r="A220" s="1267" t="s">
        <v>304</v>
      </c>
      <c r="B220" s="1271" t="s">
        <v>1752</v>
      </c>
      <c r="C220" s="1272">
        <v>0.15</v>
      </c>
      <c r="D220" s="1272">
        <v>0.15</v>
      </c>
      <c r="E220" s="1272">
        <v>0.15</v>
      </c>
      <c r="F220" s="1273">
        <v>0.15</v>
      </c>
    </row>
    <row r="221" spans="1:6">
      <c r="A221" s="1267" t="s">
        <v>304</v>
      </c>
      <c r="B221" s="1271" t="s">
        <v>1762</v>
      </c>
      <c r="C221" s="1272"/>
      <c r="D221" s="1281"/>
      <c r="E221" s="1281"/>
      <c r="F221" s="1273">
        <v>0.14799999999999999</v>
      </c>
    </row>
    <row r="222" spans="1:6">
      <c r="A222" s="1267" t="s">
        <v>304</v>
      </c>
      <c r="B222" s="1271" t="s">
        <v>1772</v>
      </c>
      <c r="C222" s="1272"/>
      <c r="D222" s="1281"/>
      <c r="E222" s="1281"/>
      <c r="F222" s="1273">
        <v>0.1</v>
      </c>
    </row>
    <row r="223" spans="1:6">
      <c r="A223" s="1267" t="s">
        <v>304</v>
      </c>
      <c r="B223" s="1271" t="s">
        <v>1782</v>
      </c>
      <c r="C223" s="1272"/>
      <c r="D223" s="1281"/>
      <c r="E223" s="1281"/>
      <c r="F223" s="1273">
        <v>0.15</v>
      </c>
    </row>
    <row r="224" spans="1:6">
      <c r="A224" s="1267" t="s">
        <v>304</v>
      </c>
      <c r="B224" s="1271" t="s">
        <v>1792</v>
      </c>
      <c r="C224" s="1272"/>
      <c r="D224" s="1281"/>
      <c r="E224" s="1281"/>
      <c r="F224" s="1273">
        <v>0.15</v>
      </c>
    </row>
    <row r="225" spans="1:6">
      <c r="A225" s="1267" t="s">
        <v>304</v>
      </c>
      <c r="B225" s="1271" t="s">
        <v>1801</v>
      </c>
      <c r="C225" s="1272">
        <v>0.15</v>
      </c>
      <c r="D225" s="1272">
        <v>0.15</v>
      </c>
      <c r="E225" s="1272">
        <v>0.15</v>
      </c>
      <c r="F225" s="1273">
        <v>0.15</v>
      </c>
    </row>
    <row r="226" spans="1:6">
      <c r="A226" s="1267" t="s">
        <v>304</v>
      </c>
      <c r="B226" s="1271" t="s">
        <v>1809</v>
      </c>
      <c r="C226" s="1272">
        <v>0.15</v>
      </c>
      <c r="D226" s="1272">
        <v>0.15</v>
      </c>
      <c r="E226" s="1272">
        <v>0.15</v>
      </c>
      <c r="F226" s="1273">
        <v>0.14799999999999999</v>
      </c>
    </row>
    <row r="227" spans="1:6">
      <c r="A227" s="1267" t="s">
        <v>304</v>
      </c>
      <c r="B227" s="1271" t="s">
        <v>1817</v>
      </c>
      <c r="C227" s="1272">
        <v>0.15</v>
      </c>
      <c r="D227" s="1272">
        <v>0.15</v>
      </c>
      <c r="E227" s="1272">
        <v>0.15</v>
      </c>
      <c r="F227" s="1273">
        <v>0.15</v>
      </c>
    </row>
    <row r="228" spans="1:6">
      <c r="A228" s="1267" t="s">
        <v>304</v>
      </c>
      <c r="B228" s="1271" t="s">
        <v>1824</v>
      </c>
      <c r="C228" s="1272">
        <v>0.15</v>
      </c>
      <c r="D228" s="1272">
        <v>0.15</v>
      </c>
      <c r="E228" s="1272">
        <v>0.15</v>
      </c>
      <c r="F228" s="1273">
        <v>0.15</v>
      </c>
    </row>
    <row r="229" spans="1:6">
      <c r="A229" s="1267" t="s">
        <v>304</v>
      </c>
      <c r="B229" s="1271" t="s">
        <v>1831</v>
      </c>
      <c r="C229" s="1272">
        <v>0.15</v>
      </c>
      <c r="D229" s="1272">
        <v>0.15</v>
      </c>
      <c r="E229" s="1272">
        <v>0.15</v>
      </c>
      <c r="F229" s="1280"/>
    </row>
    <row r="230" spans="1:6">
      <c r="A230" s="1267" t="s">
        <v>304</v>
      </c>
      <c r="B230" s="1271" t="s">
        <v>1838</v>
      </c>
      <c r="C230" s="1272">
        <v>0.14499999999999999</v>
      </c>
      <c r="D230" s="1272">
        <v>0.14499999999999999</v>
      </c>
      <c r="E230" s="1272">
        <v>0.14399999999999999</v>
      </c>
      <c r="F230" s="1280"/>
    </row>
    <row r="231" spans="1:6">
      <c r="A231" s="1267" t="s">
        <v>304</v>
      </c>
      <c r="B231" s="1271" t="s">
        <v>1845</v>
      </c>
      <c r="C231" s="1272">
        <v>0.128</v>
      </c>
      <c r="D231" s="1272">
        <v>0.125</v>
      </c>
      <c r="E231" s="1272">
        <v>0.13200000000000001</v>
      </c>
      <c r="F231" s="1280"/>
    </row>
    <row r="232" spans="1:6">
      <c r="A232" s="1267" t="s">
        <v>304</v>
      </c>
      <c r="B232" s="1271" t="s">
        <v>1852</v>
      </c>
      <c r="C232" s="1272">
        <v>0.14499999999999999</v>
      </c>
      <c r="D232" s="1272">
        <v>0.14399999999999999</v>
      </c>
      <c r="E232" s="1272">
        <v>0.14599999999999999</v>
      </c>
      <c r="F232" s="1273">
        <v>0.13800000000000001</v>
      </c>
    </row>
    <row r="233" spans="1:6">
      <c r="A233" s="1267" t="s">
        <v>304</v>
      </c>
      <c r="B233" s="1271" t="s">
        <v>1857</v>
      </c>
      <c r="C233" s="1272">
        <v>0.14499999999999999</v>
      </c>
      <c r="D233" s="1272">
        <v>0.14299999999999999</v>
      </c>
      <c r="E233" s="1272">
        <v>0.14199999999999999</v>
      </c>
      <c r="F233" s="1280"/>
    </row>
    <row r="234" spans="1:6">
      <c r="A234" s="1267" t="s">
        <v>304</v>
      </c>
      <c r="B234" s="1271" t="s">
        <v>1939</v>
      </c>
      <c r="C234" s="1272">
        <v>0.14000000000000001</v>
      </c>
      <c r="D234" s="1272">
        <v>0.14000000000000001</v>
      </c>
      <c r="E234" s="1272">
        <v>0.14399999999999999</v>
      </c>
      <c r="F234" s="1280"/>
    </row>
    <row r="235" spans="1:6">
      <c r="A235" s="1267" t="s">
        <v>304</v>
      </c>
      <c r="B235" s="1271" t="s">
        <v>1867</v>
      </c>
      <c r="C235" s="1272">
        <v>0.14099999999999999</v>
      </c>
      <c r="D235" s="1272">
        <v>0.14199999999999999</v>
      </c>
      <c r="E235" s="1272">
        <v>0.14499999999999999</v>
      </c>
      <c r="F235" s="1273">
        <v>0.15</v>
      </c>
    </row>
    <row r="236" spans="1:6">
      <c r="A236" s="1267" t="s">
        <v>304</v>
      </c>
      <c r="B236" s="1271" t="s">
        <v>1872</v>
      </c>
      <c r="C236" s="1281"/>
      <c r="D236" s="1281"/>
      <c r="E236" s="1281"/>
      <c r="F236" s="1273">
        <v>0.14299999999999999</v>
      </c>
    </row>
    <row r="237" spans="1:6" ht="24">
      <c r="A237" s="1267" t="s">
        <v>304</v>
      </c>
      <c r="B237" s="1271" t="s">
        <v>1877</v>
      </c>
      <c r="C237" s="1281"/>
      <c r="D237" s="1281"/>
      <c r="E237" s="1281"/>
      <c r="F237" s="1273">
        <v>0.05</v>
      </c>
    </row>
    <row r="238" spans="1:6" ht="24">
      <c r="A238" s="1267" t="s">
        <v>304</v>
      </c>
      <c r="B238" s="1271" t="s">
        <v>1882</v>
      </c>
      <c r="C238" s="1281"/>
      <c r="D238" s="1281"/>
      <c r="E238" s="1281"/>
      <c r="F238" s="1273">
        <v>0.05</v>
      </c>
    </row>
    <row r="239" spans="1:6" ht="24">
      <c r="A239" s="1267" t="s">
        <v>304</v>
      </c>
      <c r="B239" s="1271" t="s">
        <v>1887</v>
      </c>
      <c r="C239" s="1281"/>
      <c r="D239" s="1281"/>
      <c r="E239" s="1281"/>
      <c r="F239" s="1273">
        <v>0.05</v>
      </c>
    </row>
    <row r="240" spans="1:6" ht="24">
      <c r="A240" s="1267" t="s">
        <v>304</v>
      </c>
      <c r="B240" s="1271" t="s">
        <v>1891</v>
      </c>
      <c r="C240" s="1281"/>
      <c r="D240" s="1281"/>
      <c r="E240" s="1281"/>
      <c r="F240" s="1273">
        <v>0.05</v>
      </c>
    </row>
    <row r="241" spans="1:6" ht="24">
      <c r="A241" s="1267" t="s">
        <v>304</v>
      </c>
      <c r="B241" s="1271" t="s">
        <v>1895</v>
      </c>
      <c r="C241" s="1281"/>
      <c r="D241" s="1281"/>
      <c r="E241" s="1281"/>
      <c r="F241" s="1273">
        <v>0.05</v>
      </c>
    </row>
    <row r="242" spans="1:6" ht="24">
      <c r="A242" s="1267" t="s">
        <v>304</v>
      </c>
      <c r="B242" s="1271" t="s">
        <v>1899</v>
      </c>
      <c r="C242" s="1281"/>
      <c r="D242" s="1281"/>
      <c r="E242" s="1281"/>
      <c r="F242" s="1273">
        <v>0.05</v>
      </c>
    </row>
    <row r="243" spans="1:6" ht="24">
      <c r="A243" s="1267" t="s">
        <v>304</v>
      </c>
      <c r="B243" s="1271" t="s">
        <v>1903</v>
      </c>
      <c r="C243" s="1281"/>
      <c r="D243" s="1281"/>
      <c r="E243" s="1281"/>
      <c r="F243" s="1273">
        <v>0.05</v>
      </c>
    </row>
    <row r="244" spans="1:6" ht="24">
      <c r="A244" s="1275" t="s">
        <v>304</v>
      </c>
      <c r="B244" s="1282" t="s">
        <v>1907</v>
      </c>
      <c r="C244" s="1278"/>
      <c r="D244" s="1278"/>
      <c r="E244" s="1278"/>
      <c r="F244" s="1283">
        <v>0.05</v>
      </c>
    </row>
    <row r="245" spans="1:6">
      <c r="A245" s="1267" t="s">
        <v>307</v>
      </c>
      <c r="B245" s="1268" t="s">
        <v>1600</v>
      </c>
      <c r="C245" s="1269">
        <v>0.15</v>
      </c>
      <c r="D245" s="1269">
        <v>0.15</v>
      </c>
      <c r="E245" s="1269">
        <v>0.15</v>
      </c>
      <c r="F245" s="1270">
        <v>0.14299999999999999</v>
      </c>
    </row>
    <row r="246" spans="1:6">
      <c r="A246" s="1267" t="s">
        <v>307</v>
      </c>
      <c r="B246" s="1271" t="s">
        <v>1613</v>
      </c>
      <c r="C246" s="1272">
        <v>0.15</v>
      </c>
      <c r="D246" s="1272">
        <v>0.15</v>
      </c>
      <c r="E246" s="1272">
        <v>0.15</v>
      </c>
      <c r="F246" s="1273">
        <v>0.114</v>
      </c>
    </row>
    <row r="247" spans="1:6">
      <c r="A247" s="1267" t="s">
        <v>307</v>
      </c>
      <c r="B247" s="1271" t="s">
        <v>1626</v>
      </c>
      <c r="C247" s="1272">
        <v>0.15</v>
      </c>
      <c r="D247" s="1272">
        <v>0.15</v>
      </c>
      <c r="E247" s="1272">
        <v>0.15</v>
      </c>
      <c r="F247" s="1273">
        <v>0.15</v>
      </c>
    </row>
    <row r="248" spans="1:6">
      <c r="A248" s="1267" t="s">
        <v>307</v>
      </c>
      <c r="B248" s="1271" t="s">
        <v>1638</v>
      </c>
      <c r="C248" s="1272">
        <v>0.15</v>
      </c>
      <c r="D248" s="1272">
        <v>0.15</v>
      </c>
      <c r="E248" s="1272">
        <v>0.15</v>
      </c>
      <c r="F248" s="1273">
        <v>0.14000000000000001</v>
      </c>
    </row>
    <row r="249" spans="1:6">
      <c r="A249" s="1267" t="s">
        <v>307</v>
      </c>
      <c r="B249" s="1271" t="s">
        <v>1650</v>
      </c>
      <c r="C249" s="1272">
        <v>0.15</v>
      </c>
      <c r="D249" s="1272">
        <v>0.14899999999999999</v>
      </c>
      <c r="E249" s="1272">
        <v>0.15</v>
      </c>
      <c r="F249" s="1273">
        <v>0.1</v>
      </c>
    </row>
    <row r="250" spans="1:6">
      <c r="A250" s="1267" t="s">
        <v>307</v>
      </c>
      <c r="B250" s="1271" t="s">
        <v>1661</v>
      </c>
      <c r="C250" s="1272">
        <v>0.15</v>
      </c>
      <c r="D250" s="1272">
        <v>0.15</v>
      </c>
      <c r="E250" s="1272">
        <v>0.15</v>
      </c>
      <c r="F250" s="1273">
        <v>0.14399999999999999</v>
      </c>
    </row>
    <row r="251" spans="1:6">
      <c r="A251" s="1267" t="s">
        <v>307</v>
      </c>
      <c r="B251" s="1271" t="s">
        <v>1672</v>
      </c>
      <c r="C251" s="1272">
        <v>0.15</v>
      </c>
      <c r="D251" s="1272">
        <v>0.15</v>
      </c>
      <c r="E251" s="1272">
        <v>0.15</v>
      </c>
      <c r="F251" s="1273">
        <v>0.14299999999999999</v>
      </c>
    </row>
    <row r="252" spans="1:6">
      <c r="A252" s="1267" t="s">
        <v>307</v>
      </c>
      <c r="B252" s="1271" t="s">
        <v>1683</v>
      </c>
      <c r="C252" s="1272">
        <v>0.15</v>
      </c>
      <c r="D252" s="1272">
        <v>0.15</v>
      </c>
      <c r="E252" s="1272">
        <v>0.15</v>
      </c>
      <c r="F252" s="1273">
        <v>0.1</v>
      </c>
    </row>
    <row r="253" spans="1:6">
      <c r="A253" s="1267" t="s">
        <v>307</v>
      </c>
      <c r="B253" s="1271" t="s">
        <v>1693</v>
      </c>
      <c r="C253" s="1272">
        <v>0.15</v>
      </c>
      <c r="D253" s="1272">
        <v>0.15</v>
      </c>
      <c r="E253" s="1272">
        <v>0.15</v>
      </c>
      <c r="F253" s="1273">
        <v>0.1</v>
      </c>
    </row>
    <row r="254" spans="1:6">
      <c r="A254" s="1267" t="s">
        <v>307</v>
      </c>
      <c r="B254" s="1271" t="s">
        <v>1703</v>
      </c>
      <c r="C254" s="1281"/>
      <c r="D254" s="1281"/>
      <c r="E254" s="1281"/>
      <c r="F254" s="1273">
        <v>0.15</v>
      </c>
    </row>
    <row r="255" spans="1:6">
      <c r="A255" s="1267" t="s">
        <v>307</v>
      </c>
      <c r="B255" s="1271" t="s">
        <v>1713</v>
      </c>
      <c r="C255" s="1281"/>
      <c r="D255" s="1281"/>
      <c r="E255" s="1281"/>
      <c r="F255" s="1273">
        <v>0.14299999999999999</v>
      </c>
    </row>
    <row r="256" spans="1:6">
      <c r="A256" s="1267" t="s">
        <v>307</v>
      </c>
      <c r="B256" s="1271" t="s">
        <v>1723</v>
      </c>
      <c r="C256" s="1272">
        <v>0.14599999999999999</v>
      </c>
      <c r="D256" s="1272">
        <v>0.14699999999999999</v>
      </c>
      <c r="E256" s="1272">
        <v>0.15</v>
      </c>
      <c r="F256" s="1273">
        <v>0.13200000000000001</v>
      </c>
    </row>
    <row r="257" spans="1:6">
      <c r="A257" s="1267" t="s">
        <v>307</v>
      </c>
      <c r="B257" s="1271" t="s">
        <v>1733</v>
      </c>
      <c r="C257" s="1272">
        <v>0.15</v>
      </c>
      <c r="D257" s="1272">
        <v>0.15</v>
      </c>
      <c r="E257" s="1272">
        <v>0.15</v>
      </c>
      <c r="F257" s="1273">
        <v>0.13900000000000001</v>
      </c>
    </row>
    <row r="258" spans="1:6">
      <c r="A258" s="1267" t="s">
        <v>307</v>
      </c>
      <c r="B258" s="1271" t="s">
        <v>1743</v>
      </c>
      <c r="C258" s="1272">
        <v>0.15</v>
      </c>
      <c r="D258" s="1272">
        <v>0.15</v>
      </c>
      <c r="E258" s="1272">
        <v>0.15</v>
      </c>
      <c r="F258" s="1273">
        <v>0.13</v>
      </c>
    </row>
    <row r="259" spans="1:6">
      <c r="A259" s="1267" t="s">
        <v>307</v>
      </c>
      <c r="B259" s="1271" t="s">
        <v>1753</v>
      </c>
      <c r="C259" s="1272">
        <v>0.14799999999999999</v>
      </c>
      <c r="D259" s="1272">
        <v>0.14899999999999999</v>
      </c>
      <c r="E259" s="1272">
        <v>0.15</v>
      </c>
      <c r="F259" s="1273">
        <v>0.13700000000000001</v>
      </c>
    </row>
    <row r="260" spans="1:6">
      <c r="A260" s="1267" t="s">
        <v>307</v>
      </c>
      <c r="B260" s="1271" t="s">
        <v>1763</v>
      </c>
      <c r="C260" s="1272">
        <v>0.15</v>
      </c>
      <c r="D260" s="1272">
        <v>0.15</v>
      </c>
      <c r="E260" s="1272">
        <v>0.15</v>
      </c>
      <c r="F260" s="1273">
        <v>0.14199999999999999</v>
      </c>
    </row>
    <row r="261" spans="1:6">
      <c r="A261" s="1267" t="s">
        <v>307</v>
      </c>
      <c r="B261" s="1271" t="s">
        <v>1773</v>
      </c>
      <c r="C261" s="1272">
        <v>0.15</v>
      </c>
      <c r="D261" s="1272">
        <v>0.15</v>
      </c>
      <c r="E261" s="1272">
        <v>0.14899999999999999</v>
      </c>
      <c r="F261" s="1273">
        <v>0.14799999999999999</v>
      </c>
    </row>
    <row r="262" spans="1:6">
      <c r="A262" s="1267" t="s">
        <v>307</v>
      </c>
      <c r="B262" s="1271" t="s">
        <v>1783</v>
      </c>
      <c r="C262" s="1272">
        <v>0.15</v>
      </c>
      <c r="D262" s="1272">
        <v>0.15</v>
      </c>
      <c r="E262" s="1272">
        <v>0.15</v>
      </c>
      <c r="F262" s="1280"/>
    </row>
    <row r="263" spans="1:6">
      <c r="A263" s="1267" t="s">
        <v>307</v>
      </c>
      <c r="B263" s="1271" t="s">
        <v>1793</v>
      </c>
      <c r="C263" s="1272">
        <v>0.14899999999999999</v>
      </c>
      <c r="D263" s="1272">
        <v>0.14899999999999999</v>
      </c>
      <c r="E263" s="1272">
        <v>0.15</v>
      </c>
      <c r="F263" s="1273">
        <v>0.13</v>
      </c>
    </row>
    <row r="264" spans="1:6">
      <c r="A264" s="1267" t="s">
        <v>307</v>
      </c>
      <c r="B264" s="1271" t="s">
        <v>1802</v>
      </c>
      <c r="C264" s="1272">
        <v>0.14799999999999999</v>
      </c>
      <c r="D264" s="1272">
        <v>0.14699999999999999</v>
      </c>
      <c r="E264" s="1272">
        <v>0.15</v>
      </c>
      <c r="F264" s="1273">
        <v>7.8E-2</v>
      </c>
    </row>
    <row r="265" spans="1:6">
      <c r="A265" s="1267" t="s">
        <v>307</v>
      </c>
      <c r="B265" s="1271" t="s">
        <v>1810</v>
      </c>
      <c r="C265" s="1272">
        <v>0.15</v>
      </c>
      <c r="D265" s="1272">
        <v>0.15</v>
      </c>
      <c r="E265" s="1272">
        <v>0.15</v>
      </c>
      <c r="F265" s="1273">
        <v>7.3999999999999996E-2</v>
      </c>
    </row>
    <row r="266" spans="1:6">
      <c r="A266" s="1267" t="s">
        <v>307</v>
      </c>
      <c r="B266" s="1271" t="s">
        <v>1818</v>
      </c>
      <c r="C266" s="1272">
        <v>0.14699999999999999</v>
      </c>
      <c r="D266" s="1272">
        <v>0.14699999999999999</v>
      </c>
      <c r="E266" s="1272">
        <v>0.15</v>
      </c>
      <c r="F266" s="1273">
        <v>0.14299999999999999</v>
      </c>
    </row>
    <row r="267" spans="1:6">
      <c r="A267" s="1267" t="s">
        <v>307</v>
      </c>
      <c r="B267" s="1271" t="s">
        <v>1825</v>
      </c>
      <c r="C267" s="1272">
        <v>0.14199999999999999</v>
      </c>
      <c r="D267" s="1272">
        <v>0.14299999999999999</v>
      </c>
      <c r="E267" s="1272">
        <v>0.15</v>
      </c>
      <c r="F267" s="1280"/>
    </row>
    <row r="268" spans="1:6">
      <c r="A268" s="1267" t="s">
        <v>307</v>
      </c>
      <c r="B268" s="1271" t="s">
        <v>1832</v>
      </c>
      <c r="C268" s="1272">
        <v>0.15</v>
      </c>
      <c r="D268" s="1272">
        <v>0.15</v>
      </c>
      <c r="E268" s="1272">
        <v>0.15</v>
      </c>
      <c r="F268" s="1273">
        <v>0.13</v>
      </c>
    </row>
    <row r="269" spans="1:6">
      <c r="A269" s="1267" t="s">
        <v>307</v>
      </c>
      <c r="B269" s="1271" t="s">
        <v>1839</v>
      </c>
      <c r="C269" s="1272">
        <v>0.15</v>
      </c>
      <c r="D269" s="1272">
        <v>0.15</v>
      </c>
      <c r="E269" s="1272">
        <v>0.15</v>
      </c>
      <c r="F269" s="1273">
        <v>0.14299999999999999</v>
      </c>
    </row>
    <row r="270" spans="1:6">
      <c r="A270" s="1267" t="s">
        <v>307</v>
      </c>
      <c r="B270" s="1271" t="s">
        <v>1846</v>
      </c>
      <c r="C270" s="1272">
        <v>0.14499999999999999</v>
      </c>
      <c r="D270" s="1272">
        <v>0.14499999999999999</v>
      </c>
      <c r="E270" s="1272">
        <v>0.15</v>
      </c>
      <c r="F270" s="1273">
        <v>0.14699999999999999</v>
      </c>
    </row>
    <row r="271" spans="1:6">
      <c r="A271" s="1267" t="s">
        <v>307</v>
      </c>
      <c r="B271" s="1271" t="s">
        <v>1853</v>
      </c>
      <c r="C271" s="1272">
        <v>0.15</v>
      </c>
      <c r="D271" s="1272">
        <v>0.15</v>
      </c>
      <c r="E271" s="1272">
        <v>0.15</v>
      </c>
      <c r="F271" s="1273">
        <v>0.13800000000000001</v>
      </c>
    </row>
    <row r="272" spans="1:6">
      <c r="A272" s="1267" t="s">
        <v>307</v>
      </c>
      <c r="B272" s="1271" t="s">
        <v>1858</v>
      </c>
      <c r="C272" s="1281"/>
      <c r="D272" s="1281"/>
      <c r="E272" s="1281"/>
      <c r="F272" s="1273">
        <v>0.14000000000000001</v>
      </c>
    </row>
    <row r="273" spans="1:6">
      <c r="A273" s="1267" t="s">
        <v>307</v>
      </c>
      <c r="B273" s="1271" t="s">
        <v>1863</v>
      </c>
      <c r="C273" s="1272">
        <v>0.14199999999999999</v>
      </c>
      <c r="D273" s="1272">
        <v>0.14299999999999999</v>
      </c>
      <c r="E273" s="1272">
        <v>0.15</v>
      </c>
      <c r="F273" s="1273">
        <v>0.1</v>
      </c>
    </row>
    <row r="274" spans="1:6">
      <c r="A274" s="1267" t="s">
        <v>307</v>
      </c>
      <c r="B274" s="1271" t="s">
        <v>1868</v>
      </c>
      <c r="C274" s="1272">
        <v>0.14799999999999999</v>
      </c>
      <c r="D274" s="1272">
        <v>0.14799999999999999</v>
      </c>
      <c r="E274" s="1272">
        <v>0.15</v>
      </c>
      <c r="F274" s="1273">
        <v>6.7000000000000004E-2</v>
      </c>
    </row>
    <row r="275" spans="1:6">
      <c r="A275" s="1267" t="s">
        <v>307</v>
      </c>
      <c r="B275" s="1271" t="s">
        <v>1873</v>
      </c>
      <c r="C275" s="1272">
        <v>0.15</v>
      </c>
      <c r="D275" s="1272">
        <v>0.15</v>
      </c>
      <c r="E275" s="1272">
        <v>0.15</v>
      </c>
      <c r="F275" s="1273">
        <v>0.15</v>
      </c>
    </row>
    <row r="276" spans="1:6">
      <c r="A276" s="1267" t="s">
        <v>307</v>
      </c>
      <c r="B276" s="1271" t="s">
        <v>1878</v>
      </c>
      <c r="C276" s="1272">
        <v>0.14499999999999999</v>
      </c>
      <c r="D276" s="1272">
        <v>0.14299999999999999</v>
      </c>
      <c r="E276" s="1272">
        <v>0.15</v>
      </c>
      <c r="F276" s="1273">
        <v>5.8999999999999997E-2</v>
      </c>
    </row>
    <row r="277" spans="1:6">
      <c r="A277" s="1267" t="s">
        <v>307</v>
      </c>
      <c r="B277" s="1271" t="s">
        <v>1883</v>
      </c>
      <c r="C277" s="1272">
        <v>0.15</v>
      </c>
      <c r="D277" s="1272">
        <v>0.15</v>
      </c>
      <c r="E277" s="1272">
        <v>0.15</v>
      </c>
      <c r="F277" s="1273">
        <v>0.121</v>
      </c>
    </row>
    <row r="278" spans="1:6">
      <c r="A278" s="1267" t="s">
        <v>307</v>
      </c>
      <c r="B278" s="1271" t="s">
        <v>1888</v>
      </c>
      <c r="C278" s="1272">
        <v>0.15</v>
      </c>
      <c r="D278" s="1272">
        <v>0.15</v>
      </c>
      <c r="E278" s="1272">
        <v>0.15</v>
      </c>
      <c r="F278" s="1273">
        <v>0.13800000000000001</v>
      </c>
    </row>
    <row r="279" spans="1:6" ht="24">
      <c r="A279" s="1267" t="s">
        <v>307</v>
      </c>
      <c r="B279" s="1271" t="s">
        <v>1892</v>
      </c>
      <c r="C279" s="1281"/>
      <c r="D279" s="1281"/>
      <c r="E279" s="1281"/>
      <c r="F279" s="1273">
        <v>0.05</v>
      </c>
    </row>
    <row r="280" spans="1:6" ht="24">
      <c r="A280" s="1267" t="s">
        <v>307</v>
      </c>
      <c r="B280" s="1271" t="s">
        <v>1896</v>
      </c>
      <c r="C280" s="1281"/>
      <c r="D280" s="1281"/>
      <c r="E280" s="1281"/>
      <c r="F280" s="1273">
        <v>0.05</v>
      </c>
    </row>
    <row r="281" spans="1:6" ht="24">
      <c r="A281" s="1267" t="s">
        <v>307</v>
      </c>
      <c r="B281" s="1271" t="s">
        <v>1900</v>
      </c>
      <c r="C281" s="1281"/>
      <c r="D281" s="1281"/>
      <c r="E281" s="1281"/>
      <c r="F281" s="1273">
        <v>0.05</v>
      </c>
    </row>
    <row r="282" spans="1:6" ht="24">
      <c r="A282" s="1267" t="s">
        <v>307</v>
      </c>
      <c r="B282" s="1271" t="s">
        <v>1904</v>
      </c>
      <c r="C282" s="1281"/>
      <c r="D282" s="1281"/>
      <c r="E282" s="1281"/>
      <c r="F282" s="1273">
        <v>0.05</v>
      </c>
    </row>
    <row r="283" spans="1:6" ht="24">
      <c r="A283" s="1267" t="s">
        <v>307</v>
      </c>
      <c r="B283" s="1271" t="s">
        <v>1908</v>
      </c>
      <c r="C283" s="1281"/>
      <c r="D283" s="1281"/>
      <c r="E283" s="1281"/>
      <c r="F283" s="1273">
        <v>0.05</v>
      </c>
    </row>
    <row r="284" spans="1:6" ht="24">
      <c r="A284" s="1267" t="s">
        <v>307</v>
      </c>
      <c r="B284" s="1271" t="s">
        <v>1911</v>
      </c>
      <c r="C284" s="1281"/>
      <c r="D284" s="1281"/>
      <c r="E284" s="1281"/>
      <c r="F284" s="1273">
        <v>0.05</v>
      </c>
    </row>
    <row r="285" spans="1:6" ht="24">
      <c r="A285" s="1267" t="s">
        <v>307</v>
      </c>
      <c r="B285" s="1271" t="s">
        <v>1914</v>
      </c>
      <c r="C285" s="1281"/>
      <c r="D285" s="1281"/>
      <c r="E285" s="1281"/>
      <c r="F285" s="1273">
        <v>0.05</v>
      </c>
    </row>
    <row r="286" spans="1:6" ht="24">
      <c r="A286" s="1267" t="s">
        <v>307</v>
      </c>
      <c r="B286" s="1271" t="s">
        <v>1917</v>
      </c>
      <c r="C286" s="1281"/>
      <c r="D286" s="1281"/>
      <c r="E286" s="1281"/>
      <c r="F286" s="1273">
        <v>0.05</v>
      </c>
    </row>
    <row r="287" spans="1:6" ht="24">
      <c r="A287" s="1267" t="s">
        <v>307</v>
      </c>
      <c r="B287" s="1271" t="s">
        <v>1920</v>
      </c>
      <c r="C287" s="1281"/>
      <c r="D287" s="1281"/>
      <c r="E287" s="1281"/>
      <c r="F287" s="1273">
        <v>0.05</v>
      </c>
    </row>
    <row r="288" spans="1:6" ht="24">
      <c r="A288" s="1267" t="s">
        <v>307</v>
      </c>
      <c r="B288" s="1271" t="s">
        <v>1923</v>
      </c>
      <c r="C288" s="1281"/>
      <c r="D288" s="1281"/>
      <c r="E288" s="1281"/>
      <c r="F288" s="1273">
        <v>0.05</v>
      </c>
    </row>
    <row r="289" spans="1:6" ht="24">
      <c r="A289" s="1275" t="s">
        <v>307</v>
      </c>
      <c r="B289" s="1282" t="s">
        <v>1926</v>
      </c>
      <c r="C289" s="1278"/>
      <c r="D289" s="1278"/>
      <c r="E289" s="1278"/>
      <c r="F289" s="1283">
        <v>0.05</v>
      </c>
    </row>
    <row r="290" spans="1:6">
      <c r="A290" s="1267" t="s">
        <v>310</v>
      </c>
      <c r="B290" s="1268" t="s">
        <v>1601</v>
      </c>
      <c r="C290" s="1269">
        <v>0.15</v>
      </c>
      <c r="D290" s="1269">
        <v>0.15</v>
      </c>
      <c r="E290" s="1269">
        <v>0.15</v>
      </c>
      <c r="F290" s="1291"/>
    </row>
    <row r="291" spans="1:6">
      <c r="A291" s="1267" t="s">
        <v>310</v>
      </c>
      <c r="B291" s="1271" t="s">
        <v>1614</v>
      </c>
      <c r="C291" s="1272">
        <v>0.15</v>
      </c>
      <c r="D291" s="1272">
        <v>0.15</v>
      </c>
      <c r="E291" s="1272">
        <v>0.15</v>
      </c>
      <c r="F291" s="1280"/>
    </row>
    <row r="292" spans="1:6">
      <c r="A292" s="1267" t="s">
        <v>310</v>
      </c>
      <c r="B292" s="1271" t="s">
        <v>1627</v>
      </c>
      <c r="C292" s="1272">
        <v>0.15</v>
      </c>
      <c r="D292" s="1272">
        <v>0.15</v>
      </c>
      <c r="E292" s="1272">
        <v>0.15</v>
      </c>
      <c r="F292" s="1273">
        <v>0.14699999999999999</v>
      </c>
    </row>
    <row r="293" spans="1:6">
      <c r="A293" s="1267" t="s">
        <v>310</v>
      </c>
      <c r="B293" s="1271" t="s">
        <v>1933</v>
      </c>
      <c r="C293" s="1281"/>
      <c r="D293" s="1281"/>
      <c r="E293" s="1281"/>
      <c r="F293" s="1273">
        <v>0.1</v>
      </c>
    </row>
    <row r="294" spans="1:6">
      <c r="A294" s="1267" t="s">
        <v>310</v>
      </c>
      <c r="B294" s="1271" t="s">
        <v>1639</v>
      </c>
      <c r="C294" s="1272">
        <v>0.15</v>
      </c>
      <c r="D294" s="1272">
        <v>0.15</v>
      </c>
      <c r="E294" s="1272">
        <v>0.15</v>
      </c>
      <c r="F294" s="1273">
        <v>0.15</v>
      </c>
    </row>
    <row r="295" spans="1:6">
      <c r="A295" s="1267" t="s">
        <v>310</v>
      </c>
      <c r="B295" s="1271" t="s">
        <v>1651</v>
      </c>
      <c r="C295" s="1272">
        <v>0.15</v>
      </c>
      <c r="D295" s="1272">
        <v>0.15</v>
      </c>
      <c r="E295" s="1272">
        <v>0.15</v>
      </c>
      <c r="F295" s="1273">
        <v>0.15</v>
      </c>
    </row>
    <row r="296" spans="1:6">
      <c r="A296" s="1267" t="s">
        <v>310</v>
      </c>
      <c r="B296" s="1271" t="s">
        <v>1662</v>
      </c>
      <c r="C296" s="1272">
        <v>0.15</v>
      </c>
      <c r="D296" s="1272">
        <v>0.15</v>
      </c>
      <c r="E296" s="1272">
        <v>0.15</v>
      </c>
      <c r="F296" s="1273">
        <v>0.15</v>
      </c>
    </row>
    <row r="297" spans="1:6">
      <c r="A297" s="1267" t="s">
        <v>310</v>
      </c>
      <c r="B297" s="1271" t="s">
        <v>1673</v>
      </c>
      <c r="C297" s="1272">
        <v>0.14799999999999999</v>
      </c>
      <c r="D297" s="1272">
        <v>0.14899999999999999</v>
      </c>
      <c r="E297" s="1272">
        <v>0.15</v>
      </c>
      <c r="F297" s="1273">
        <v>0.13700000000000001</v>
      </c>
    </row>
    <row r="298" spans="1:6">
      <c r="A298" s="1267" t="s">
        <v>310</v>
      </c>
      <c r="B298" s="1271" t="s">
        <v>1684</v>
      </c>
      <c r="C298" s="1272">
        <v>0.13400000000000001</v>
      </c>
      <c r="D298" s="1272">
        <v>0.13400000000000001</v>
      </c>
      <c r="E298" s="1272">
        <v>0.14499999999999999</v>
      </c>
      <c r="F298" s="1273">
        <v>0.14799999999999999</v>
      </c>
    </row>
    <row r="299" spans="1:6">
      <c r="A299" s="1267" t="s">
        <v>310</v>
      </c>
      <c r="B299" s="1271" t="s">
        <v>1694</v>
      </c>
      <c r="C299" s="1272">
        <v>0.15</v>
      </c>
      <c r="D299" s="1272">
        <v>0.15</v>
      </c>
      <c r="E299" s="1272">
        <v>0.15</v>
      </c>
      <c r="F299" s="1280"/>
    </row>
    <row r="300" spans="1:6">
      <c r="A300" s="1267" t="s">
        <v>310</v>
      </c>
      <c r="B300" s="1271" t="s">
        <v>1704</v>
      </c>
      <c r="C300" s="1272">
        <v>0.15</v>
      </c>
      <c r="D300" s="1272">
        <v>0.15</v>
      </c>
      <c r="E300" s="1272">
        <v>0.15</v>
      </c>
      <c r="F300" s="1273">
        <v>0.15</v>
      </c>
    </row>
    <row r="301" spans="1:6">
      <c r="A301" s="1267" t="s">
        <v>310</v>
      </c>
      <c r="B301" s="1271" t="s">
        <v>1714</v>
      </c>
      <c r="C301" s="1272">
        <v>0.15</v>
      </c>
      <c r="D301" s="1272">
        <v>0.15</v>
      </c>
      <c r="E301" s="1272">
        <v>0.15</v>
      </c>
      <c r="F301" s="1280"/>
    </row>
    <row r="302" spans="1:6">
      <c r="A302" s="1267" t="s">
        <v>310</v>
      </c>
      <c r="B302" s="1271" t="s">
        <v>1724</v>
      </c>
      <c r="C302" s="1272">
        <v>0.15</v>
      </c>
      <c r="D302" s="1272">
        <v>0.15</v>
      </c>
      <c r="E302" s="1272">
        <v>0.15</v>
      </c>
      <c r="F302" s="1273">
        <v>0.15</v>
      </c>
    </row>
    <row r="303" spans="1:6">
      <c r="A303" s="1267" t="s">
        <v>310</v>
      </c>
      <c r="B303" s="1271" t="s">
        <v>1734</v>
      </c>
      <c r="C303" s="1272">
        <v>0.15</v>
      </c>
      <c r="D303" s="1272">
        <v>0.15</v>
      </c>
      <c r="E303" s="1272">
        <v>0.15</v>
      </c>
      <c r="F303" s="1273">
        <v>0.15</v>
      </c>
    </row>
    <row r="304" spans="1:6">
      <c r="A304" s="1267" t="s">
        <v>310</v>
      </c>
      <c r="B304" s="1271" t="s">
        <v>1744</v>
      </c>
      <c r="C304" s="1272">
        <v>0.15</v>
      </c>
      <c r="D304" s="1272">
        <v>0.15</v>
      </c>
      <c r="E304" s="1272">
        <v>0.15</v>
      </c>
      <c r="F304" s="1280"/>
    </row>
    <row r="305" spans="1:6">
      <c r="A305" s="1267" t="s">
        <v>310</v>
      </c>
      <c r="B305" s="1271" t="s">
        <v>1754</v>
      </c>
      <c r="C305" s="1272">
        <v>0.15</v>
      </c>
      <c r="D305" s="1272">
        <v>0.15</v>
      </c>
      <c r="E305" s="1272">
        <v>0.15</v>
      </c>
      <c r="F305" s="1273">
        <v>0.14000000000000001</v>
      </c>
    </row>
    <row r="306" spans="1:6">
      <c r="A306" s="1267" t="s">
        <v>310</v>
      </c>
      <c r="B306" s="1271" t="s">
        <v>1764</v>
      </c>
      <c r="C306" s="1272">
        <v>0.15</v>
      </c>
      <c r="D306" s="1272">
        <v>0.15</v>
      </c>
      <c r="E306" s="1272">
        <v>0.15</v>
      </c>
      <c r="F306" s="1280"/>
    </row>
    <row r="307" spans="1:6">
      <c r="A307" s="1267" t="s">
        <v>310</v>
      </c>
      <c r="B307" s="1271" t="s">
        <v>1774</v>
      </c>
      <c r="C307" s="1272">
        <v>0.15</v>
      </c>
      <c r="D307" s="1272">
        <v>0.15</v>
      </c>
      <c r="E307" s="1272">
        <v>0.15</v>
      </c>
      <c r="F307" s="1273">
        <v>0.14299999999999999</v>
      </c>
    </row>
    <row r="308" spans="1:6">
      <c r="A308" s="1267" t="s">
        <v>310</v>
      </c>
      <c r="B308" s="1271" t="s">
        <v>1784</v>
      </c>
      <c r="C308" s="1272">
        <v>0.15</v>
      </c>
      <c r="D308" s="1272">
        <v>0.15</v>
      </c>
      <c r="E308" s="1272">
        <v>0.15</v>
      </c>
      <c r="F308" s="1273">
        <v>0.15</v>
      </c>
    </row>
    <row r="309" spans="1:6">
      <c r="A309" s="1267" t="s">
        <v>310</v>
      </c>
      <c r="B309" s="1271" t="s">
        <v>1794</v>
      </c>
      <c r="C309" s="1272">
        <v>0.15</v>
      </c>
      <c r="D309" s="1272">
        <v>0.15</v>
      </c>
      <c r="E309" s="1272">
        <v>0.15</v>
      </c>
      <c r="F309" s="1280"/>
    </row>
    <row r="310" spans="1:6">
      <c r="A310" s="1267" t="s">
        <v>310</v>
      </c>
      <c r="B310" s="1271" t="s">
        <v>1803</v>
      </c>
      <c r="C310" s="1272">
        <v>0.15</v>
      </c>
      <c r="D310" s="1272">
        <v>0.15</v>
      </c>
      <c r="E310" s="1272">
        <v>0.15</v>
      </c>
      <c r="F310" s="1273">
        <v>0.13700000000000001</v>
      </c>
    </row>
    <row r="311" spans="1:6">
      <c r="A311" s="1267" t="s">
        <v>310</v>
      </c>
      <c r="B311" s="1271" t="s">
        <v>1811</v>
      </c>
      <c r="C311" s="1272">
        <v>0.15</v>
      </c>
      <c r="D311" s="1272">
        <v>0.15</v>
      </c>
      <c r="E311" s="1272">
        <v>0.15</v>
      </c>
      <c r="F311" s="1273">
        <v>0.15</v>
      </c>
    </row>
    <row r="312" spans="1:6">
      <c r="A312" s="1267" t="s">
        <v>310</v>
      </c>
      <c r="B312" s="1271" t="s">
        <v>1819</v>
      </c>
      <c r="C312" s="1272">
        <v>0.15</v>
      </c>
      <c r="D312" s="1272">
        <v>0.15</v>
      </c>
      <c r="E312" s="1272">
        <v>0.15</v>
      </c>
      <c r="F312" s="1273">
        <v>0.1</v>
      </c>
    </row>
    <row r="313" spans="1:6">
      <c r="A313" s="1267" t="s">
        <v>310</v>
      </c>
      <c r="B313" s="1271" t="s">
        <v>1826</v>
      </c>
      <c r="C313" s="1272">
        <v>0.15</v>
      </c>
      <c r="D313" s="1272">
        <v>0.15</v>
      </c>
      <c r="E313" s="1272">
        <v>0.15</v>
      </c>
      <c r="F313" s="1273">
        <v>0.15</v>
      </c>
    </row>
    <row r="314" spans="1:6" ht="24">
      <c r="A314" s="1267" t="s">
        <v>310</v>
      </c>
      <c r="B314" s="1271" t="s">
        <v>1833</v>
      </c>
      <c r="C314" s="1281"/>
      <c r="D314" s="1281"/>
      <c r="E314" s="1281"/>
      <c r="F314" s="1273">
        <v>0.05</v>
      </c>
    </row>
    <row r="315" spans="1:6" ht="24">
      <c r="A315" s="1267" t="s">
        <v>310</v>
      </c>
      <c r="B315" s="1271" t="s">
        <v>1840</v>
      </c>
      <c r="C315" s="1281"/>
      <c r="D315" s="1281"/>
      <c r="E315" s="1281"/>
      <c r="F315" s="1273">
        <v>0.05</v>
      </c>
    </row>
    <row r="316" spans="1:6" ht="24">
      <c r="A316" s="1275" t="s">
        <v>310</v>
      </c>
      <c r="B316" s="1282" t="s">
        <v>1847</v>
      </c>
      <c r="C316" s="1278"/>
      <c r="D316" s="1278"/>
      <c r="E316" s="1278"/>
      <c r="F316" s="1283">
        <v>0.05</v>
      </c>
    </row>
    <row r="317" spans="1:6">
      <c r="A317" s="1267" t="s">
        <v>313</v>
      </c>
      <c r="B317" s="1268" t="s">
        <v>1602</v>
      </c>
      <c r="C317" s="1269">
        <v>0.15</v>
      </c>
      <c r="D317" s="1269">
        <v>0.15</v>
      </c>
      <c r="E317" s="1269">
        <v>0.15</v>
      </c>
      <c r="F317" s="1270">
        <v>0.15</v>
      </c>
    </row>
    <row r="318" spans="1:6">
      <c r="A318" s="1267" t="s">
        <v>313</v>
      </c>
      <c r="B318" s="1271" t="s">
        <v>1615</v>
      </c>
      <c r="C318" s="1272">
        <v>0.107</v>
      </c>
      <c r="D318" s="1272">
        <v>0.11</v>
      </c>
      <c r="E318" s="1272">
        <v>0.112</v>
      </c>
      <c r="F318" s="1280"/>
    </row>
    <row r="319" spans="1:6">
      <c r="A319" s="1267" t="s">
        <v>313</v>
      </c>
      <c r="B319" s="1271" t="s">
        <v>1628</v>
      </c>
      <c r="C319" s="1272">
        <v>0.15</v>
      </c>
      <c r="D319" s="1272">
        <v>0.15</v>
      </c>
      <c r="E319" s="1272">
        <v>0.15</v>
      </c>
      <c r="F319" s="1273">
        <v>0.15</v>
      </c>
    </row>
    <row r="320" spans="1:6">
      <c r="A320" s="1267" t="s">
        <v>313</v>
      </c>
      <c r="B320" s="1271" t="s">
        <v>1640</v>
      </c>
      <c r="C320" s="1272">
        <v>0.15</v>
      </c>
      <c r="D320" s="1272">
        <v>0.15</v>
      </c>
      <c r="E320" s="1272">
        <v>0.15</v>
      </c>
      <c r="F320" s="1280"/>
    </row>
    <row r="321" spans="1:6">
      <c r="A321" s="1267" t="s">
        <v>313</v>
      </c>
      <c r="B321" s="1271" t="s">
        <v>1652</v>
      </c>
      <c r="C321" s="1272">
        <v>0.15</v>
      </c>
      <c r="D321" s="1272">
        <v>0.15</v>
      </c>
      <c r="E321" s="1272">
        <v>0.15</v>
      </c>
      <c r="F321" s="1280"/>
    </row>
    <row r="322" spans="1:6">
      <c r="A322" s="1267" t="s">
        <v>313</v>
      </c>
      <c r="B322" s="1271" t="s">
        <v>1663</v>
      </c>
      <c r="C322" s="1272">
        <v>0.15</v>
      </c>
      <c r="D322" s="1272">
        <v>0.15</v>
      </c>
      <c r="E322" s="1272">
        <v>0.15</v>
      </c>
      <c r="F322" s="1273">
        <v>0.15</v>
      </c>
    </row>
    <row r="323" spans="1:6">
      <c r="A323" s="1267" t="s">
        <v>313</v>
      </c>
      <c r="B323" s="1271" t="s">
        <v>1674</v>
      </c>
      <c r="C323" s="1272">
        <v>0.15</v>
      </c>
      <c r="D323" s="1272">
        <v>0.15</v>
      </c>
      <c r="E323" s="1272">
        <v>0.15</v>
      </c>
      <c r="F323" s="1280"/>
    </row>
    <row r="324" spans="1:6">
      <c r="A324" s="1267" t="s">
        <v>313</v>
      </c>
      <c r="B324" s="1271" t="s">
        <v>1685</v>
      </c>
      <c r="C324" s="1272">
        <v>0.15</v>
      </c>
      <c r="D324" s="1272">
        <v>0.15</v>
      </c>
      <c r="E324" s="1272">
        <v>0.15</v>
      </c>
      <c r="F324" s="1280"/>
    </row>
    <row r="325" spans="1:6">
      <c r="A325" s="1267" t="s">
        <v>313</v>
      </c>
      <c r="B325" s="1271" t="s">
        <v>1695</v>
      </c>
      <c r="C325" s="1272">
        <v>0.15</v>
      </c>
      <c r="D325" s="1272">
        <v>0.15</v>
      </c>
      <c r="E325" s="1272">
        <v>0.15</v>
      </c>
      <c r="F325" s="1273">
        <v>0.14699999999999999</v>
      </c>
    </row>
    <row r="326" spans="1:6">
      <c r="A326" s="1267" t="s">
        <v>313</v>
      </c>
      <c r="B326" s="1271" t="s">
        <v>1705</v>
      </c>
      <c r="C326" s="1272">
        <v>0.15</v>
      </c>
      <c r="D326" s="1272">
        <v>0.15</v>
      </c>
      <c r="E326" s="1272">
        <v>0.15</v>
      </c>
      <c r="F326" s="1280"/>
    </row>
    <row r="327" spans="1:6">
      <c r="A327" s="1267" t="s">
        <v>313</v>
      </c>
      <c r="B327" s="1271" t="s">
        <v>1715</v>
      </c>
      <c r="C327" s="1272">
        <v>0.15</v>
      </c>
      <c r="D327" s="1272">
        <v>0.15</v>
      </c>
      <c r="E327" s="1272">
        <v>0.15</v>
      </c>
      <c r="F327" s="1273">
        <v>0.15</v>
      </c>
    </row>
    <row r="328" spans="1:6">
      <c r="A328" s="1267" t="s">
        <v>313</v>
      </c>
      <c r="B328" s="1271" t="s">
        <v>1725</v>
      </c>
      <c r="C328" s="1272">
        <v>0.15</v>
      </c>
      <c r="D328" s="1272">
        <v>0.15</v>
      </c>
      <c r="E328" s="1272">
        <v>0.15</v>
      </c>
      <c r="F328" s="1273">
        <v>0.14099999999999999</v>
      </c>
    </row>
    <row r="329" spans="1:6">
      <c r="A329" s="1267" t="s">
        <v>313</v>
      </c>
      <c r="B329" s="1271" t="s">
        <v>1735</v>
      </c>
      <c r="C329" s="1272">
        <v>0.15</v>
      </c>
      <c r="D329" s="1272">
        <v>0.15</v>
      </c>
      <c r="E329" s="1272">
        <v>0.15</v>
      </c>
      <c r="F329" s="1273">
        <v>0.15</v>
      </c>
    </row>
    <row r="330" spans="1:6">
      <c r="A330" s="1267" t="s">
        <v>313</v>
      </c>
      <c r="B330" s="1271" t="s">
        <v>1745</v>
      </c>
      <c r="C330" s="1272">
        <v>0.15</v>
      </c>
      <c r="D330" s="1272">
        <v>0.15</v>
      </c>
      <c r="E330" s="1272">
        <v>0.15</v>
      </c>
      <c r="F330" s="1280"/>
    </row>
    <row r="331" spans="1:6">
      <c r="A331" s="1267" t="s">
        <v>313</v>
      </c>
      <c r="B331" s="1271" t="s">
        <v>1755</v>
      </c>
      <c r="C331" s="1272">
        <v>0.15</v>
      </c>
      <c r="D331" s="1272">
        <v>0.15</v>
      </c>
      <c r="E331" s="1272">
        <v>0.15</v>
      </c>
      <c r="F331" s="1273">
        <v>0.15</v>
      </c>
    </row>
    <row r="332" spans="1:6">
      <c r="A332" s="1267" t="s">
        <v>313</v>
      </c>
      <c r="B332" s="1271" t="s">
        <v>1765</v>
      </c>
      <c r="C332" s="1272">
        <v>0.15</v>
      </c>
      <c r="D332" s="1272">
        <v>0.15</v>
      </c>
      <c r="E332" s="1272">
        <v>0.15</v>
      </c>
      <c r="F332" s="1273">
        <v>0.15</v>
      </c>
    </row>
    <row r="333" spans="1:6">
      <c r="A333" s="1267" t="s">
        <v>313</v>
      </c>
      <c r="B333" s="1271" t="s">
        <v>1775</v>
      </c>
      <c r="C333" s="1272">
        <v>0.15</v>
      </c>
      <c r="D333" s="1272">
        <v>0.15</v>
      </c>
      <c r="E333" s="1272">
        <v>0.15</v>
      </c>
      <c r="F333" s="1273">
        <v>0.14099999999999999</v>
      </c>
    </row>
    <row r="334" spans="1:6">
      <c r="A334" s="1267" t="s">
        <v>313</v>
      </c>
      <c r="B334" s="1271" t="s">
        <v>1785</v>
      </c>
      <c r="C334" s="1272">
        <v>0.15</v>
      </c>
      <c r="D334" s="1272">
        <v>0.15</v>
      </c>
      <c r="E334" s="1272">
        <v>0.15</v>
      </c>
      <c r="F334" s="1273">
        <v>0.15</v>
      </c>
    </row>
    <row r="335" spans="1:6">
      <c r="A335" s="1267" t="s">
        <v>313</v>
      </c>
      <c r="B335" s="1271" t="s">
        <v>1795</v>
      </c>
      <c r="C335" s="1272">
        <v>0.15</v>
      </c>
      <c r="D335" s="1272">
        <v>0.15</v>
      </c>
      <c r="E335" s="1272">
        <v>0.15</v>
      </c>
      <c r="F335" s="1280"/>
    </row>
    <row r="336" spans="1:6">
      <c r="A336" s="1267" t="s">
        <v>313</v>
      </c>
      <c r="B336" s="1271" t="s">
        <v>1804</v>
      </c>
      <c r="C336" s="1272">
        <v>0.15</v>
      </c>
      <c r="D336" s="1272">
        <v>0.15</v>
      </c>
      <c r="E336" s="1272">
        <v>0.15</v>
      </c>
      <c r="F336" s="1273">
        <v>0.11799999999999999</v>
      </c>
    </row>
    <row r="337" spans="1:6">
      <c r="A337" s="1275" t="s">
        <v>313</v>
      </c>
      <c r="B337" s="1282" t="s">
        <v>1812</v>
      </c>
      <c r="C337" s="1278"/>
      <c r="D337" s="1278"/>
      <c r="E337" s="1278"/>
      <c r="F337" s="1283">
        <v>0.14299999999999999</v>
      </c>
    </row>
    <row r="338" spans="1:6">
      <c r="A338" s="1267" t="s">
        <v>316</v>
      </c>
      <c r="B338" s="1268" t="s">
        <v>1603</v>
      </c>
      <c r="C338" s="1269">
        <v>0.15</v>
      </c>
      <c r="D338" s="1269">
        <v>0.15</v>
      </c>
      <c r="E338" s="1269">
        <v>0.15</v>
      </c>
      <c r="F338" s="1291"/>
    </row>
    <row r="339" spans="1:6">
      <c r="A339" s="1267" t="s">
        <v>316</v>
      </c>
      <c r="B339" s="1271" t="s">
        <v>1616</v>
      </c>
      <c r="C339" s="1272">
        <v>0.15</v>
      </c>
      <c r="D339" s="1272">
        <v>0.15</v>
      </c>
      <c r="E339" s="1272">
        <v>0.15</v>
      </c>
      <c r="F339" s="1280"/>
    </row>
    <row r="340" spans="1:6">
      <c r="A340" s="1267" t="s">
        <v>316</v>
      </c>
      <c r="B340" s="1271" t="s">
        <v>1629</v>
      </c>
      <c r="C340" s="1272">
        <v>0.15</v>
      </c>
      <c r="D340" s="1272">
        <v>0.15</v>
      </c>
      <c r="E340" s="1272">
        <v>0.15</v>
      </c>
      <c r="F340" s="1280"/>
    </row>
    <row r="341" spans="1:6">
      <c r="A341" s="1267" t="s">
        <v>316</v>
      </c>
      <c r="B341" s="1271" t="s">
        <v>1641</v>
      </c>
      <c r="C341" s="1272">
        <v>0.15</v>
      </c>
      <c r="D341" s="1272">
        <v>0.15</v>
      </c>
      <c r="E341" s="1272">
        <v>0.15</v>
      </c>
      <c r="F341" s="1273">
        <v>0.15</v>
      </c>
    </row>
    <row r="342" spans="1:6">
      <c r="A342" s="1267" t="s">
        <v>316</v>
      </c>
      <c r="B342" s="1271" t="s">
        <v>1653</v>
      </c>
      <c r="C342" s="1272">
        <v>0.15</v>
      </c>
      <c r="D342" s="1272">
        <v>0.15</v>
      </c>
      <c r="E342" s="1272">
        <v>0.15</v>
      </c>
      <c r="F342" s="1273">
        <v>0.15</v>
      </c>
    </row>
    <row r="343" spans="1:6">
      <c r="A343" s="1267" t="s">
        <v>316</v>
      </c>
      <c r="B343" s="1271" t="s">
        <v>1664</v>
      </c>
      <c r="C343" s="1272">
        <v>0.15</v>
      </c>
      <c r="D343" s="1272">
        <v>0.15</v>
      </c>
      <c r="E343" s="1272">
        <v>0.15</v>
      </c>
      <c r="F343" s="1273">
        <v>0.15</v>
      </c>
    </row>
    <row r="344" spans="1:6">
      <c r="A344" s="1275" t="s">
        <v>316</v>
      </c>
      <c r="B344" s="1282" t="s">
        <v>1675</v>
      </c>
      <c r="C344" s="1277">
        <v>0.15</v>
      </c>
      <c r="D344" s="1277">
        <v>0.15</v>
      </c>
      <c r="E344" s="1277">
        <v>0.15</v>
      </c>
      <c r="F344" s="1283">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37" t="s">
        <v>1940</v>
      </c>
      <c r="C1" s="3437"/>
      <c r="D1" s="3437"/>
      <c r="E1" s="3437"/>
      <c r="F1" s="3437"/>
      <c r="G1" s="3434" t="s">
        <v>1941</v>
      </c>
      <c r="H1" s="3434"/>
      <c r="I1" s="3434"/>
      <c r="J1" s="3434"/>
      <c r="K1" s="3434"/>
      <c r="L1" s="3434"/>
      <c r="N1" s="3434" t="s">
        <v>1942</v>
      </c>
      <c r="O1" s="3434"/>
      <c r="P1" s="3434"/>
      <c r="Q1" s="3434"/>
      <c r="R1" s="1130"/>
      <c r="S1" s="3434" t="s">
        <v>1943</v>
      </c>
      <c r="T1" s="3434"/>
      <c r="U1" s="3434"/>
      <c r="V1" s="3434"/>
      <c r="X1" s="3433" t="s">
        <v>1944</v>
      </c>
      <c r="Y1" s="3434"/>
      <c r="Z1" s="3434"/>
      <c r="AA1" s="3434"/>
      <c r="AB1" s="3434"/>
      <c r="AD1" s="3433" t="s">
        <v>1945</v>
      </c>
      <c r="AE1" s="3434"/>
      <c r="AF1" s="3434"/>
      <c r="AG1" s="3434"/>
      <c r="AH1" s="3434"/>
    </row>
    <row r="2" spans="1:34" s="1120" customFormat="1" ht="13.5">
      <c r="B2" s="1131" t="s">
        <v>1001</v>
      </c>
      <c r="C2" s="1131" t="s">
        <v>1946</v>
      </c>
      <c r="D2" s="1132" t="s">
        <v>374</v>
      </c>
      <c r="E2" s="1132" t="s">
        <v>372</v>
      </c>
      <c r="F2" s="1131" t="s">
        <v>1947</v>
      </c>
      <c r="G2" s="1133"/>
      <c r="H2" s="1134"/>
      <c r="I2" s="1131" t="s">
        <v>1001</v>
      </c>
      <c r="J2" s="1132" t="s">
        <v>1948</v>
      </c>
      <c r="K2" s="1132" t="s">
        <v>372</v>
      </c>
      <c r="L2" s="1131" t="s">
        <v>1947</v>
      </c>
      <c r="N2" s="1131" t="s">
        <v>1001</v>
      </c>
      <c r="O2" s="1132" t="s">
        <v>1948</v>
      </c>
      <c r="P2" s="1132" t="s">
        <v>372</v>
      </c>
      <c r="Q2" s="1131" t="s">
        <v>1947</v>
      </c>
      <c r="R2" s="1204"/>
      <c r="S2" s="1131" t="s">
        <v>1001</v>
      </c>
      <c r="T2" s="1132" t="s">
        <v>1948</v>
      </c>
      <c r="U2" s="1132" t="s">
        <v>372</v>
      </c>
      <c r="V2" s="1131" t="s">
        <v>1947</v>
      </c>
      <c r="X2" s="1131" t="s">
        <v>1001</v>
      </c>
      <c r="Y2" s="1131" t="s">
        <v>1946</v>
      </c>
      <c r="Z2" s="1132" t="s">
        <v>374</v>
      </c>
      <c r="AA2" s="1132" t="s">
        <v>372</v>
      </c>
      <c r="AB2" s="1131" t="s">
        <v>1947</v>
      </c>
      <c r="AD2" s="1131" t="s">
        <v>1001</v>
      </c>
      <c r="AE2" s="1131" t="s">
        <v>1946</v>
      </c>
      <c r="AF2" s="1132" t="s">
        <v>374</v>
      </c>
      <c r="AG2" s="1132" t="s">
        <v>372</v>
      </c>
      <c r="AH2" s="1131" t="s">
        <v>1947</v>
      </c>
    </row>
    <row r="3" spans="1:34" s="1121" customFormat="1" ht="14.25">
      <c r="A3" s="1135" t="s">
        <v>1949</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1950</v>
      </c>
      <c r="B5" s="1145">
        <f t="shared" ref="B5" si="2">B6*(1+N5)</f>
        <v>477.19997390765138</v>
      </c>
      <c r="C5" s="1145">
        <f t="shared" ref="C5" si="3">C6*(1+O5)</f>
        <v>351.84874729536665</v>
      </c>
      <c r="D5" s="1145">
        <f t="shared" ref="D5" si="4">C5</f>
        <v>351.84874729536665</v>
      </c>
      <c r="E5" s="1145">
        <f t="shared" ref="E5" si="5">E6*(1+P5)</f>
        <v>682.29768951465201</v>
      </c>
      <c r="F5" s="1145">
        <f t="shared" ref="F5" si="6">F6*(1+Q5)</f>
        <v>315.26985675409043</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1951</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1952</v>
      </c>
      <c r="B6" s="1148">
        <f t="shared" ref="B6" si="13">B7*(1+N6)</f>
        <v>477.19997390765138</v>
      </c>
      <c r="C6" s="1148">
        <f t="shared" ref="C6" si="14">C7*(1+O6)</f>
        <v>351.84874729536665</v>
      </c>
      <c r="D6" s="1148">
        <f t="shared" ref="D6" si="15">C6</f>
        <v>351.84874729536665</v>
      </c>
      <c r="E6" s="1148">
        <f t="shared" ref="E6" si="16">E7*(1+P6)</f>
        <v>682.29768951465201</v>
      </c>
      <c r="F6" s="1148">
        <f t="shared" ref="F6" si="17">F7*(1+Q6)</f>
        <v>315.26985675409043</v>
      </c>
      <c r="G6" s="1142">
        <v>2019</v>
      </c>
      <c r="H6" s="1149">
        <v>3</v>
      </c>
      <c r="I6" s="1149">
        <v>0.61</v>
      </c>
      <c r="J6" s="1149">
        <v>0.67</v>
      </c>
      <c r="K6" s="1149">
        <v>0.6</v>
      </c>
      <c r="L6" s="1179">
        <v>1.03</v>
      </c>
      <c r="M6" s="1128"/>
      <c r="N6" s="1180">
        <f t="shared" ref="N6" si="18">I6/100</f>
        <v>6.0999999999999995E-3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1953</v>
      </c>
      <c r="B7" s="1148">
        <f t="shared" ref="B7:B12" si="24">B8*(1+N7)</f>
        <v>474.30670301923408</v>
      </c>
      <c r="C7" s="1148">
        <f t="shared" ref="C7" si="25">C8*(1+O7)</f>
        <v>349.50705005996491</v>
      </c>
      <c r="D7" s="1148">
        <f t="shared" ref="D7" si="26">C7</f>
        <v>349.50705005996491</v>
      </c>
      <c r="E7" s="1148">
        <f t="shared" ref="E7" si="27">E8*(1+P7)</f>
        <v>678.22831959706957</v>
      </c>
      <c r="F7" s="1148">
        <f t="shared" ref="F7" si="28">F8*(1+Q7)</f>
        <v>312.0556832169558</v>
      </c>
      <c r="G7" s="1142">
        <v>2019</v>
      </c>
      <c r="H7" s="1150">
        <v>2</v>
      </c>
      <c r="I7" s="1150">
        <v>1.53</v>
      </c>
      <c r="J7" s="1150">
        <v>1.01</v>
      </c>
      <c r="K7" s="1150">
        <v>1.62</v>
      </c>
      <c r="L7" s="1182">
        <v>1.25</v>
      </c>
      <c r="M7" s="1128"/>
      <c r="N7" s="1180">
        <f t="shared" ref="N7" si="29">I7/100</f>
        <v>1.5300000000000001E-2</v>
      </c>
      <c r="O7" s="1181">
        <f t="shared" ref="O7" si="30">J7/100</f>
        <v>1.01E-2</v>
      </c>
      <c r="P7" s="1181">
        <f t="shared" ref="P7" si="31">K7/100</f>
        <v>1.6200000000000003E-2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1954</v>
      </c>
      <c r="B8" s="1148">
        <f t="shared" si="24"/>
        <v>467.15916775261894</v>
      </c>
      <c r="C8" s="1148">
        <f t="shared" ref="C8" si="35">C9*(1+O8)</f>
        <v>346.01232557169084</v>
      </c>
      <c r="D8" s="1148">
        <f t="shared" ref="D8" si="36">C8</f>
        <v>346.01232557169084</v>
      </c>
      <c r="E8" s="1148">
        <f t="shared" ref="E8" si="37">E9*(1+P8)</f>
        <v>667.41617752122568</v>
      </c>
      <c r="F8" s="1148">
        <f t="shared" ref="F8" si="38">F9*(1+Q8)</f>
        <v>308.20314391798104</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6.0000000000000053E-3</v>
      </c>
      <c r="T8" s="1188">
        <f>C8/C9-1</f>
        <v>3.7000000000000366E-3</v>
      </c>
      <c r="U8" s="1188">
        <f>E8/E9-1</f>
        <v>6.2999999999999723E-3</v>
      </c>
      <c r="V8" s="1188">
        <f>F8/F9-1</f>
        <v>1.1300000000000088E-2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1955</v>
      </c>
      <c r="B9" s="1151">
        <f t="shared" si="24"/>
        <v>464.37293017158942</v>
      </c>
      <c r="C9" s="1151">
        <f t="shared" ref="C9" si="45">C10*(1+O9)</f>
        <v>344.73679941385956</v>
      </c>
      <c r="D9" s="1151">
        <f t="shared" ref="D9" si="46">C9</f>
        <v>344.73679941385956</v>
      </c>
      <c r="E9" s="1151">
        <f t="shared" ref="E9" si="47">E10*(1+P9)</f>
        <v>663.2377795103107</v>
      </c>
      <c r="F9" s="1152">
        <f t="shared" ref="F9" si="48">F10*(1+Q9)</f>
        <v>304.75936311478398</v>
      </c>
      <c r="G9" s="3428">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1956</v>
      </c>
      <c r="B10" s="1148">
        <f t="shared" si="24"/>
        <v>459.95733971036987</v>
      </c>
      <c r="C10" s="1148">
        <f t="shared" ref="C10" si="55">C11*(1+O10)</f>
        <v>341.22221064422405</v>
      </c>
      <c r="D10" s="1148">
        <f t="shared" ref="D10" si="56">C10</f>
        <v>341.22221064422405</v>
      </c>
      <c r="E10" s="1148">
        <f t="shared" ref="E10" si="57">E11*(1+P10)</f>
        <v>657.19161663724799</v>
      </c>
      <c r="F10" s="1148">
        <f t="shared" ref="F10" si="58">F11*(1+Q10)</f>
        <v>300.87803644464805</v>
      </c>
      <c r="G10" s="3428"/>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1957</v>
      </c>
      <c r="B11" s="1148">
        <f t="shared" si="24"/>
        <v>453.11529869999993</v>
      </c>
      <c r="C11" s="1148">
        <f t="shared" ref="C11" si="65">C12*(1+O11)</f>
        <v>336.47787264000004</v>
      </c>
      <c r="D11" s="1148">
        <f t="shared" ref="D11" si="66">C11</f>
        <v>336.47787264000004</v>
      </c>
      <c r="E11" s="1148">
        <f t="shared" ref="E11" si="67">E12*(1+P11)</f>
        <v>647.35186823999993</v>
      </c>
      <c r="F11" s="1148">
        <f t="shared" ref="F11" si="68">F12*(1+Q11)</f>
        <v>295.73229452000004</v>
      </c>
      <c r="G11" s="3428"/>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2.4399999999999998E-2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1958</v>
      </c>
      <c r="B12" s="1148">
        <f t="shared" si="24"/>
        <v>446.46299999999997</v>
      </c>
      <c r="C12" s="1148">
        <f t="shared" ref="C12" si="75">C13*(1+O12)</f>
        <v>333.27840000000003</v>
      </c>
      <c r="D12" s="1148">
        <f t="shared" ref="D12:D17" si="76">C12</f>
        <v>333.27840000000003</v>
      </c>
      <c r="E12" s="1148">
        <f t="shared" ref="E12" si="77">E13*(1+P12)</f>
        <v>637.28279999999995</v>
      </c>
      <c r="F12" s="1148">
        <f t="shared" ref="F12" si="78">F13*(1+Q12)</f>
        <v>288.68830000000003</v>
      </c>
      <c r="G12" s="3435"/>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1.6399999999999998E-2</v>
      </c>
      <c r="Q12" s="1181">
        <f t="shared" ref="Q12" si="82">L12/100</f>
        <v>2.0099999999999996E-2</v>
      </c>
      <c r="R12" s="1213"/>
      <c r="S12" s="1187">
        <f>B12/B13-1</f>
        <v>1.6999999999999904E-2</v>
      </c>
      <c r="T12" s="1188">
        <f>C12/C13-1</f>
        <v>1.9200000000000106E-2</v>
      </c>
      <c r="U12" s="1188">
        <f>E12/E13-1</f>
        <v>1.639999999999997E-2</v>
      </c>
      <c r="V12" s="1188">
        <f>F12/F13-1</f>
        <v>2.0100000000000007E-2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1959</v>
      </c>
      <c r="B13" s="1154">
        <v>439</v>
      </c>
      <c r="C13" s="1154">
        <v>327</v>
      </c>
      <c r="D13" s="1154">
        <f t="shared" si="76"/>
        <v>327</v>
      </c>
      <c r="E13" s="1154">
        <v>627</v>
      </c>
      <c r="F13" s="1155">
        <v>283</v>
      </c>
      <c r="G13" s="3436">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1960</v>
      </c>
      <c r="B14" s="1148">
        <f t="shared" ref="B14:C16" si="88">B15*(1+N14)</f>
        <v>431.80730811680002</v>
      </c>
      <c r="C14" s="1148">
        <f t="shared" si="88"/>
        <v>320.57880516480003</v>
      </c>
      <c r="D14" s="1148">
        <f t="shared" si="76"/>
        <v>320.57880516480003</v>
      </c>
      <c r="E14" s="1148">
        <f t="shared" ref="E14:F16" si="89">E15*(1+P14)</f>
        <v>615.96110553196797</v>
      </c>
      <c r="F14" s="1148">
        <f t="shared" si="89"/>
        <v>279.46777300108801</v>
      </c>
      <c r="G14" s="3428"/>
      <c r="H14" s="1149">
        <v>3</v>
      </c>
      <c r="I14" s="1149">
        <v>2.98</v>
      </c>
      <c r="J14" s="1149">
        <v>2.11</v>
      </c>
      <c r="K14" s="1149">
        <v>3.24</v>
      </c>
      <c r="L14" s="1179">
        <v>1.72</v>
      </c>
      <c r="M14" s="1128"/>
      <c r="N14" s="1180">
        <f t="shared" si="79"/>
        <v>2.98E-2</v>
      </c>
      <c r="O14" s="1186">
        <f t="shared" ref="O14:O15" si="90">J14/100</f>
        <v>2.1099999999999997E-2</v>
      </c>
      <c r="P14" s="1186">
        <f t="shared" ref="P14:P15" si="91">K14/100</f>
        <v>3.2400000000000005E-2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1961</v>
      </c>
      <c r="B15" s="1148">
        <f t="shared" si="88"/>
        <v>419.31181600000002</v>
      </c>
      <c r="C15" s="1148">
        <f t="shared" si="88"/>
        <v>313.95436800000004</v>
      </c>
      <c r="D15" s="1148">
        <f t="shared" si="76"/>
        <v>313.95436800000004</v>
      </c>
      <c r="E15" s="1148">
        <f t="shared" si="89"/>
        <v>596.63028431999999</v>
      </c>
      <c r="F15" s="1148">
        <f t="shared" si="89"/>
        <v>274.74220703999998</v>
      </c>
      <c r="G15" s="3428"/>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1962</v>
      </c>
      <c r="B16" s="1148">
        <f t="shared" si="88"/>
        <v>405.524</v>
      </c>
      <c r="C16" s="1148">
        <f t="shared" si="88"/>
        <v>307.79840000000002</v>
      </c>
      <c r="D16" s="1148">
        <f t="shared" si="76"/>
        <v>307.79840000000002</v>
      </c>
      <c r="E16" s="1148">
        <f t="shared" si="89"/>
        <v>574.67759999999998</v>
      </c>
      <c r="F16" s="1148">
        <f t="shared" si="89"/>
        <v>270.20280000000002</v>
      </c>
      <c r="G16" s="3435"/>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3.4499999999999975E-2</v>
      </c>
      <c r="T16" s="1188">
        <f>C16/C17-1</f>
        <v>1.9200000000000106E-2</v>
      </c>
      <c r="U16" s="1188">
        <f>E16/E17-1</f>
        <v>3.9199999999999902E-2</v>
      </c>
      <c r="V16" s="1188">
        <f>F16/F17-1</f>
        <v>1.5800000000000036E-2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1963</v>
      </c>
      <c r="B17" s="1156">
        <v>392</v>
      </c>
      <c r="C17" s="1156">
        <v>302</v>
      </c>
      <c r="D17" s="1156">
        <f t="shared" si="76"/>
        <v>302</v>
      </c>
      <c r="E17" s="1156">
        <v>553</v>
      </c>
      <c r="F17" s="1157">
        <v>266</v>
      </c>
      <c r="G17" s="3436">
        <v>2016</v>
      </c>
      <c r="H17" s="1150">
        <v>4</v>
      </c>
      <c r="I17" s="1150">
        <v>4.5599999999999996</v>
      </c>
      <c r="J17" s="1150">
        <v>2.15</v>
      </c>
      <c r="K17" s="1150">
        <v>5.32</v>
      </c>
      <c r="L17" s="1182">
        <v>1.57</v>
      </c>
      <c r="N17" s="1180">
        <f t="shared" si="79"/>
        <v>4.5599999999999995E-2</v>
      </c>
      <c r="O17" s="1181">
        <f t="shared" ref="O17:Q32" si="96">J17/100</f>
        <v>2.1499999999999998E-2</v>
      </c>
      <c r="P17" s="1181">
        <f t="shared" si="96"/>
        <v>5.3200000000000004E-2</v>
      </c>
      <c r="Q17" s="1181">
        <f t="shared" si="96"/>
        <v>1.5700000000000002E-2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1964</v>
      </c>
      <c r="B18" s="1148">
        <f t="shared" ref="B18:C20" si="97">B17/(1+N17)</f>
        <v>374.90436113236416</v>
      </c>
      <c r="C18" s="1148">
        <f t="shared" si="97"/>
        <v>295.64366128242779</v>
      </c>
      <c r="D18" s="1148">
        <f t="shared" ref="D18:D77" si="98">C18</f>
        <v>295.64366128242779</v>
      </c>
      <c r="E18" s="1148">
        <f t="shared" ref="E18:F20" si="99">E17/(1+P17)</f>
        <v>525.06646410938095</v>
      </c>
      <c r="F18" s="1148">
        <f t="shared" si="99"/>
        <v>261.88835286009646</v>
      </c>
      <c r="G18" s="3428"/>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1965</v>
      </c>
      <c r="B19" s="1148">
        <f t="shared" si="97"/>
        <v>360.06949782209392</v>
      </c>
      <c r="C19" s="1148">
        <f t="shared" si="97"/>
        <v>289.84672674747821</v>
      </c>
      <c r="D19" s="1148">
        <f t="shared" si="98"/>
        <v>289.84672674747821</v>
      </c>
      <c r="E19" s="1148">
        <f t="shared" si="99"/>
        <v>501.06543001181495</v>
      </c>
      <c r="F19" s="1148">
        <f t="shared" si="99"/>
        <v>256.82882500744967</v>
      </c>
      <c r="G19" s="3428"/>
      <c r="H19" s="1153">
        <v>2</v>
      </c>
      <c r="I19" s="1153">
        <v>3.85</v>
      </c>
      <c r="J19" s="1153">
        <v>1.95</v>
      </c>
      <c r="K19" s="1153">
        <v>4.4800000000000004</v>
      </c>
      <c r="L19" s="1183">
        <v>1.41</v>
      </c>
      <c r="N19" s="1180">
        <f t="shared" si="100"/>
        <v>3.85E-2</v>
      </c>
      <c r="O19" s="1181">
        <f t="shared" si="96"/>
        <v>1.95E-2</v>
      </c>
      <c r="P19" s="1181">
        <f t="shared" si="96"/>
        <v>4.4800000000000006E-2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1966</v>
      </c>
      <c r="B20" s="1148">
        <f t="shared" si="97"/>
        <v>346.720748986128</v>
      </c>
      <c r="C20" s="1148">
        <f t="shared" si="97"/>
        <v>284.30282172386285</v>
      </c>
      <c r="D20" s="1148">
        <f t="shared" si="98"/>
        <v>284.30282172386285</v>
      </c>
      <c r="E20" s="1148">
        <f t="shared" si="99"/>
        <v>479.58023546306947</v>
      </c>
      <c r="F20" s="1148">
        <f t="shared" si="99"/>
        <v>253.25788877571213</v>
      </c>
      <c r="G20" s="3429"/>
      <c r="H20" s="1149">
        <v>1</v>
      </c>
      <c r="I20" s="1149">
        <v>4.09</v>
      </c>
      <c r="J20" s="1149">
        <v>2.93</v>
      </c>
      <c r="K20" s="1149">
        <v>4.54</v>
      </c>
      <c r="L20" s="1179">
        <v>1.48</v>
      </c>
      <c r="N20" s="1180">
        <f t="shared" si="100"/>
        <v>4.0899999999999999E-2</v>
      </c>
      <c r="O20" s="1181">
        <f t="shared" si="96"/>
        <v>2.9300000000000003E-2</v>
      </c>
      <c r="P20" s="1181">
        <f t="shared" si="96"/>
        <v>4.5400000000000003E-2</v>
      </c>
      <c r="Q20" s="1181">
        <f t="shared" si="96"/>
        <v>1.4800000000000001E-2</v>
      </c>
      <c r="R20" s="1213"/>
      <c r="S20" s="1187">
        <f>B20/B21-1</f>
        <v>4.1203450408792808E-2</v>
      </c>
      <c r="T20" s="1188">
        <f>C20/C21-1</f>
        <v>2.6363977342465095E-2</v>
      </c>
      <c r="U20" s="1188">
        <f>E20/E21-1</f>
        <v>4.4837114298626357E-2</v>
      </c>
      <c r="V20" s="1188">
        <f>F20/F21-1</f>
        <v>1.7099954922538574E-2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1967</v>
      </c>
      <c r="B21" s="1156">
        <v>333</v>
      </c>
      <c r="C21" s="1156">
        <v>277</v>
      </c>
      <c r="D21" s="1156">
        <f t="shared" si="98"/>
        <v>277</v>
      </c>
      <c r="E21" s="1156">
        <v>459</v>
      </c>
      <c r="F21" s="1157">
        <v>249</v>
      </c>
      <c r="G21" s="3427">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1968</v>
      </c>
      <c r="B22" s="1148">
        <f t="shared" ref="B22:C24" si="101">B21/(1+N21)</f>
        <v>327.65915576109415</v>
      </c>
      <c r="C22" s="1148">
        <f t="shared" si="101"/>
        <v>273.95905449510434</v>
      </c>
      <c r="D22" s="1148">
        <f t="shared" si="98"/>
        <v>273.95905449510434</v>
      </c>
      <c r="E22" s="1148">
        <f t="shared" ref="E22:F24" si="102">E21/(1+P21)</f>
        <v>451.01699911565294</v>
      </c>
      <c r="F22" s="1148">
        <f t="shared" si="102"/>
        <v>244.38119540681129</v>
      </c>
      <c r="G22" s="3428"/>
      <c r="H22" s="1159">
        <v>3</v>
      </c>
      <c r="I22" s="1159">
        <v>1.65</v>
      </c>
      <c r="J22" s="1159">
        <v>0.92</v>
      </c>
      <c r="K22" s="1159">
        <v>1.88</v>
      </c>
      <c r="L22" s="1190">
        <v>1.26</v>
      </c>
      <c r="N22" s="1180">
        <f t="shared" si="100"/>
        <v>1.6500000000000001E-2</v>
      </c>
      <c r="O22" s="1186">
        <f t="shared" si="96"/>
        <v>9.1999999999999998E-3</v>
      </c>
      <c r="P22" s="1186">
        <f t="shared" si="96"/>
        <v>1.8799999999999997E-2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1969</v>
      </c>
      <c r="B23" s="1148">
        <f t="shared" si="101"/>
        <v>322.34053690220776</v>
      </c>
      <c r="C23" s="1148">
        <f t="shared" si="101"/>
        <v>271.46160770422546</v>
      </c>
      <c r="D23" s="1148">
        <f t="shared" si="98"/>
        <v>271.46160770422546</v>
      </c>
      <c r="E23" s="1148">
        <f t="shared" si="102"/>
        <v>442.69434542172456</v>
      </c>
      <c r="F23" s="1148">
        <f t="shared" si="102"/>
        <v>241.34030753190925</v>
      </c>
      <c r="G23" s="3428"/>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1970</v>
      </c>
      <c r="B24" s="1148">
        <f t="shared" si="101"/>
        <v>319.87748030386797</v>
      </c>
      <c r="C24" s="1148">
        <f t="shared" si="101"/>
        <v>269.60135833173649</v>
      </c>
      <c r="D24" s="1148">
        <f t="shared" si="98"/>
        <v>269.60135833173649</v>
      </c>
      <c r="E24" s="1148">
        <f t="shared" si="102"/>
        <v>439.18089823583784</v>
      </c>
      <c r="F24" s="1148">
        <f t="shared" si="102"/>
        <v>239.23503918706311</v>
      </c>
      <c r="G24" s="3429"/>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9.300000000000001E-3</v>
      </c>
      <c r="R24" s="1213"/>
      <c r="S24" s="1187">
        <f>B24/B25-1</f>
        <v>5.9040261127922822E-3</v>
      </c>
      <c r="T24" s="1188">
        <f>C24/C25-1</f>
        <v>5.9752176557332781E-3</v>
      </c>
      <c r="U24" s="1188">
        <f>E24/E25-1</f>
        <v>4.9906138119859556E-3</v>
      </c>
      <c r="V24" s="1188">
        <f>F24/F25-1</f>
        <v>9.4305450930933787E-3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1971</v>
      </c>
      <c r="B25" s="1160">
        <v>318</v>
      </c>
      <c r="C25" s="1160">
        <v>268</v>
      </c>
      <c r="D25" s="1160">
        <f t="shared" si="98"/>
        <v>268</v>
      </c>
      <c r="E25" s="1160">
        <v>437</v>
      </c>
      <c r="F25" s="1161">
        <v>237</v>
      </c>
      <c r="G25" s="3427">
        <v>2014</v>
      </c>
      <c r="H25" s="1158">
        <v>4</v>
      </c>
      <c r="I25" s="1158">
        <v>0.21</v>
      </c>
      <c r="J25" s="1158">
        <v>0.41</v>
      </c>
      <c r="K25" s="1158">
        <v>0.12</v>
      </c>
      <c r="L25" s="1189">
        <v>0.89</v>
      </c>
      <c r="N25" s="1180">
        <f t="shared" si="100"/>
        <v>2.0999999999999999E-3</v>
      </c>
      <c r="O25" s="1181">
        <f t="shared" si="96"/>
        <v>4.0999999999999995E-3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1972</v>
      </c>
      <c r="B26" s="1148">
        <f t="shared" ref="B26:C28" si="103">B25/(1+N25)</f>
        <v>317.33359944117353</v>
      </c>
      <c r="C26" s="1148">
        <f t="shared" si="103"/>
        <v>266.90568668459315</v>
      </c>
      <c r="D26" s="1148">
        <f t="shared" si="98"/>
        <v>266.90568668459315</v>
      </c>
      <c r="E26" s="1148">
        <f t="shared" ref="E26:F28" si="104">E25/(1+P25)</f>
        <v>436.47622852576905</v>
      </c>
      <c r="F26" s="1148">
        <f t="shared" si="104"/>
        <v>234.90930716622066</v>
      </c>
      <c r="G26" s="3428"/>
      <c r="H26" s="1162">
        <v>3</v>
      </c>
      <c r="I26" s="1162">
        <v>0.83</v>
      </c>
      <c r="J26" s="1162">
        <v>1.47</v>
      </c>
      <c r="K26" s="1162">
        <v>0.65</v>
      </c>
      <c r="L26" s="1191">
        <v>0.72</v>
      </c>
      <c r="N26" s="1180">
        <f t="shared" si="100"/>
        <v>8.3000000000000001E-3</v>
      </c>
      <c r="O26" s="1181">
        <f t="shared" si="96"/>
        <v>1.47E-2</v>
      </c>
      <c r="P26" s="1181">
        <f t="shared" si="96"/>
        <v>6.5000000000000006E-3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1973</v>
      </c>
      <c r="B27" s="1148">
        <f t="shared" si="103"/>
        <v>314.72141172386546</v>
      </c>
      <c r="C27" s="1148">
        <f t="shared" si="103"/>
        <v>263.03901319069001</v>
      </c>
      <c r="D27" s="1148">
        <f t="shared" si="98"/>
        <v>263.03901319069001</v>
      </c>
      <c r="E27" s="1148">
        <f t="shared" si="104"/>
        <v>433.65745506782821</v>
      </c>
      <c r="F27" s="1148">
        <f t="shared" si="104"/>
        <v>233.23005080045735</v>
      </c>
      <c r="G27" s="3428"/>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1974</v>
      </c>
      <c r="B28" s="1164">
        <f t="shared" si="103"/>
        <v>307.34512863658733</v>
      </c>
      <c r="C28" s="1164">
        <f t="shared" si="103"/>
        <v>257.80556031626975</v>
      </c>
      <c r="D28" s="1164">
        <f t="shared" si="98"/>
        <v>257.80556031626975</v>
      </c>
      <c r="E28" s="1164">
        <f t="shared" si="104"/>
        <v>422.70928459677179</v>
      </c>
      <c r="F28" s="1164">
        <f t="shared" si="104"/>
        <v>229.73803270336617</v>
      </c>
      <c r="G28" s="3429"/>
      <c r="H28" s="1165">
        <v>1</v>
      </c>
      <c r="I28" s="1165">
        <v>2.97</v>
      </c>
      <c r="J28" s="1165">
        <v>2.34</v>
      </c>
      <c r="K28" s="1165">
        <v>3.28</v>
      </c>
      <c r="L28" s="1192">
        <v>1.36</v>
      </c>
      <c r="N28" s="1193">
        <f t="shared" si="100"/>
        <v>2.9700000000000001E-2</v>
      </c>
      <c r="O28" s="1194">
        <f t="shared" si="96"/>
        <v>2.3399999999999997E-2</v>
      </c>
      <c r="P28" s="1194">
        <f t="shared" si="96"/>
        <v>3.2799999999999996E-2</v>
      </c>
      <c r="Q28" s="1194">
        <f t="shared" si="96"/>
        <v>1.3600000000000001E-2</v>
      </c>
      <c r="R28" s="1216"/>
      <c r="S28" s="1217">
        <f>B28/B29-1</f>
        <v>2.7910129219355539E-2</v>
      </c>
      <c r="T28" s="1218">
        <f>C28/C29-1</f>
        <v>2.3037937762975247E-2</v>
      </c>
      <c r="U28" s="1218">
        <f>E28/E29-1</f>
        <v>3.3519033243940788E-2</v>
      </c>
      <c r="V28" s="1218">
        <f>F28/F29-1</f>
        <v>1.2061818076502862E-2</v>
      </c>
      <c r="W28" s="1219" t="s">
        <v>1975</v>
      </c>
      <c r="X28" s="1220">
        <v>1</v>
      </c>
      <c r="Y28" s="1220">
        <v>1</v>
      </c>
      <c r="Z28" s="1220">
        <v>1</v>
      </c>
      <c r="AA28" s="1220">
        <v>1</v>
      </c>
      <c r="AB28" s="1220">
        <v>1</v>
      </c>
      <c r="AD28" s="1229">
        <f>I28/100</f>
        <v>2.9700000000000001E-2</v>
      </c>
      <c r="AE28" s="1229">
        <f>J28/100</f>
        <v>2.3399999999999997E-2</v>
      </c>
      <c r="AF28" s="1229">
        <f t="shared" si="106"/>
        <v>2.3399999999999997E-2</v>
      </c>
      <c r="AG28" s="1229">
        <f>K28/100</f>
        <v>3.2799999999999996E-2</v>
      </c>
      <c r="AH28" s="1229">
        <f>L28/100</f>
        <v>1.3600000000000001E-2</v>
      </c>
    </row>
    <row r="29" spans="1:34">
      <c r="A29" s="1147" t="s">
        <v>1976</v>
      </c>
      <c r="B29" s="1156">
        <v>299</v>
      </c>
      <c r="C29" s="1156">
        <v>252</v>
      </c>
      <c r="D29" s="1156">
        <f t="shared" si="98"/>
        <v>252</v>
      </c>
      <c r="E29" s="1156">
        <v>409</v>
      </c>
      <c r="F29" s="1157">
        <v>227</v>
      </c>
      <c r="G29" s="3430">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1977</v>
      </c>
      <c r="B30" s="1148">
        <f t="shared" ref="B30:C32" si="107">B29/(1+N29)</f>
        <v>293.62663262299913</v>
      </c>
      <c r="C30" s="1148">
        <f t="shared" si="107"/>
        <v>247.83634933123525</v>
      </c>
      <c r="D30" s="1148">
        <f t="shared" si="98"/>
        <v>247.83634933123525</v>
      </c>
      <c r="E30" s="1148">
        <f t="shared" ref="E30:F32" si="108">E29/(1+P29)</f>
        <v>401.09836226341076</v>
      </c>
      <c r="F30" s="1148">
        <f t="shared" si="108"/>
        <v>225.04213343908003</v>
      </c>
      <c r="G30" s="3431"/>
      <c r="H30" s="1159">
        <v>3</v>
      </c>
      <c r="I30" s="1159">
        <v>1.86</v>
      </c>
      <c r="J30" s="1159">
        <v>1.72</v>
      </c>
      <c r="K30" s="1159">
        <v>1.98</v>
      </c>
      <c r="L30" s="1190">
        <v>0.88</v>
      </c>
      <c r="N30" s="1180">
        <f t="shared" si="100"/>
        <v>1.8600000000000002E-2</v>
      </c>
      <c r="O30" s="1186">
        <f t="shared" si="96"/>
        <v>1.72E-2</v>
      </c>
      <c r="P30" s="1186">
        <f t="shared" si="96"/>
        <v>1.9799999999999998E-2</v>
      </c>
      <c r="Q30" s="1186">
        <f t="shared" si="96"/>
        <v>8.8000000000000005E-3</v>
      </c>
      <c r="R30" s="1213"/>
      <c r="S30" s="1180"/>
      <c r="T30" s="1181"/>
      <c r="U30" s="1181"/>
      <c r="V30" s="1181"/>
    </row>
    <row r="31" spans="1:34">
      <c r="A31" s="1147" t="s">
        <v>1978</v>
      </c>
      <c r="B31" s="1148">
        <f t="shared" si="107"/>
        <v>288.2649053828776</v>
      </c>
      <c r="C31" s="1148">
        <f t="shared" si="107"/>
        <v>243.64564425013293</v>
      </c>
      <c r="D31" s="1148">
        <f t="shared" si="98"/>
        <v>243.64564425013293</v>
      </c>
      <c r="E31" s="1148">
        <f t="shared" si="108"/>
        <v>393.31080825986544</v>
      </c>
      <c r="F31" s="1148">
        <f t="shared" si="108"/>
        <v>223.07903790551154</v>
      </c>
      <c r="G31" s="3431"/>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1979</v>
      </c>
      <c r="B32" s="1148">
        <f t="shared" si="107"/>
        <v>282.50186729015837</v>
      </c>
      <c r="C32" s="1148">
        <f t="shared" si="107"/>
        <v>238.09796174155468</v>
      </c>
      <c r="D32" s="1148">
        <f t="shared" si="98"/>
        <v>238.09796174155468</v>
      </c>
      <c r="E32" s="1148">
        <f t="shared" si="108"/>
        <v>385.33438646014054</v>
      </c>
      <c r="F32" s="1148">
        <f t="shared" si="108"/>
        <v>221.55034055567739</v>
      </c>
      <c r="G32" s="3432"/>
      <c r="H32" s="1149">
        <v>1</v>
      </c>
      <c r="I32" s="1149">
        <v>1.67</v>
      </c>
      <c r="J32" s="1149">
        <v>1.31</v>
      </c>
      <c r="K32" s="1149">
        <v>1.85</v>
      </c>
      <c r="L32" s="1179">
        <v>0.96</v>
      </c>
      <c r="N32" s="1187">
        <f t="shared" si="100"/>
        <v>1.67E-2</v>
      </c>
      <c r="O32" s="1188">
        <f t="shared" si="96"/>
        <v>1.3100000000000001E-2</v>
      </c>
      <c r="P32" s="1188">
        <f t="shared" si="96"/>
        <v>1.8500000000000003E-2</v>
      </c>
      <c r="Q32" s="1188">
        <f t="shared" si="96"/>
        <v>9.5999999999999992E-3</v>
      </c>
      <c r="R32" s="1213"/>
      <c r="S32" s="1187">
        <f>B32/B33-1</f>
        <v>1.6193767230785472E-2</v>
      </c>
      <c r="T32" s="1188">
        <f>C32/C33-1</f>
        <v>1.7512657015190891E-2</v>
      </c>
      <c r="U32" s="1188">
        <f>E32/E33-1</f>
        <v>1.6713420739157048E-2</v>
      </c>
      <c r="V32" s="1188">
        <f>F32/F33-1</f>
        <v>7.0470025258062563E-3</v>
      </c>
      <c r="X32" s="1222"/>
      <c r="Y32" s="1223"/>
      <c r="Z32" s="1223"/>
    </row>
    <row r="33" spans="1:26">
      <c r="A33" s="1147" t="s">
        <v>1980</v>
      </c>
      <c r="B33" s="1167">
        <v>278</v>
      </c>
      <c r="C33" s="1167">
        <v>234</v>
      </c>
      <c r="D33" s="1167">
        <f t="shared" si="98"/>
        <v>234</v>
      </c>
      <c r="E33" s="1167">
        <v>379</v>
      </c>
      <c r="F33" s="1168">
        <v>220</v>
      </c>
      <c r="G33" s="3427">
        <v>2012</v>
      </c>
      <c r="H33" s="1158">
        <v>4</v>
      </c>
      <c r="I33" s="1158">
        <v>0.91</v>
      </c>
      <c r="J33" s="1158">
        <v>0.68</v>
      </c>
      <c r="K33" s="1158">
        <v>0.98</v>
      </c>
      <c r="L33" s="1189">
        <v>0.9</v>
      </c>
      <c r="N33" s="1180">
        <f t="shared" si="100"/>
        <v>9.1000000000000004E-3</v>
      </c>
      <c r="O33" s="1181">
        <f t="shared" si="100"/>
        <v>6.8000000000000005E-3</v>
      </c>
      <c r="P33" s="1181">
        <f t="shared" si="100"/>
        <v>9.7999999999999997E-3</v>
      </c>
      <c r="Q33" s="1181">
        <f t="shared" si="100"/>
        <v>9.0000000000000011E-3</v>
      </c>
      <c r="R33" s="1213"/>
      <c r="S33" s="1214"/>
      <c r="T33" s="1215"/>
      <c r="U33" s="1215"/>
      <c r="V33" s="1215"/>
      <c r="X33" s="1215"/>
      <c r="Y33" s="1215"/>
      <c r="Z33" s="1215"/>
    </row>
    <row r="34" spans="1:26">
      <c r="A34" s="1147" t="s">
        <v>1981</v>
      </c>
      <c r="B34" s="1148">
        <f>B33/(1+N33)</f>
        <v>275.49301357645425</v>
      </c>
      <c r="C34" s="1148">
        <f>C33/(1+O33)</f>
        <v>232.41954707985698</v>
      </c>
      <c r="D34" s="1148">
        <f t="shared" si="98"/>
        <v>232.41954707985698</v>
      </c>
      <c r="E34" s="1148">
        <f t="shared" ref="E34:F36" si="109">E33/(1+P33)</f>
        <v>375.32184591008121</v>
      </c>
      <c r="F34" s="1148">
        <f t="shared" si="109"/>
        <v>218.03766105054513</v>
      </c>
      <c r="G34" s="3428"/>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1982</v>
      </c>
      <c r="B35" s="1148">
        <f>B34/(1+N34)</f>
        <v>275.24529281292263</v>
      </c>
      <c r="C35" s="1148">
        <f>C34/(1+O34)</f>
        <v>231.74747938962707</v>
      </c>
      <c r="D35" s="1148">
        <f t="shared" si="98"/>
        <v>231.74747938962707</v>
      </c>
      <c r="E35" s="1148">
        <f t="shared" si="109"/>
        <v>375.35938184826603</v>
      </c>
      <c r="F35" s="1148">
        <f t="shared" si="109"/>
        <v>216.78033510692495</v>
      </c>
      <c r="G35" s="3428"/>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1983</v>
      </c>
      <c r="B36" s="1148">
        <f>B35/(1+N35)</f>
        <v>275.19025476197027</v>
      </c>
      <c r="C36" s="1169">
        <v>232</v>
      </c>
      <c r="D36" s="1169">
        <f t="shared" si="98"/>
        <v>232</v>
      </c>
      <c r="E36" s="1148">
        <f t="shared" si="109"/>
        <v>375.65990977608692</v>
      </c>
      <c r="F36" s="1148">
        <f t="shared" si="109"/>
        <v>214.12518283971252</v>
      </c>
      <c r="G36" s="3429"/>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6.9183549807361189E-4</v>
      </c>
      <c r="T36" s="1188">
        <f>C36/C37-1</f>
        <v>0</v>
      </c>
      <c r="U36" s="1188">
        <f>E36/E37-1</f>
        <v>-9.0449527636460303E-4</v>
      </c>
      <c r="V36" s="1188">
        <f>F36/F37-1</f>
        <v>5.2825485432512753E-3</v>
      </c>
      <c r="X36" s="1223"/>
      <c r="Y36" s="1223"/>
      <c r="Z36" s="1223"/>
    </row>
    <row r="37" spans="1:26">
      <c r="A37" s="1147" t="s">
        <v>1984</v>
      </c>
      <c r="B37" s="1156">
        <v>275</v>
      </c>
      <c r="C37" s="1156">
        <v>232</v>
      </c>
      <c r="D37" s="1156">
        <f t="shared" si="98"/>
        <v>232</v>
      </c>
      <c r="E37" s="1156">
        <v>376</v>
      </c>
      <c r="F37" s="1157">
        <v>213</v>
      </c>
      <c r="G37" s="3427">
        <v>2011</v>
      </c>
      <c r="H37" s="1158">
        <v>4</v>
      </c>
      <c r="I37" s="1158">
        <v>-0.2</v>
      </c>
      <c r="J37" s="1158">
        <v>0.04</v>
      </c>
      <c r="K37" s="1158">
        <v>-0.34</v>
      </c>
      <c r="L37" s="1189">
        <v>0.46</v>
      </c>
      <c r="N37" s="1184">
        <f t="shared" si="100"/>
        <v>-2E-3</v>
      </c>
      <c r="O37" s="1185">
        <f t="shared" si="100"/>
        <v>4.0000000000000002E-4</v>
      </c>
      <c r="P37" s="1185">
        <f t="shared" si="100"/>
        <v>-3.4000000000000002E-3</v>
      </c>
      <c r="Q37" s="1185">
        <f t="shared" si="100"/>
        <v>4.5999999999999999E-3</v>
      </c>
      <c r="R37" s="1213"/>
      <c r="S37" s="1214"/>
      <c r="T37" s="1215"/>
      <c r="U37" s="1215"/>
      <c r="V37" s="1215"/>
      <c r="X37" s="1215"/>
      <c r="Y37" s="1215"/>
      <c r="Z37" s="1215"/>
    </row>
    <row r="38" spans="1:26">
      <c r="A38" s="1147" t="s">
        <v>1985</v>
      </c>
      <c r="B38" s="1148">
        <f t="shared" ref="B38:C40" si="110">B37/(1+N37)</f>
        <v>275.55110220440883</v>
      </c>
      <c r="C38" s="1148">
        <f t="shared" si="110"/>
        <v>231.90723710515795</v>
      </c>
      <c r="D38" s="1148">
        <f t="shared" si="98"/>
        <v>231.90723710515795</v>
      </c>
      <c r="E38" s="1148">
        <f t="shared" ref="E38:F40" si="111">E37/(1+P37)</f>
        <v>377.28276138872161</v>
      </c>
      <c r="F38" s="1148">
        <f t="shared" si="111"/>
        <v>212.02468644236512</v>
      </c>
      <c r="G38" s="3428">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1986</v>
      </c>
      <c r="B39" s="1148">
        <f t="shared" si="110"/>
        <v>275.19335084830601</v>
      </c>
      <c r="C39" s="1148">
        <f t="shared" si="110"/>
        <v>230.18088050139744</v>
      </c>
      <c r="D39" s="1148">
        <f t="shared" si="98"/>
        <v>230.18088050139744</v>
      </c>
      <c r="E39" s="1148">
        <f t="shared" si="111"/>
        <v>377.58482925212331</v>
      </c>
      <c r="F39" s="1148">
        <f t="shared" si="111"/>
        <v>210.90687997847917</v>
      </c>
      <c r="G39" s="3428">
        <v>2011</v>
      </c>
      <c r="H39" s="1153">
        <v>2</v>
      </c>
      <c r="I39" s="1153">
        <v>-0.4</v>
      </c>
      <c r="J39" s="1153">
        <v>0.17</v>
      </c>
      <c r="K39" s="1153">
        <v>-0.57999999999999996</v>
      </c>
      <c r="L39" s="1183">
        <v>-0.2</v>
      </c>
      <c r="N39" s="1180">
        <f t="shared" si="100"/>
        <v>-4.0000000000000001E-3</v>
      </c>
      <c r="O39" s="1186">
        <f t="shared" si="100"/>
        <v>1.7000000000000001E-3</v>
      </c>
      <c r="P39" s="1186">
        <f t="shared" si="100"/>
        <v>-5.7999999999999996E-3</v>
      </c>
      <c r="Q39" s="1186">
        <f t="shared" si="100"/>
        <v>-2E-3</v>
      </c>
      <c r="R39" s="1213"/>
      <c r="S39" s="1180"/>
      <c r="T39" s="1181"/>
      <c r="U39" s="1181"/>
      <c r="V39" s="1181"/>
    </row>
    <row r="40" spans="1:26">
      <c r="A40" s="1147" t="s">
        <v>1987</v>
      </c>
      <c r="B40" s="1148">
        <f t="shared" si="110"/>
        <v>276.29854502841971</v>
      </c>
      <c r="C40" s="1148">
        <f t="shared" si="110"/>
        <v>229.79023709833027</v>
      </c>
      <c r="D40" s="1148">
        <f t="shared" si="98"/>
        <v>229.79023709833027</v>
      </c>
      <c r="E40" s="1148">
        <f t="shared" si="111"/>
        <v>379.78759731655936</v>
      </c>
      <c r="F40" s="1148">
        <f t="shared" si="111"/>
        <v>211.32953905659235</v>
      </c>
      <c r="G40" s="3429">
        <v>2011</v>
      </c>
      <c r="H40" s="1149">
        <v>1</v>
      </c>
      <c r="I40" s="1149">
        <v>2.65</v>
      </c>
      <c r="J40" s="1149">
        <v>3.76</v>
      </c>
      <c r="K40" s="1149">
        <v>1.89</v>
      </c>
      <c r="L40" s="1179">
        <v>7.95</v>
      </c>
      <c r="N40" s="1187">
        <f t="shared" si="100"/>
        <v>2.6499999999999999E-2</v>
      </c>
      <c r="O40" s="1188">
        <f t="shared" si="100"/>
        <v>3.7599999999999995E-2</v>
      </c>
      <c r="P40" s="1188">
        <f t="shared" si="100"/>
        <v>1.89E-2</v>
      </c>
      <c r="Q40" s="1188">
        <f t="shared" si="100"/>
        <v>7.9500000000000001E-2</v>
      </c>
      <c r="R40" s="1213"/>
      <c r="S40" s="1187">
        <f>B40/B41-1</f>
        <v>2.713213765211786E-2</v>
      </c>
      <c r="T40" s="1188">
        <f>C40/C41-1</f>
        <v>3.9774828499231862E-2</v>
      </c>
      <c r="U40" s="1188">
        <f>E40/E41-1</f>
        <v>1.8197311840641772E-2</v>
      </c>
      <c r="V40" s="1188">
        <f>F40/F41-1</f>
        <v>7.8211933962205826E-2</v>
      </c>
      <c r="X40" s="1223"/>
      <c r="Y40" s="1223"/>
      <c r="Z40" s="1223"/>
    </row>
    <row r="41" spans="1:26">
      <c r="A41" s="1147" t="s">
        <v>1988</v>
      </c>
      <c r="B41" s="1156">
        <v>269</v>
      </c>
      <c r="C41" s="1156">
        <v>221</v>
      </c>
      <c r="D41" s="1156">
        <f t="shared" si="98"/>
        <v>221</v>
      </c>
      <c r="E41" s="1156">
        <v>373</v>
      </c>
      <c r="F41" s="1157">
        <v>196</v>
      </c>
      <c r="G41" s="3427">
        <v>2010</v>
      </c>
      <c r="H41" s="1158">
        <v>4</v>
      </c>
      <c r="I41" s="1158">
        <v>5.72</v>
      </c>
      <c r="J41" s="1158">
        <v>6.57</v>
      </c>
      <c r="K41" s="1158">
        <v>5.72</v>
      </c>
      <c r="L41" s="1189">
        <v>2.72</v>
      </c>
      <c r="N41" s="1180">
        <f t="shared" si="100"/>
        <v>5.7200000000000001E-2</v>
      </c>
      <c r="O41" s="1181">
        <f t="shared" si="100"/>
        <v>6.5700000000000008E-2</v>
      </c>
      <c r="P41" s="1181">
        <f t="shared" si="100"/>
        <v>5.7200000000000001E-2</v>
      </c>
      <c r="Q41" s="1181">
        <f t="shared" si="100"/>
        <v>2.7200000000000002E-2</v>
      </c>
      <c r="R41" s="1213"/>
      <c r="S41" s="1214"/>
      <c r="T41" s="1215"/>
      <c r="U41" s="1215"/>
      <c r="V41" s="1215"/>
      <c r="X41" s="1215"/>
      <c r="Y41" s="1215"/>
      <c r="Z41" s="1215"/>
    </row>
    <row r="42" spans="1:26">
      <c r="A42" s="1147" t="s">
        <v>1989</v>
      </c>
      <c r="B42" s="1148">
        <f t="shared" ref="B42:C44" si="112">B41/(1+N41)</f>
        <v>254.44570563753314</v>
      </c>
      <c r="C42" s="1148">
        <f t="shared" si="112"/>
        <v>207.37543398705074</v>
      </c>
      <c r="D42" s="1148">
        <f t="shared" si="98"/>
        <v>207.37543398705074</v>
      </c>
      <c r="E42" s="1148">
        <f t="shared" ref="E42:F44" si="113">E41/(1+P41)</f>
        <v>352.81876655315932</v>
      </c>
      <c r="F42" s="1148">
        <f t="shared" si="113"/>
        <v>190.809968847352</v>
      </c>
      <c r="G42" s="3428">
        <v>2010</v>
      </c>
      <c r="H42" s="1159">
        <v>3</v>
      </c>
      <c r="I42" s="1159">
        <v>4.7300000000000004</v>
      </c>
      <c r="J42" s="1159">
        <v>3.9</v>
      </c>
      <c r="K42" s="1159">
        <v>5.03</v>
      </c>
      <c r="L42" s="1190">
        <v>4.21</v>
      </c>
      <c r="N42" s="1180">
        <f t="shared" si="100"/>
        <v>4.7300000000000002E-2</v>
      </c>
      <c r="O42" s="1181">
        <f t="shared" si="100"/>
        <v>3.9E-2</v>
      </c>
      <c r="P42" s="1181">
        <f t="shared" si="100"/>
        <v>5.0300000000000004E-2</v>
      </c>
      <c r="Q42" s="1181">
        <f t="shared" si="100"/>
        <v>4.2099999999999999E-2</v>
      </c>
      <c r="R42" s="1213"/>
      <c r="S42" s="1180"/>
      <c r="T42" s="1181"/>
      <c r="U42" s="1181"/>
      <c r="V42" s="1181"/>
    </row>
    <row r="43" spans="1:26">
      <c r="A43" s="1147" t="s">
        <v>1990</v>
      </c>
      <c r="B43" s="1148">
        <f t="shared" si="112"/>
        <v>242.95398227588385</v>
      </c>
      <c r="C43" s="1148">
        <f t="shared" si="112"/>
        <v>199.59137053614126</v>
      </c>
      <c r="D43" s="1148">
        <f t="shared" si="98"/>
        <v>199.59137053614126</v>
      </c>
      <c r="E43" s="1148">
        <f t="shared" si="113"/>
        <v>335.92189522342125</v>
      </c>
      <c r="F43" s="1148">
        <f t="shared" si="113"/>
        <v>183.10139991109489</v>
      </c>
      <c r="G43" s="3428">
        <v>2010</v>
      </c>
      <c r="H43" s="1153">
        <v>2</v>
      </c>
      <c r="I43" s="1153">
        <v>4.6900000000000004</v>
      </c>
      <c r="J43" s="1153">
        <v>3.55</v>
      </c>
      <c r="K43" s="1153">
        <v>5.07</v>
      </c>
      <c r="L43" s="1183">
        <v>4.2300000000000004</v>
      </c>
      <c r="N43" s="1180">
        <f t="shared" si="100"/>
        <v>4.6900000000000004E-2</v>
      </c>
      <c r="O43" s="1181">
        <f t="shared" si="100"/>
        <v>3.5499999999999997E-2</v>
      </c>
      <c r="P43" s="1181">
        <f t="shared" si="100"/>
        <v>5.0700000000000002E-2</v>
      </c>
      <c r="Q43" s="1181">
        <f t="shared" si="100"/>
        <v>4.2300000000000004E-2</v>
      </c>
      <c r="R43" s="1213"/>
      <c r="S43" s="1180"/>
      <c r="T43" s="1181"/>
      <c r="U43" s="1181"/>
      <c r="V43" s="1181"/>
    </row>
    <row r="44" spans="1:26">
      <c r="A44" s="1147" t="s">
        <v>1991</v>
      </c>
      <c r="B44" s="1148">
        <f t="shared" si="112"/>
        <v>232.06990378821649</v>
      </c>
      <c r="C44" s="1148">
        <f t="shared" si="112"/>
        <v>192.74878854286936</v>
      </c>
      <c r="D44" s="1148">
        <f t="shared" si="98"/>
        <v>192.74878854286936</v>
      </c>
      <c r="E44" s="1148">
        <f t="shared" si="113"/>
        <v>319.71247284992984</v>
      </c>
      <c r="F44" s="1148">
        <f t="shared" si="113"/>
        <v>175.67053622862409</v>
      </c>
      <c r="G44" s="3429">
        <v>2010</v>
      </c>
      <c r="H44" s="1149">
        <v>1</v>
      </c>
      <c r="I44" s="1149">
        <v>5.4</v>
      </c>
      <c r="J44" s="1149">
        <v>3.2</v>
      </c>
      <c r="K44" s="1149">
        <v>6.16</v>
      </c>
      <c r="L44" s="1179">
        <v>4.51</v>
      </c>
      <c r="N44" s="1180">
        <f t="shared" si="100"/>
        <v>5.4000000000000006E-2</v>
      </c>
      <c r="O44" s="1181">
        <f t="shared" si="100"/>
        <v>3.2000000000000001E-2</v>
      </c>
      <c r="P44" s="1181">
        <f t="shared" si="100"/>
        <v>6.1600000000000002E-2</v>
      </c>
      <c r="Q44" s="1181">
        <f t="shared" si="100"/>
        <v>4.5100000000000001E-2</v>
      </c>
      <c r="R44" s="1213"/>
      <c r="S44" s="1187">
        <f>B44/B45-1</f>
        <v>5.4863199037347599E-2</v>
      </c>
      <c r="T44" s="1188">
        <f>C44/C45-1</f>
        <v>3.0742184721226584E-2</v>
      </c>
      <c r="U44" s="1188">
        <f>E44/E45-1</f>
        <v>6.2167683886810154E-2</v>
      </c>
      <c r="V44" s="1188">
        <f>F44/F45-1</f>
        <v>4.5657953741810031E-2</v>
      </c>
      <c r="X44" s="1223"/>
      <c r="Y44" s="1223"/>
      <c r="Z44" s="1223"/>
    </row>
    <row r="45" spans="1:26">
      <c r="A45" s="1147" t="s">
        <v>1992</v>
      </c>
      <c r="B45" s="1156">
        <v>220</v>
      </c>
      <c r="C45" s="1156">
        <v>187</v>
      </c>
      <c r="D45" s="1156">
        <f t="shared" si="98"/>
        <v>187</v>
      </c>
      <c r="E45" s="1156">
        <v>301</v>
      </c>
      <c r="F45" s="1157">
        <v>168</v>
      </c>
      <c r="G45" s="3427">
        <v>2009</v>
      </c>
      <c r="H45" s="1158">
        <v>4</v>
      </c>
      <c r="I45" s="1158">
        <v>2.2999999999999998</v>
      </c>
      <c r="J45" s="1158">
        <v>1.04</v>
      </c>
      <c r="K45" s="1158">
        <v>2.84</v>
      </c>
      <c r="L45" s="1189">
        <v>0.67</v>
      </c>
      <c r="N45" s="1184">
        <f t="shared" si="100"/>
        <v>2.3E-2</v>
      </c>
      <c r="O45" s="1185">
        <f t="shared" si="100"/>
        <v>1.04E-2</v>
      </c>
      <c r="P45" s="1185">
        <f t="shared" si="100"/>
        <v>2.8399999999999998E-2</v>
      </c>
      <c r="Q45" s="1185">
        <f t="shared" si="100"/>
        <v>6.7000000000000002E-3</v>
      </c>
      <c r="R45" s="1213"/>
      <c r="S45" s="1214"/>
      <c r="T45" s="1215"/>
      <c r="U45" s="1215"/>
      <c r="V45" s="1215"/>
      <c r="X45" s="1215"/>
      <c r="Y45" s="1215"/>
      <c r="Z45" s="1215"/>
    </row>
    <row r="46" spans="1:26">
      <c r="A46" s="1147" t="s">
        <v>1993</v>
      </c>
      <c r="B46" s="1148">
        <f t="shared" ref="B46:C48" si="114">B45/(1+N45)</f>
        <v>215.05376344086022</v>
      </c>
      <c r="C46" s="1148">
        <f t="shared" si="114"/>
        <v>185.0752177355503</v>
      </c>
      <c r="D46" s="1148">
        <f t="shared" si="98"/>
        <v>185.0752177355503</v>
      </c>
      <c r="E46" s="1148">
        <f t="shared" ref="E46:F48" si="115">E45/(1+P45)</f>
        <v>292.68767016725008</v>
      </c>
      <c r="F46" s="1148">
        <f t="shared" si="115"/>
        <v>166.88189132810174</v>
      </c>
      <c r="G46" s="3428">
        <v>2009</v>
      </c>
      <c r="H46" s="1159">
        <v>3</v>
      </c>
      <c r="I46" s="1159">
        <v>2.1</v>
      </c>
      <c r="J46" s="1159">
        <v>1.86</v>
      </c>
      <c r="K46" s="1159">
        <v>2.29</v>
      </c>
      <c r="L46" s="1190">
        <v>0.85</v>
      </c>
      <c r="N46" s="1180">
        <f t="shared" si="100"/>
        <v>2.1000000000000001E-2</v>
      </c>
      <c r="O46" s="1186">
        <f t="shared" si="100"/>
        <v>1.8600000000000002E-2</v>
      </c>
      <c r="P46" s="1186">
        <f t="shared" si="100"/>
        <v>2.29E-2</v>
      </c>
      <c r="Q46" s="1186">
        <f t="shared" si="100"/>
        <v>8.5000000000000006E-3</v>
      </c>
      <c r="R46" s="1213"/>
      <c r="S46" s="1180"/>
      <c r="T46" s="1181"/>
      <c r="U46" s="1181"/>
      <c r="V46" s="1181"/>
    </row>
    <row r="47" spans="1:26">
      <c r="A47" s="1147" t="s">
        <v>1994</v>
      </c>
      <c r="B47" s="1148">
        <f t="shared" si="114"/>
        <v>210.630522469011</v>
      </c>
      <c r="C47" s="1148">
        <f t="shared" si="114"/>
        <v>181.69567812247232</v>
      </c>
      <c r="D47" s="1148">
        <f t="shared" si="98"/>
        <v>181.69567812247232</v>
      </c>
      <c r="E47" s="1148">
        <f t="shared" si="115"/>
        <v>286.13517466736738</v>
      </c>
      <c r="F47" s="1148">
        <f t="shared" si="115"/>
        <v>165.47535084591149</v>
      </c>
      <c r="G47" s="3428">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1995</v>
      </c>
      <c r="B48" s="1148">
        <f t="shared" si="114"/>
        <v>208.83454537875372</v>
      </c>
      <c r="C48" s="1148">
        <f t="shared" si="114"/>
        <v>183.77230517090351</v>
      </c>
      <c r="D48" s="1148">
        <f t="shared" si="98"/>
        <v>183.77230517090351</v>
      </c>
      <c r="E48" s="1148">
        <f t="shared" si="115"/>
        <v>281.10342338870947</v>
      </c>
      <c r="F48" s="1148">
        <f t="shared" si="115"/>
        <v>168.97309388942256</v>
      </c>
      <c r="G48" s="3429">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-2.4137638417038754E-2</v>
      </c>
      <c r="T48" s="1188">
        <f>C48/C49-1</f>
        <v>-2.248773845264096E-2</v>
      </c>
      <c r="U48" s="1188">
        <f>E48/E49-1</f>
        <v>-2.7323794502735366E-2</v>
      </c>
      <c r="V48" s="1188">
        <f>F48/F49-1</f>
        <v>1.7910204153148035E-2</v>
      </c>
      <c r="X48" s="1223"/>
      <c r="Y48" s="1223"/>
      <c r="Z48" s="1223"/>
    </row>
    <row r="49" spans="1:26">
      <c r="A49" s="1147" t="s">
        <v>1996</v>
      </c>
      <c r="B49" s="1167">
        <v>214</v>
      </c>
      <c r="C49" s="1167">
        <v>188</v>
      </c>
      <c r="D49" s="1167">
        <f t="shared" si="98"/>
        <v>188</v>
      </c>
      <c r="E49" s="1167">
        <v>289</v>
      </c>
      <c r="F49" s="1168">
        <v>166</v>
      </c>
      <c r="G49" s="3427">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1997</v>
      </c>
      <c r="B50" s="1148">
        <f t="shared" ref="B50:C52" si="116">B49/(1+N49)</f>
        <v>210.36075887152265</v>
      </c>
      <c r="C50" s="1148">
        <f t="shared" si="116"/>
        <v>187.94361691492554</v>
      </c>
      <c r="D50" s="1148">
        <f t="shared" si="98"/>
        <v>187.94361691492554</v>
      </c>
      <c r="E50" s="1148">
        <f t="shared" ref="E50:F52" si="117">E49/(1+P49)</f>
        <v>281.70386977288234</v>
      </c>
      <c r="F50" s="1148">
        <f t="shared" si="117"/>
        <v>168.80211511083994</v>
      </c>
      <c r="G50" s="3428">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1998</v>
      </c>
      <c r="B51" s="1148">
        <f t="shared" si="116"/>
        <v>206.31694671589116</v>
      </c>
      <c r="C51" s="1148">
        <f t="shared" si="116"/>
        <v>183.61041121036101</v>
      </c>
      <c r="D51" s="1148">
        <f t="shared" si="98"/>
        <v>183.61041121036101</v>
      </c>
      <c r="E51" s="1148">
        <f t="shared" si="117"/>
        <v>276.66850301795557</v>
      </c>
      <c r="F51" s="1148">
        <f t="shared" si="117"/>
        <v>165.1360938278614</v>
      </c>
      <c r="G51" s="3428">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6.8600000000000008E-2</v>
      </c>
      <c r="R51" s="1213"/>
      <c r="S51" s="1180"/>
      <c r="T51" s="1181"/>
      <c r="U51" s="1181"/>
      <c r="V51" s="1181"/>
    </row>
    <row r="52" spans="1:26" s="1126" customFormat="1">
      <c r="A52" s="1147" t="s">
        <v>1999</v>
      </c>
      <c r="B52" s="1170">
        <f t="shared" si="116"/>
        <v>196.62341248059772</v>
      </c>
      <c r="C52" s="1170">
        <f t="shared" si="116"/>
        <v>170.99125648199012</v>
      </c>
      <c r="D52" s="1170">
        <f t="shared" si="98"/>
        <v>170.99125648199012</v>
      </c>
      <c r="E52" s="1170">
        <f t="shared" si="117"/>
        <v>266.07857570490052</v>
      </c>
      <c r="F52" s="1170">
        <f t="shared" si="117"/>
        <v>154.53499328828505</v>
      </c>
      <c r="G52" s="3429">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4.5869215322328349E-2</v>
      </c>
      <c r="T52" s="1198">
        <f>C52/C53-1</f>
        <v>3.6310645345394743E-2</v>
      </c>
      <c r="U52" s="1198">
        <f>E52/E53-1</f>
        <v>4.7553447657088688E-2</v>
      </c>
      <c r="V52" s="1198">
        <f>F52/F53-1</f>
        <v>4.4155360055980086E-2</v>
      </c>
      <c r="X52" s="1225"/>
      <c r="Y52" s="1225"/>
      <c r="Z52" s="1225"/>
    </row>
    <row r="53" spans="1:26">
      <c r="A53" s="1147" t="s">
        <v>2000</v>
      </c>
      <c r="B53" s="1156">
        <v>188</v>
      </c>
      <c r="C53" s="1156">
        <v>165</v>
      </c>
      <c r="D53" s="1156">
        <f t="shared" si="98"/>
        <v>165</v>
      </c>
      <c r="E53" s="1156">
        <v>254</v>
      </c>
      <c r="F53" s="1157">
        <v>148</v>
      </c>
      <c r="G53" s="3427">
        <v>2007</v>
      </c>
      <c r="H53" s="1172">
        <v>4</v>
      </c>
      <c r="I53" s="1172">
        <v>5.51</v>
      </c>
      <c r="J53" s="1172">
        <v>4.8899999999999997</v>
      </c>
      <c r="K53" s="1172">
        <v>6.43</v>
      </c>
      <c r="L53" s="1199">
        <v>5.36</v>
      </c>
      <c r="N53" s="1200">
        <f t="shared" ref="N53:O56" si="118">B53/B54-1</f>
        <v>4.1339718365245526E-2</v>
      </c>
      <c r="O53" s="1201">
        <f t="shared" si="118"/>
        <v>4.0324492593776018E-2</v>
      </c>
      <c r="P53" s="1201">
        <f t="shared" ref="P53:Q56" si="119">E53/E54-1</f>
        <v>6.1625555347990968E-2</v>
      </c>
      <c r="Q53" s="1201">
        <f t="shared" si="119"/>
        <v>4.6757569250590603E-2</v>
      </c>
      <c r="R53" s="1213"/>
      <c r="S53" s="1214"/>
      <c r="T53" s="1215"/>
      <c r="U53" s="1215"/>
      <c r="V53" s="1215"/>
      <c r="X53" s="1215"/>
      <c r="Y53" s="1215"/>
      <c r="Z53" s="1215"/>
    </row>
    <row r="54" spans="1:26">
      <c r="A54" s="1147" t="s">
        <v>2001</v>
      </c>
      <c r="B54" s="1148">
        <f t="shared" ref="B54:C56" si="120">B55+(B$53-B$57)*I54/SUM(I$53:I$56)</f>
        <v>180.5366651097618</v>
      </c>
      <c r="C54" s="1148">
        <f t="shared" si="120"/>
        <v>158.60435967302453</v>
      </c>
      <c r="D54" s="1148">
        <f t="shared" si="98"/>
        <v>158.60435967302453</v>
      </c>
      <c r="E54" s="1148">
        <f t="shared" ref="E54:F56" si="121">E55+(E$53-E$57)*K54/SUM(K$53:K$56)</f>
        <v>239.25573260785075</v>
      </c>
      <c r="F54" s="1148">
        <f t="shared" si="121"/>
        <v>141.38899430740037</v>
      </c>
      <c r="G54" s="3428">
        <v>2007</v>
      </c>
      <c r="H54" s="1159">
        <v>3</v>
      </c>
      <c r="I54" s="1159">
        <v>8.65</v>
      </c>
      <c r="J54" s="1159">
        <v>8.06</v>
      </c>
      <c r="K54" s="1159">
        <v>9.94</v>
      </c>
      <c r="L54" s="1190">
        <v>5.8</v>
      </c>
      <c r="N54" s="1200">
        <f t="shared" si="118"/>
        <v>6.940217571740015E-2</v>
      </c>
      <c r="O54" s="1201">
        <f t="shared" si="118"/>
        <v>7.1197482471153428E-2</v>
      </c>
      <c r="P54" s="1201">
        <f t="shared" si="119"/>
        <v>0.10529679922579582</v>
      </c>
      <c r="Q54" s="1201">
        <f t="shared" si="119"/>
        <v>5.3292245059512133E-2</v>
      </c>
      <c r="R54" s="1213"/>
      <c r="S54" s="1180"/>
      <c r="T54" s="1181"/>
      <c r="U54" s="1181"/>
      <c r="V54" s="1181"/>
      <c r="X54" s="1226"/>
      <c r="Y54" s="1226"/>
      <c r="Z54" s="1226"/>
    </row>
    <row r="55" spans="1:26">
      <c r="A55" s="1147" t="s">
        <v>2002</v>
      </c>
      <c r="B55" s="1148">
        <f t="shared" si="120"/>
        <v>168.82017748715555</v>
      </c>
      <c r="C55" s="1148">
        <f t="shared" si="120"/>
        <v>148.06267029972753</v>
      </c>
      <c r="D55" s="1148">
        <f t="shared" si="98"/>
        <v>148.06267029972753</v>
      </c>
      <c r="E55" s="1148">
        <f t="shared" si="121"/>
        <v>216.46288379323747</v>
      </c>
      <c r="F55" s="1148">
        <f t="shared" si="121"/>
        <v>134.23529411764704</v>
      </c>
      <c r="G55" s="3428">
        <v>2007</v>
      </c>
      <c r="H55" s="1153">
        <v>2</v>
      </c>
      <c r="I55" s="1153">
        <v>3.67</v>
      </c>
      <c r="J55" s="1153">
        <v>2.3199999999999998</v>
      </c>
      <c r="K55" s="1153">
        <v>5.0199999999999996</v>
      </c>
      <c r="L55" s="1183">
        <v>6.71</v>
      </c>
      <c r="N55" s="1200">
        <f t="shared" si="118"/>
        <v>3.0339138143848032E-2</v>
      </c>
      <c r="O55" s="1201">
        <f t="shared" si="118"/>
        <v>2.0922341588790472E-2</v>
      </c>
      <c r="P55" s="1201">
        <f t="shared" si="119"/>
        <v>5.6164796592717003E-2</v>
      </c>
      <c r="Q55" s="1201">
        <f t="shared" si="119"/>
        <v>6.5704536723887319E-2</v>
      </c>
      <c r="R55" s="1213"/>
      <c r="S55" s="1180"/>
      <c r="T55" s="1181"/>
      <c r="U55" s="1181"/>
      <c r="V55" s="1181"/>
      <c r="X55" s="1226"/>
      <c r="Y55" s="1226"/>
      <c r="Z55" s="1226"/>
    </row>
    <row r="56" spans="1:26">
      <c r="A56" s="1147" t="s">
        <v>2003</v>
      </c>
      <c r="B56" s="1148">
        <f t="shared" si="120"/>
        <v>163.84913591779542</v>
      </c>
      <c r="C56" s="1148">
        <f t="shared" si="120"/>
        <v>145.0283378746594</v>
      </c>
      <c r="D56" s="1148">
        <f t="shared" si="98"/>
        <v>145.0283378746594</v>
      </c>
      <c r="E56" s="1148">
        <f t="shared" si="121"/>
        <v>204.95180722891567</v>
      </c>
      <c r="F56" s="1148">
        <f t="shared" si="121"/>
        <v>125.95920303605313</v>
      </c>
      <c r="G56" s="3429">
        <v>2007</v>
      </c>
      <c r="H56" s="1149">
        <v>1</v>
      </c>
      <c r="I56" s="1149">
        <v>3.58</v>
      </c>
      <c r="J56" s="1149">
        <v>3.08</v>
      </c>
      <c r="K56" s="1149">
        <v>4.34</v>
      </c>
      <c r="L56" s="1179">
        <v>3.21</v>
      </c>
      <c r="N56" s="1202">
        <f t="shared" si="118"/>
        <v>3.0497710174814063E-2</v>
      </c>
      <c r="O56" s="1203">
        <f t="shared" si="118"/>
        <v>2.8569772160704998E-2</v>
      </c>
      <c r="P56" s="1203">
        <f t="shared" si="119"/>
        <v>5.1034908866234296E-2</v>
      </c>
      <c r="Q56" s="1203">
        <f t="shared" si="119"/>
        <v>3.245248390207478E-2</v>
      </c>
      <c r="R56" s="1213"/>
      <c r="S56" s="1187">
        <f>B56/B57-1</f>
        <v>3.0497710174814063E-2</v>
      </c>
      <c r="T56" s="1188">
        <f>C56/C57-1</f>
        <v>2.8569772160704998E-2</v>
      </c>
      <c r="U56" s="1188">
        <f>E56/E57-1</f>
        <v>5.1034908866234296E-2</v>
      </c>
      <c r="V56" s="1188">
        <f>F56/F57-1</f>
        <v>3.245248390207478E-2</v>
      </c>
      <c r="X56" s="1226"/>
      <c r="Y56" s="1226"/>
      <c r="Z56" s="1226"/>
    </row>
    <row r="57" spans="1:26">
      <c r="A57" s="1147" t="s">
        <v>2004</v>
      </c>
      <c r="B57" s="1160">
        <v>159</v>
      </c>
      <c r="C57" s="1160">
        <v>141</v>
      </c>
      <c r="D57" s="1160">
        <f t="shared" si="98"/>
        <v>141</v>
      </c>
      <c r="E57" s="1160">
        <v>195</v>
      </c>
      <c r="F57" s="1161">
        <v>122</v>
      </c>
      <c r="G57" s="3427">
        <v>2006</v>
      </c>
      <c r="H57" s="1158">
        <v>4</v>
      </c>
      <c r="I57" s="1158">
        <v>3.79</v>
      </c>
      <c r="J57" s="1158">
        <v>2.21</v>
      </c>
      <c r="K57" s="1158">
        <v>5.65</v>
      </c>
      <c r="L57" s="1189">
        <v>5.41</v>
      </c>
      <c r="N57" s="1200">
        <f t="shared" ref="N57:O60" si="122">I57/SUM(I$57:I$60)*(B$57/B$61-1)</f>
        <v>7.245466462748526E-2</v>
      </c>
      <c r="O57" s="1201">
        <f t="shared" si="122"/>
        <v>2.3237230038062766E-2</v>
      </c>
      <c r="P57" s="1201">
        <f t="shared" ref="P57:Q60" si="123">K57/SUM(K$57:K$60)*(E$57/E$61-1)</f>
        <v>0.16146893866323722</v>
      </c>
      <c r="Q57" s="1201">
        <f t="shared" si="123"/>
        <v>5.0755230321793784E-2</v>
      </c>
      <c r="R57" s="1213"/>
      <c r="S57" s="1214"/>
      <c r="T57" s="1215"/>
      <c r="U57" s="1215"/>
      <c r="V57" s="1215"/>
      <c r="X57" s="1226"/>
      <c r="Y57" s="1226"/>
      <c r="Z57" s="1226"/>
    </row>
    <row r="58" spans="1:26">
      <c r="A58" s="1147" t="s">
        <v>2005</v>
      </c>
      <c r="B58" s="1148">
        <f t="shared" ref="B58:C60" si="124">B59+(B$57-B$61)*I58/SUM(I$57:I$60)</f>
        <v>149.00125628140702</v>
      </c>
      <c r="C58" s="1148">
        <f t="shared" si="124"/>
        <v>137.95592286501378</v>
      </c>
      <c r="D58" s="1148">
        <f t="shared" si="98"/>
        <v>137.95592286501378</v>
      </c>
      <c r="E58" s="1148">
        <f t="shared" ref="E58:F60" si="125">E59+(E$57-E$61)*K58/SUM(K$57:K$60)</f>
        <v>169.97231450719823</v>
      </c>
      <c r="F58" s="1148">
        <f t="shared" si="125"/>
        <v>116.21390374331551</v>
      </c>
      <c r="G58" s="3428">
        <v>2006</v>
      </c>
      <c r="H58" s="1159">
        <v>3</v>
      </c>
      <c r="I58" s="1159">
        <v>0.92</v>
      </c>
      <c r="J58" s="1159">
        <v>1.08</v>
      </c>
      <c r="K58" s="1159">
        <v>0.73</v>
      </c>
      <c r="L58" s="1190">
        <v>1.08</v>
      </c>
      <c r="N58" s="1200">
        <f t="shared" si="122"/>
        <v>1.7587939698492462E-2</v>
      </c>
      <c r="O58" s="1201">
        <f t="shared" si="122"/>
        <v>1.1355750425840628E-2</v>
      </c>
      <c r="P58" s="1201">
        <f t="shared" si="123"/>
        <v>2.0862358446754544E-2</v>
      </c>
      <c r="Q58" s="1201">
        <f t="shared" si="123"/>
        <v>1.0132282578103011E-2</v>
      </c>
      <c r="R58" s="1213"/>
      <c r="S58" s="1180"/>
      <c r="T58" s="1181"/>
      <c r="U58" s="1181"/>
      <c r="V58" s="1181"/>
      <c r="X58" s="1226"/>
      <c r="Y58" s="1226"/>
      <c r="Z58" s="1226"/>
    </row>
    <row r="59" spans="1:26">
      <c r="A59" s="1147" t="s">
        <v>2006</v>
      </c>
      <c r="B59" s="1148">
        <f t="shared" si="124"/>
        <v>146.57412060301507</v>
      </c>
      <c r="C59" s="1148">
        <f t="shared" si="124"/>
        <v>136.46831955922866</v>
      </c>
      <c r="D59" s="1148">
        <f t="shared" si="98"/>
        <v>136.46831955922866</v>
      </c>
      <c r="E59" s="1148">
        <f t="shared" si="125"/>
        <v>166.73864894795128</v>
      </c>
      <c r="F59" s="1148">
        <f t="shared" si="125"/>
        <v>115.05882352941177</v>
      </c>
      <c r="G59" s="3428">
        <v>2006</v>
      </c>
      <c r="H59" s="1153">
        <v>2</v>
      </c>
      <c r="I59" s="1153">
        <v>0.96</v>
      </c>
      <c r="J59" s="1153">
        <v>0.25</v>
      </c>
      <c r="K59" s="1153">
        <v>1.9</v>
      </c>
      <c r="L59" s="1183">
        <v>0.95</v>
      </c>
      <c r="N59" s="1200">
        <f t="shared" si="122"/>
        <v>1.8352632728861701E-2</v>
      </c>
      <c r="O59" s="1201">
        <f t="shared" si="122"/>
        <v>2.6286459319075526E-3</v>
      </c>
      <c r="P59" s="1201">
        <f t="shared" si="123"/>
        <v>5.4299289107991269E-2</v>
      </c>
      <c r="Q59" s="1201">
        <f t="shared" si="123"/>
        <v>8.9126559714794995E-3</v>
      </c>
      <c r="R59" s="1213"/>
      <c r="S59" s="1180"/>
      <c r="T59" s="1181"/>
      <c r="U59" s="1181"/>
      <c r="V59" s="1181"/>
      <c r="X59" s="1226"/>
      <c r="Y59" s="1226"/>
      <c r="Z59" s="1226"/>
    </row>
    <row r="60" spans="1:26">
      <c r="A60" s="1147" t="s">
        <v>2007</v>
      </c>
      <c r="B60" s="1148">
        <f t="shared" si="124"/>
        <v>144.04145728643215</v>
      </c>
      <c r="C60" s="1148">
        <f t="shared" si="124"/>
        <v>136.12396694214877</v>
      </c>
      <c r="D60" s="1148">
        <f t="shared" si="98"/>
        <v>136.12396694214877</v>
      </c>
      <c r="E60" s="1148">
        <f t="shared" si="125"/>
        <v>158.32225913621264</v>
      </c>
      <c r="F60" s="1148">
        <f t="shared" si="125"/>
        <v>114.04278074866311</v>
      </c>
      <c r="G60" s="3429">
        <v>2006</v>
      </c>
      <c r="H60" s="1149">
        <v>1</v>
      </c>
      <c r="I60" s="1149">
        <v>2.29</v>
      </c>
      <c r="J60" s="1149">
        <v>3.72</v>
      </c>
      <c r="K60" s="1149">
        <v>0.75</v>
      </c>
      <c r="L60" s="1179">
        <v>0.04</v>
      </c>
      <c r="N60" s="1202">
        <f t="shared" si="122"/>
        <v>4.3778675988638847E-2</v>
      </c>
      <c r="O60" s="1203">
        <f t="shared" si="122"/>
        <v>3.9114251466784385E-2</v>
      </c>
      <c r="P60" s="1203">
        <f t="shared" si="123"/>
        <v>2.1433929911049188E-2</v>
      </c>
      <c r="Q60" s="1203">
        <f t="shared" si="123"/>
        <v>3.7526972511492629E-4</v>
      </c>
      <c r="R60" s="1213"/>
      <c r="S60" s="1187">
        <f>B60/B61-1</f>
        <v>4.3778675988638716E-2</v>
      </c>
      <c r="T60" s="1188">
        <f>C60/C61-1</f>
        <v>3.91142514667846E-2</v>
      </c>
      <c r="U60" s="1188">
        <f>E60/E61-1</f>
        <v>2.143392991104931E-2</v>
      </c>
      <c r="V60" s="1188">
        <f>F60/F61-1</f>
        <v>3.7526972511492396E-4</v>
      </c>
      <c r="X60" s="1226"/>
      <c r="Y60" s="1226"/>
      <c r="Z60" s="1226"/>
    </row>
    <row r="61" spans="1:26">
      <c r="A61" s="1147" t="s">
        <v>2008</v>
      </c>
      <c r="B61" s="1160">
        <v>138</v>
      </c>
      <c r="C61" s="1160">
        <v>131</v>
      </c>
      <c r="D61" s="1160">
        <f t="shared" si="98"/>
        <v>131</v>
      </c>
      <c r="E61" s="1160">
        <v>155</v>
      </c>
      <c r="F61" s="1161">
        <v>114</v>
      </c>
      <c r="G61" s="3427">
        <v>2005</v>
      </c>
      <c r="H61" s="1158">
        <v>4</v>
      </c>
      <c r="I61" s="1158">
        <v>3.29</v>
      </c>
      <c r="J61" s="1158">
        <v>1.44</v>
      </c>
      <c r="K61" s="1158">
        <v>0.66</v>
      </c>
      <c r="L61" s="1189">
        <v>7.78</v>
      </c>
      <c r="N61" s="1200">
        <f t="shared" ref="N61:O64" si="126">I61/SUM(I$61:I$64)*(B$61/B$65-1)</f>
        <v>9.9404603216919935E-2</v>
      </c>
      <c r="O61" s="1201">
        <f t="shared" si="126"/>
        <v>4.7636550760861554E-2</v>
      </c>
      <c r="P61" s="1201">
        <f t="shared" ref="P61:Q64" si="127">K61/SUM(K$61:K$64)*(E$61/E$65-1)</f>
        <v>8.3756345177664976E-2</v>
      </c>
      <c r="Q61" s="1201">
        <f t="shared" si="127"/>
        <v>5.2148766661559584E-2</v>
      </c>
      <c r="R61" s="1213"/>
      <c r="S61" s="1214"/>
      <c r="T61" s="1215"/>
      <c r="U61" s="1215"/>
      <c r="V61" s="1215"/>
      <c r="X61" s="1226"/>
      <c r="Y61" s="1226"/>
      <c r="Z61" s="1226"/>
    </row>
    <row r="62" spans="1:26">
      <c r="A62" s="1147" t="s">
        <v>2009</v>
      </c>
      <c r="B62" s="1148">
        <f t="shared" ref="B62:C64" si="128">B63+(B$61-B$65)*I62/SUM(I$61:I$64)</f>
        <v>125.9720430107527</v>
      </c>
      <c r="C62" s="1148">
        <f t="shared" si="128"/>
        <v>125.1883408071749</v>
      </c>
      <c r="D62" s="1148">
        <f t="shared" si="98"/>
        <v>125.1883408071749</v>
      </c>
      <c r="E62" s="1148">
        <f t="shared" ref="E62:F64" si="129">E63+(E$61-E$65)*K62/SUM(K$61:K$64)</f>
        <v>144.61421319796952</v>
      </c>
      <c r="F62" s="1148">
        <f t="shared" si="129"/>
        <v>108.42008196721311</v>
      </c>
      <c r="G62" s="3428">
        <v>2005</v>
      </c>
      <c r="H62" s="1159">
        <v>3</v>
      </c>
      <c r="I62" s="1159">
        <v>0.46</v>
      </c>
      <c r="J62" s="1159">
        <v>0.32</v>
      </c>
      <c r="K62" s="1159">
        <v>0.42</v>
      </c>
      <c r="L62" s="1190">
        <v>0.64</v>
      </c>
      <c r="N62" s="1200">
        <f t="shared" si="126"/>
        <v>1.3898515951301874E-2</v>
      </c>
      <c r="O62" s="1201">
        <f t="shared" si="126"/>
        <v>1.0585900169080346E-2</v>
      </c>
      <c r="P62" s="1201">
        <f t="shared" si="127"/>
        <v>5.3299492385786795E-2</v>
      </c>
      <c r="Q62" s="1201">
        <f t="shared" si="127"/>
        <v>4.2898728359123568E-3</v>
      </c>
      <c r="R62" s="1213"/>
      <c r="S62" s="1180"/>
      <c r="T62" s="1181"/>
      <c r="U62" s="1181"/>
      <c r="V62" s="1181"/>
      <c r="X62" s="1226"/>
      <c r="Y62" s="1226"/>
      <c r="Z62" s="1226"/>
    </row>
    <row r="63" spans="1:26">
      <c r="A63" s="1147" t="s">
        <v>2010</v>
      </c>
      <c r="B63" s="1148">
        <f t="shared" si="128"/>
        <v>124.29032258064517</v>
      </c>
      <c r="C63" s="1148">
        <f t="shared" si="128"/>
        <v>123.8968609865471</v>
      </c>
      <c r="D63" s="1148">
        <f t="shared" si="98"/>
        <v>123.8968609865471</v>
      </c>
      <c r="E63" s="1148">
        <f t="shared" si="129"/>
        <v>138.00507614213197</v>
      </c>
      <c r="F63" s="1148">
        <f t="shared" si="129"/>
        <v>107.96106557377048</v>
      </c>
      <c r="G63" s="3428">
        <v>2005</v>
      </c>
      <c r="H63" s="1153">
        <v>2</v>
      </c>
      <c r="I63" s="1153">
        <v>0.47</v>
      </c>
      <c r="J63" s="1153">
        <v>0.1</v>
      </c>
      <c r="K63" s="1153">
        <v>0.52</v>
      </c>
      <c r="L63" s="1183">
        <v>0.79</v>
      </c>
      <c r="N63" s="1200">
        <f t="shared" si="126"/>
        <v>1.420065760241713E-2</v>
      </c>
      <c r="O63" s="1201">
        <f t="shared" si="126"/>
        <v>3.3080938028376083E-3</v>
      </c>
      <c r="P63" s="1201">
        <f t="shared" si="127"/>
        <v>6.598984771573603E-2</v>
      </c>
      <c r="Q63" s="1201">
        <f t="shared" si="127"/>
        <v>5.2953117818293153E-3</v>
      </c>
      <c r="R63" s="1213"/>
      <c r="S63" s="1180"/>
      <c r="T63" s="1181"/>
      <c r="U63" s="1181"/>
      <c r="V63" s="1181"/>
      <c r="X63" s="1226"/>
      <c r="Y63" s="1226"/>
      <c r="Z63" s="1226"/>
    </row>
    <row r="64" spans="1:26">
      <c r="A64" s="1147" t="s">
        <v>2011</v>
      </c>
      <c r="B64" s="1148">
        <f t="shared" si="128"/>
        <v>122.57204301075269</v>
      </c>
      <c r="C64" s="1148">
        <f t="shared" si="128"/>
        <v>123.4932735426009</v>
      </c>
      <c r="D64" s="1148">
        <f t="shared" si="98"/>
        <v>123.4932735426009</v>
      </c>
      <c r="E64" s="1148">
        <f t="shared" si="129"/>
        <v>129.82233502538071</v>
      </c>
      <c r="F64" s="1148">
        <f t="shared" si="129"/>
        <v>107.39446721311475</v>
      </c>
      <c r="G64" s="3429">
        <v>2005</v>
      </c>
      <c r="H64" s="1149">
        <v>1</v>
      </c>
      <c r="I64" s="1149">
        <v>0.43</v>
      </c>
      <c r="J64" s="1149">
        <v>0.37</v>
      </c>
      <c r="K64" s="1149">
        <v>0.37</v>
      </c>
      <c r="L64" s="1179">
        <v>0.55000000000000004</v>
      </c>
      <c r="N64" s="1202">
        <f t="shared" si="126"/>
        <v>1.2992090997956099E-2</v>
      </c>
      <c r="O64" s="1203">
        <f t="shared" si="126"/>
        <v>1.2239947070499151E-2</v>
      </c>
      <c r="P64" s="1203">
        <f t="shared" si="127"/>
        <v>4.6954314720812178E-2</v>
      </c>
      <c r="Q64" s="1203">
        <f t="shared" si="127"/>
        <v>3.6866094683621815E-3</v>
      </c>
      <c r="R64" s="1213"/>
      <c r="S64" s="1187">
        <f>B64/B65-1</f>
        <v>1.2992090997956174E-2</v>
      </c>
      <c r="T64" s="1188">
        <f>C64/C65-1</f>
        <v>1.2239947070499246E-2</v>
      </c>
      <c r="U64" s="1188">
        <f>E64/E65-1</f>
        <v>4.695431472081224E-2</v>
      </c>
      <c r="V64" s="1188">
        <f>F64/F65-1</f>
        <v>3.6866094683620787E-3</v>
      </c>
      <c r="X64" s="1226"/>
      <c r="Y64" s="1226"/>
      <c r="Z64" s="1226"/>
    </row>
    <row r="65" spans="1:26">
      <c r="A65" s="1147" t="s">
        <v>2012</v>
      </c>
      <c r="B65" s="1167">
        <v>121</v>
      </c>
      <c r="C65" s="1167">
        <v>122</v>
      </c>
      <c r="D65" s="1167">
        <f t="shared" si="98"/>
        <v>122</v>
      </c>
      <c r="E65" s="1167">
        <v>124</v>
      </c>
      <c r="F65" s="1168">
        <v>107</v>
      </c>
      <c r="G65" s="3427">
        <v>2004</v>
      </c>
      <c r="H65" s="1158">
        <v>4</v>
      </c>
      <c r="I65" s="1158">
        <v>0.33</v>
      </c>
      <c r="J65" s="1158">
        <v>0.5</v>
      </c>
      <c r="K65" s="1158">
        <v>0.5</v>
      </c>
      <c r="L65" s="1189">
        <v>0</v>
      </c>
      <c r="N65" s="1200">
        <f t="shared" ref="N65:O68" si="130">I65/SUM(I$65:I$68)*(B$65/B$69-1)</f>
        <v>1.3391770148526898E-2</v>
      </c>
      <c r="O65" s="1201">
        <f t="shared" si="130"/>
        <v>1.063264221158958E-2</v>
      </c>
      <c r="P65" s="1201">
        <f t="shared" ref="P65:Q68" si="131">K65/SUM(K$65:K$68)*(E$65/E$69-1)</f>
        <v>2.2244466688911134E-2</v>
      </c>
      <c r="Q65" s="1201">
        <f t="shared" si="131"/>
        <v>0</v>
      </c>
      <c r="R65" s="1213"/>
      <c r="S65" s="1214"/>
      <c r="T65" s="1215"/>
      <c r="U65" s="1215"/>
      <c r="V65" s="1215"/>
      <c r="X65" s="1226"/>
      <c r="Y65" s="1226"/>
      <c r="Z65" s="1226"/>
    </row>
    <row r="66" spans="1:26">
      <c r="A66" s="1147" t="s">
        <v>2013</v>
      </c>
      <c r="B66" s="1148">
        <f t="shared" ref="B66:C68" si="132">B67+(B$65-B$69)*I66/SUM(I$65:I$68)</f>
        <v>119.51351351351352</v>
      </c>
      <c r="C66" s="1148">
        <f t="shared" si="132"/>
        <v>120.7878787878788</v>
      </c>
      <c r="D66" s="1148">
        <f t="shared" si="98"/>
        <v>120.7878787878788</v>
      </c>
      <c r="E66" s="1148">
        <f t="shared" ref="E66:F68" si="133">E67+(E$65-E$69)*K66/SUM(K$65:K$68)</f>
        <v>121.5975975975976</v>
      </c>
      <c r="F66" s="1148">
        <f t="shared" si="133"/>
        <v>107</v>
      </c>
      <c r="G66" s="3428">
        <v>2004</v>
      </c>
      <c r="H66" s="1159">
        <v>3</v>
      </c>
      <c r="I66" s="1159">
        <v>0.56000000000000005</v>
      </c>
      <c r="J66" s="1159">
        <v>0.8</v>
      </c>
      <c r="K66" s="1159">
        <v>0.83</v>
      </c>
      <c r="L66" s="1190">
        <v>0.06</v>
      </c>
      <c r="N66" s="1200">
        <f t="shared" si="130"/>
        <v>2.2725428130833527E-2</v>
      </c>
      <c r="O66" s="1201">
        <f t="shared" si="130"/>
        <v>1.7012227538543329E-2</v>
      </c>
      <c r="P66" s="1201">
        <f t="shared" si="131"/>
        <v>3.6925814703592477E-2</v>
      </c>
      <c r="Q66" s="1201">
        <f t="shared" si="131"/>
        <v>2.8846153846153744E-2</v>
      </c>
      <c r="R66" s="1213"/>
      <c r="S66" s="1180"/>
      <c r="T66" s="1181"/>
      <c r="U66" s="1181"/>
      <c r="V66" s="1181"/>
      <c r="X66" s="1226"/>
      <c r="Y66" s="1226"/>
      <c r="Z66" s="1226"/>
    </row>
    <row r="67" spans="1:26">
      <c r="A67" s="1147" t="s">
        <v>2014</v>
      </c>
      <c r="B67" s="1148">
        <f t="shared" si="132"/>
        <v>116.99099099099099</v>
      </c>
      <c r="C67" s="1148">
        <f t="shared" si="132"/>
        <v>118.84848484848486</v>
      </c>
      <c r="D67" s="1148">
        <f t="shared" si="98"/>
        <v>118.84848484848486</v>
      </c>
      <c r="E67" s="1148">
        <f t="shared" si="133"/>
        <v>117.60960960960961</v>
      </c>
      <c r="F67" s="1148">
        <f t="shared" si="133"/>
        <v>104</v>
      </c>
      <c r="G67" s="3428">
        <v>2004</v>
      </c>
      <c r="H67" s="1153">
        <v>2</v>
      </c>
      <c r="I67" s="1153">
        <v>1</v>
      </c>
      <c r="J67" s="1153">
        <v>1.5</v>
      </c>
      <c r="K67" s="1153">
        <v>1.5</v>
      </c>
      <c r="L67" s="1183">
        <v>0</v>
      </c>
      <c r="N67" s="1200">
        <f t="shared" si="130"/>
        <v>4.0581121662202721E-2</v>
      </c>
      <c r="O67" s="1201">
        <f t="shared" si="130"/>
        <v>3.1897926634768738E-2</v>
      </c>
      <c r="P67" s="1201">
        <f t="shared" si="131"/>
        <v>6.6733400066733395E-2</v>
      </c>
      <c r="Q67" s="1201">
        <f t="shared" si="131"/>
        <v>0</v>
      </c>
      <c r="R67" s="1213"/>
      <c r="S67" s="1180"/>
      <c r="T67" s="1181"/>
      <c r="U67" s="1181"/>
      <c r="V67" s="1181"/>
      <c r="X67" s="1226"/>
      <c r="Y67" s="1226"/>
      <c r="Z67" s="1226"/>
    </row>
    <row r="68" spans="1:26" s="1126" customFormat="1">
      <c r="A68" s="1147" t="s">
        <v>2015</v>
      </c>
      <c r="B68" s="1170">
        <f t="shared" si="132"/>
        <v>112.48648648648648</v>
      </c>
      <c r="C68" s="1170">
        <f t="shared" si="132"/>
        <v>115.21212121212122</v>
      </c>
      <c r="D68" s="1170">
        <f t="shared" si="98"/>
        <v>115.21212121212122</v>
      </c>
      <c r="E68" s="1170">
        <f t="shared" si="133"/>
        <v>110.4024024024024</v>
      </c>
      <c r="F68" s="1170">
        <f t="shared" si="133"/>
        <v>104</v>
      </c>
      <c r="G68" s="3429">
        <v>2004</v>
      </c>
      <c r="H68" s="1171">
        <v>1</v>
      </c>
      <c r="I68" s="1171">
        <v>0.33</v>
      </c>
      <c r="J68" s="1171">
        <v>0.5</v>
      </c>
      <c r="K68" s="1171">
        <v>0.5</v>
      </c>
      <c r="L68" s="1196">
        <v>0</v>
      </c>
      <c r="N68" s="1244">
        <f t="shared" si="130"/>
        <v>1.3391770148526898E-2</v>
      </c>
      <c r="O68" s="1245">
        <f t="shared" si="130"/>
        <v>1.063264221158958E-2</v>
      </c>
      <c r="P68" s="1245">
        <f t="shared" si="131"/>
        <v>2.2244466688911134E-2</v>
      </c>
      <c r="Q68" s="1245">
        <f t="shared" si="131"/>
        <v>0</v>
      </c>
      <c r="R68" s="1224"/>
      <c r="S68" s="1197">
        <f>B68/B69-1</f>
        <v>1.3391770148526883E-2</v>
      </c>
      <c r="T68" s="1198">
        <f>C68/C69-1</f>
        <v>1.063264221158966E-2</v>
      </c>
      <c r="U68" s="1198">
        <f>E68/E69-1</f>
        <v>2.2244466688911224E-2</v>
      </c>
      <c r="V68" s="1198">
        <f>F68/F69-1</f>
        <v>0</v>
      </c>
      <c r="X68" s="1252"/>
      <c r="Y68" s="1252"/>
      <c r="Z68" s="1252"/>
    </row>
    <row r="69" spans="1:26">
      <c r="A69" s="1147" t="s">
        <v>2016</v>
      </c>
      <c r="B69" s="1231">
        <v>111</v>
      </c>
      <c r="C69" s="1231">
        <v>114</v>
      </c>
      <c r="D69" s="1231">
        <f t="shared" si="98"/>
        <v>114</v>
      </c>
      <c r="E69" s="1231">
        <v>108</v>
      </c>
      <c r="F69" s="1232">
        <v>104</v>
      </c>
      <c r="G69" s="3427">
        <v>2003</v>
      </c>
      <c r="H69" s="1172">
        <v>4</v>
      </c>
      <c r="I69" s="1246"/>
      <c r="J69" s="1246"/>
      <c r="K69" s="1246"/>
      <c r="L69" s="1246"/>
      <c r="N69" s="1247"/>
      <c r="O69" s="1246"/>
      <c r="P69" s="1246"/>
      <c r="Q69" s="1246"/>
      <c r="S69" s="1247"/>
      <c r="T69" s="1246"/>
      <c r="U69" s="1246"/>
      <c r="V69" s="1246"/>
      <c r="X69" s="1226"/>
      <c r="Y69" s="1226"/>
      <c r="Z69" s="1226"/>
    </row>
    <row r="70" spans="1:26">
      <c r="A70" s="1147" t="s">
        <v>2017</v>
      </c>
      <c r="B70" s="1233">
        <f t="shared" ref="B70:C72" si="134">B71+(B$69-B$73)/4</f>
        <v>109.75</v>
      </c>
      <c r="C70" s="1233">
        <f t="shared" si="134"/>
        <v>112.25</v>
      </c>
      <c r="D70" s="1233">
        <f t="shared" si="98"/>
        <v>112.25</v>
      </c>
      <c r="E70" s="1233">
        <f t="shared" ref="E70:F72" si="135">E71+(E$69-E$73)/4</f>
        <v>107.25</v>
      </c>
      <c r="F70" s="1233">
        <f t="shared" si="135"/>
        <v>103.5</v>
      </c>
      <c r="G70" s="3428">
        <v>2003</v>
      </c>
      <c r="H70" s="1159">
        <v>3</v>
      </c>
      <c r="I70" s="1246"/>
      <c r="J70" s="1246"/>
      <c r="K70" s="1246"/>
      <c r="L70" s="1246"/>
      <c r="X70" s="1226"/>
      <c r="Y70" s="1226"/>
      <c r="Z70" s="1226"/>
    </row>
    <row r="71" spans="1:26">
      <c r="A71" s="1147" t="s">
        <v>2018</v>
      </c>
      <c r="B71" s="1233">
        <f t="shared" si="134"/>
        <v>108.5</v>
      </c>
      <c r="C71" s="1233">
        <f t="shared" si="134"/>
        <v>110.5</v>
      </c>
      <c r="D71" s="1233">
        <f t="shared" si="98"/>
        <v>110.5</v>
      </c>
      <c r="E71" s="1233">
        <f t="shared" si="135"/>
        <v>106.5</v>
      </c>
      <c r="F71" s="1233">
        <f t="shared" si="135"/>
        <v>103</v>
      </c>
      <c r="G71" s="3428">
        <v>2003</v>
      </c>
      <c r="H71" s="1153">
        <v>2</v>
      </c>
      <c r="I71" s="1246"/>
      <c r="J71" s="1246"/>
      <c r="K71" s="1246"/>
      <c r="L71" s="1246"/>
      <c r="X71" s="1226"/>
      <c r="Y71" s="1226"/>
      <c r="Z71" s="1226"/>
    </row>
    <row r="72" spans="1:26">
      <c r="A72" s="1147" t="s">
        <v>2019</v>
      </c>
      <c r="B72" s="1233">
        <f t="shared" si="134"/>
        <v>107.25</v>
      </c>
      <c r="C72" s="1233">
        <f t="shared" si="134"/>
        <v>108.75</v>
      </c>
      <c r="D72" s="1233">
        <f t="shared" si="98"/>
        <v>108.75</v>
      </c>
      <c r="E72" s="1233">
        <f t="shared" si="135"/>
        <v>105.75</v>
      </c>
      <c r="F72" s="1233">
        <f t="shared" si="135"/>
        <v>102.5</v>
      </c>
      <c r="G72" s="3429">
        <v>2003</v>
      </c>
      <c r="H72" s="1234">
        <v>1</v>
      </c>
      <c r="I72" s="1246"/>
      <c r="J72" s="1246"/>
      <c r="K72" s="1246"/>
      <c r="L72" s="1246"/>
      <c r="S72" s="1180"/>
      <c r="T72" s="1181"/>
      <c r="U72" s="1181"/>
      <c r="X72" s="1226"/>
      <c r="Y72" s="1226"/>
      <c r="Z72" s="1226"/>
    </row>
    <row r="73" spans="1:26">
      <c r="A73" s="1147" t="s">
        <v>2020</v>
      </c>
      <c r="B73" s="1235">
        <v>106</v>
      </c>
      <c r="C73" s="1235">
        <v>107</v>
      </c>
      <c r="D73" s="1235">
        <f t="shared" si="98"/>
        <v>107</v>
      </c>
      <c r="E73" s="1235">
        <v>105</v>
      </c>
      <c r="F73" s="1236">
        <v>102</v>
      </c>
      <c r="G73" s="3427">
        <v>2002</v>
      </c>
      <c r="H73" s="1158">
        <v>4</v>
      </c>
      <c r="I73" s="1246"/>
      <c r="J73" s="1246"/>
      <c r="K73" s="1246"/>
      <c r="L73" s="1246"/>
      <c r="N73" s="1247"/>
      <c r="O73" s="1246"/>
      <c r="P73" s="1246"/>
      <c r="Q73" s="1246"/>
      <c r="S73" s="1247"/>
      <c r="T73" s="1246"/>
      <c r="U73" s="1246"/>
      <c r="V73" s="1246"/>
      <c r="X73" s="1226"/>
      <c r="Y73" s="1226"/>
      <c r="Z73" s="1226"/>
    </row>
    <row r="74" spans="1:26">
      <c r="A74" s="1147" t="s">
        <v>2021</v>
      </c>
      <c r="B74" s="1233">
        <f t="shared" ref="B74:C76" si="136">B75+(B$73-B$77)/4</f>
        <v>105</v>
      </c>
      <c r="C74" s="1233">
        <f t="shared" si="136"/>
        <v>106</v>
      </c>
      <c r="D74" s="1233">
        <f t="shared" si="98"/>
        <v>106</v>
      </c>
      <c r="E74" s="1233">
        <f t="shared" ref="E74:F76" si="137">E75+(E$73-E$77)/4</f>
        <v>104.5</v>
      </c>
      <c r="F74" s="1233">
        <f t="shared" si="137"/>
        <v>101.5</v>
      </c>
      <c r="G74" s="3428">
        <v>2002</v>
      </c>
      <c r="H74" s="1159">
        <v>3</v>
      </c>
      <c r="I74" s="1246"/>
      <c r="J74" s="1246"/>
      <c r="K74" s="1246"/>
      <c r="L74" s="1246"/>
      <c r="X74" s="1226"/>
      <c r="Y74" s="1226"/>
      <c r="Z74" s="1226"/>
    </row>
    <row r="75" spans="1:26">
      <c r="A75" s="1147" t="s">
        <v>2022</v>
      </c>
      <c r="B75" s="1233">
        <f t="shared" si="136"/>
        <v>104</v>
      </c>
      <c r="C75" s="1233">
        <f t="shared" si="136"/>
        <v>105</v>
      </c>
      <c r="D75" s="1233">
        <f t="shared" si="98"/>
        <v>105</v>
      </c>
      <c r="E75" s="1233">
        <f t="shared" si="137"/>
        <v>104</v>
      </c>
      <c r="F75" s="1233">
        <f t="shared" si="137"/>
        <v>101</v>
      </c>
      <c r="G75" s="3428">
        <v>2002</v>
      </c>
      <c r="H75" s="1153">
        <v>2</v>
      </c>
      <c r="I75" s="1246"/>
      <c r="J75" s="1246"/>
      <c r="K75" s="1246"/>
      <c r="L75" s="1246"/>
      <c r="X75" s="1226"/>
      <c r="Y75" s="1226"/>
      <c r="Z75" s="1226"/>
    </row>
    <row r="76" spans="1:26" s="1125" customFormat="1">
      <c r="A76" s="1163" t="s">
        <v>2023</v>
      </c>
      <c r="B76" s="1237">
        <f t="shared" si="136"/>
        <v>103</v>
      </c>
      <c r="C76" s="1237">
        <f t="shared" si="136"/>
        <v>104</v>
      </c>
      <c r="D76" s="1237">
        <f t="shared" si="98"/>
        <v>104</v>
      </c>
      <c r="E76" s="1237">
        <f t="shared" si="137"/>
        <v>103.5</v>
      </c>
      <c r="F76" s="1237">
        <f t="shared" si="137"/>
        <v>100.5</v>
      </c>
      <c r="G76" s="3429">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2024</v>
      </c>
      <c r="G79" s="1243"/>
      <c r="N79" s="1243"/>
      <c r="S79" s="1243"/>
    </row>
    <row r="80" spans="1:26" s="1127" customFormat="1">
      <c r="A80" s="1127" t="s">
        <v>2025</v>
      </c>
      <c r="G80" s="1243"/>
      <c r="N80" s="1243"/>
      <c r="S80" s="1243"/>
    </row>
    <row r="81" spans="1:22" s="1127" customFormat="1">
      <c r="A81" s="1127" t="s">
        <v>2026</v>
      </c>
      <c r="G81" s="1243"/>
      <c r="I81" s="1250"/>
      <c r="J81" s="1250"/>
      <c r="K81" s="1250"/>
      <c r="L81" s="1250"/>
      <c r="N81" s="1251"/>
      <c r="O81" s="1250"/>
      <c r="P81" s="1250"/>
      <c r="Q81" s="1250"/>
      <c r="S81" s="1251"/>
      <c r="T81" s="1250"/>
      <c r="U81" s="1250"/>
      <c r="V81" s="1250"/>
    </row>
    <row r="82" spans="1:22" s="1127" customFormat="1">
      <c r="A82" s="1127" t="s">
        <v>2027</v>
      </c>
      <c r="G82" s="1243"/>
      <c r="N82" s="1243"/>
      <c r="S82" s="1243"/>
    </row>
    <row r="90" spans="1:22">
      <c r="G90" s="1128"/>
      <c r="S90" s="1254" t="s">
        <v>2028</v>
      </c>
      <c r="T90" s="1255" t="s">
        <v>2029</v>
      </c>
      <c r="U90" s="1255" t="s">
        <v>2030</v>
      </c>
      <c r="V90" s="1255" t="s">
        <v>2031</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56.25">
      <c r="A7" s="3129" t="s">
        <v>84</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IF(项目基本情况!B9="市场价格","——",IF(项目基本情况!E9="——","",定义!C57))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1245</v>
      </c>
      <c r="B2" s="1111" t="e">
        <f ca="1">SUMIF(B7:B14,"&lt;&gt;#ref!",B7:B14)</f>
        <v>#DIV/0!</v>
      </c>
      <c r="C2" s="1110" t="s">
        <v>1173</v>
      </c>
      <c r="D2" s="1109"/>
      <c r="E2" s="1109"/>
      <c r="F2" s="1109"/>
    </row>
    <row r="3" spans="1:6" ht="14.25">
      <c r="A3" s="1110" t="s">
        <v>927</v>
      </c>
      <c r="B3" s="1111" t="e">
        <f ca="1">ROUND(B2*10000/E3,0)</f>
        <v>#DIV/0!</v>
      </c>
      <c r="C3" s="1110" t="s">
        <v>1247</v>
      </c>
      <c r="D3" s="1110" t="s">
        <v>2032</v>
      </c>
      <c r="E3" s="1111">
        <f ca="1">SUMIF(E7:E14,"&lt;&gt;#ref!",E7:E14)</f>
        <v>0</v>
      </c>
      <c r="F3" s="1109"/>
    </row>
    <row r="4" spans="1:6" ht="14.25">
      <c r="A4" s="1110" t="s">
        <v>1252</v>
      </c>
      <c r="B4" s="1111" t="e">
        <f ca="1">ROUND(B2*10000/E4,0)</f>
        <v>#DIV/0!</v>
      </c>
      <c r="C4" s="1110" t="s">
        <v>1247</v>
      </c>
      <c r="D4" s="1110" t="s">
        <v>2033</v>
      </c>
      <c r="E4" s="1111">
        <f ca="1">SUMIF(F7:F14,"&lt;&gt;#ref!",F7:F14)</f>
        <v>0</v>
      </c>
      <c r="F4" s="1109"/>
    </row>
    <row r="5" spans="1:6" ht="14.25">
      <c r="A5" s="1112"/>
      <c r="B5" s="1113"/>
      <c r="C5" s="1113"/>
      <c r="D5" s="1113"/>
      <c r="E5" s="1113"/>
      <c r="F5" s="1109"/>
    </row>
    <row r="6" spans="1:6" ht="28.5">
      <c r="A6" s="1114" t="s">
        <v>2034</v>
      </c>
      <c r="B6" s="1110" t="s">
        <v>2035</v>
      </c>
      <c r="C6" s="1111"/>
      <c r="D6" s="1113"/>
      <c r="E6" s="1110" t="s">
        <v>385</v>
      </c>
      <c r="F6" s="1110" t="s">
        <v>388</v>
      </c>
    </row>
    <row r="7" spans="1:6" ht="14.25">
      <c r="A7" s="1115" t="s">
        <v>173</v>
      </c>
      <c r="B7" s="1116" t="e">
        <f ca="1">SUMIF(INDIRECT("'"&amp;A7&amp;"'"&amp;"!A:A"),"总价",INDIRECT("'"&amp;A7&amp;"'"&amp;"!B:B"))</f>
        <v>#DIV/0!</v>
      </c>
      <c r="C7" s="1110" t="s">
        <v>1173</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1173</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1173</v>
      </c>
      <c r="D9" s="1113"/>
      <c r="E9" s="1117" t="e">
        <f t="shared" ca="1" si="1"/>
        <v>#REF!</v>
      </c>
      <c r="F9" s="1117" t="e">
        <f t="shared" ca="1" si="2"/>
        <v>#REF!</v>
      </c>
    </row>
    <row r="10" spans="1:6" ht="14.25">
      <c r="A10" s="1115"/>
      <c r="B10" s="1116" t="e">
        <f t="shared" ca="1" si="0"/>
        <v>#REF!</v>
      </c>
      <c r="C10" s="1110" t="s">
        <v>1173</v>
      </c>
      <c r="D10" s="1113"/>
      <c r="E10" s="1117" t="e">
        <f t="shared" ca="1" si="1"/>
        <v>#REF!</v>
      </c>
      <c r="F10" s="1117" t="e">
        <f t="shared" ca="1" si="2"/>
        <v>#REF!</v>
      </c>
    </row>
    <row r="11" spans="1:6" ht="14.25">
      <c r="A11" s="1115"/>
      <c r="B11" s="1116" t="e">
        <f t="shared" ca="1" si="0"/>
        <v>#REF!</v>
      </c>
      <c r="C11" s="1110" t="s">
        <v>1173</v>
      </c>
      <c r="D11" s="1113"/>
      <c r="E11" s="1117" t="e">
        <f t="shared" ca="1" si="1"/>
        <v>#REF!</v>
      </c>
      <c r="F11" s="1117" t="e">
        <f t="shared" ca="1" si="2"/>
        <v>#REF!</v>
      </c>
    </row>
    <row r="12" spans="1:6" ht="14.25">
      <c r="A12" s="1115"/>
      <c r="B12" s="1116" t="e">
        <f t="shared" ca="1" si="0"/>
        <v>#REF!</v>
      </c>
      <c r="C12" s="1110" t="s">
        <v>1173</v>
      </c>
      <c r="D12" s="1113"/>
      <c r="E12" s="1117" t="e">
        <f t="shared" ca="1" si="1"/>
        <v>#REF!</v>
      </c>
      <c r="F12" s="1117" t="e">
        <f t="shared" ca="1" si="2"/>
        <v>#REF!</v>
      </c>
    </row>
    <row r="13" spans="1:6" ht="14.25">
      <c r="A13" s="1115"/>
      <c r="B13" s="1116" t="e">
        <f t="shared" ca="1" si="0"/>
        <v>#REF!</v>
      </c>
      <c r="C13" s="1110" t="s">
        <v>1173</v>
      </c>
      <c r="D13" s="1113"/>
      <c r="E13" s="1117" t="e">
        <f t="shared" ca="1" si="1"/>
        <v>#REF!</v>
      </c>
      <c r="F13" s="1117" t="e">
        <f t="shared" ca="1" si="2"/>
        <v>#REF!</v>
      </c>
    </row>
    <row r="14" spans="1:6" ht="14.25">
      <c r="A14" s="1118"/>
      <c r="B14" s="1116" t="e">
        <f t="shared" ca="1" si="0"/>
        <v>#REF!</v>
      </c>
      <c r="C14" s="1110" t="s">
        <v>1173</v>
      </c>
      <c r="D14" s="1113"/>
      <c r="E14" s="1117" t="e">
        <f t="shared" ca="1" si="1"/>
        <v>#REF!</v>
      </c>
      <c r="F14" s="111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2036</v>
      </c>
      <c r="B1" s="618"/>
      <c r="C1" s="619"/>
      <c r="D1" s="624"/>
      <c r="E1" s="621" t="s">
        <v>598</v>
      </c>
      <c r="F1" s="622">
        <f ca="1">J54</f>
        <v>0</v>
      </c>
      <c r="G1" s="623">
        <f>MATCH(C1,'数据-取费表'!A6:A16,0)+5</f>
        <v>10</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2037</v>
      </c>
      <c r="I3" s="625"/>
      <c r="J3" s="625"/>
      <c r="K3" s="766"/>
      <c r="L3" s="625"/>
      <c r="M3" s="625"/>
    </row>
    <row r="4" spans="1:25" ht="18" customHeight="1">
      <c r="A4" s="1058" t="s">
        <v>1141</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2038</v>
      </c>
      <c r="B6" s="1062" t="s">
        <v>2039</v>
      </c>
      <c r="C6" s="1062" t="s">
        <v>2040</v>
      </c>
      <c r="D6" s="1062" t="s">
        <v>2041</v>
      </c>
      <c r="E6" s="634" t="s">
        <v>2042</v>
      </c>
      <c r="F6" s="635"/>
      <c r="G6" s="636"/>
      <c r="H6" s="1061" t="s">
        <v>2038</v>
      </c>
      <c r="I6" s="1062" t="s">
        <v>2039</v>
      </c>
      <c r="J6" s="1062" t="s">
        <v>2040</v>
      </c>
      <c r="K6" s="1062" t="s">
        <v>2041</v>
      </c>
      <c r="L6" s="634" t="s">
        <v>2042</v>
      </c>
      <c r="M6" s="635"/>
    </row>
    <row r="7" spans="1:25" ht="18" customHeight="1">
      <c r="A7" s="637">
        <v>1</v>
      </c>
      <c r="B7" s="638" t="s">
        <v>2043</v>
      </c>
      <c r="C7" s="121">
        <f ca="1">C8+C12+C14</f>
        <v>0</v>
      </c>
      <c r="D7" s="640" t="s">
        <v>2044</v>
      </c>
      <c r="E7" s="641"/>
      <c r="F7" s="642"/>
      <c r="G7" s="636"/>
      <c r="H7" s="637">
        <v>1</v>
      </c>
      <c r="I7" s="638" t="s">
        <v>2043</v>
      </c>
      <c r="J7" s="121">
        <f ca="1">J8+J12+J14</f>
        <v>0</v>
      </c>
      <c r="K7" s="640" t="s">
        <v>2044</v>
      </c>
      <c r="L7" s="641"/>
      <c r="M7" s="642"/>
    </row>
    <row r="8" spans="1:25" ht="18" customHeight="1">
      <c r="A8" s="643" t="s">
        <v>862</v>
      </c>
      <c r="B8" s="3440" t="s">
        <v>2045</v>
      </c>
      <c r="C8" s="1063">
        <f ca="1">ROUND(F8*F10*F9*(1-F11)/10000,0)</f>
        <v>0</v>
      </c>
      <c r="D8" s="1064" t="s">
        <v>2046</v>
      </c>
      <c r="E8" s="1065" t="s">
        <v>2047</v>
      </c>
      <c r="F8" s="647">
        <f ca="1">INDIRECT("'数据-取费表'!u"&amp;$G$1)</f>
        <v>0</v>
      </c>
      <c r="G8" s="636"/>
      <c r="H8" s="648" t="s">
        <v>862</v>
      </c>
      <c r="I8" s="3440" t="s">
        <v>2045</v>
      </c>
      <c r="J8" s="644">
        <f ca="1">ROUND(M8*M10*M9*(1-M11)/10000,0)</f>
        <v>0</v>
      </c>
      <c r="K8" s="718" t="s">
        <v>2046</v>
      </c>
      <c r="L8" s="646" t="s">
        <v>2047</v>
      </c>
      <c r="M8" s="647">
        <f ca="1">INDIRECT("'数据-取费表'!z"&amp;$G$1)</f>
        <v>0</v>
      </c>
    </row>
    <row r="9" spans="1:25" ht="18" customHeight="1">
      <c r="A9" s="649"/>
      <c r="B9" s="3441"/>
      <c r="C9" s="1066"/>
      <c r="D9" s="1067"/>
      <c r="E9" s="1065" t="s">
        <v>2048</v>
      </c>
      <c r="F9" s="647">
        <f ca="1">IF(INDIRECT("'数据-取费表'!ah"&amp;$G$1)="",INDIRECT("'数据-取费表'!k"&amp;$G$1),INDIRECT("'数据-取费表'!ah"&amp;$G$1))</f>
        <v>0</v>
      </c>
      <c r="G9" s="636"/>
      <c r="H9" s="652"/>
      <c r="I9" s="3441"/>
      <c r="J9" s="650"/>
      <c r="K9" s="651"/>
      <c r="L9" s="646" t="s">
        <v>2048</v>
      </c>
      <c r="M9" s="647">
        <f ca="1">F9</f>
        <v>0</v>
      </c>
    </row>
    <row r="10" spans="1:25" ht="18" customHeight="1">
      <c r="A10" s="653"/>
      <c r="B10" s="3442"/>
      <c r="C10" s="1066"/>
      <c r="D10" s="1067"/>
      <c r="E10" s="1065" t="s">
        <v>2049</v>
      </c>
      <c r="F10" s="647">
        <f ca="1">INDIRECT("'数据-取费表'!ai"&amp;$G$1)</f>
        <v>0</v>
      </c>
      <c r="G10" s="636"/>
      <c r="H10" s="652"/>
      <c r="I10" s="3442"/>
      <c r="J10" s="650"/>
      <c r="K10" s="651"/>
      <c r="L10" s="646" t="s">
        <v>2049</v>
      </c>
      <c r="M10" s="647">
        <f ca="1">INDIRECT("'数据-取费表'!ai"&amp;$G$1)</f>
        <v>0</v>
      </c>
    </row>
    <row r="11" spans="1:25" ht="18" customHeight="1">
      <c r="A11" s="654"/>
      <c r="B11" s="3443"/>
      <c r="C11" s="1066"/>
      <c r="D11" s="1067"/>
      <c r="E11" s="1065" t="s">
        <v>2050</v>
      </c>
      <c r="F11" s="655">
        <f ca="1">INDIRECT("'数据-取费表'!w"&amp;$G$1)</f>
        <v>0</v>
      </c>
      <c r="G11" s="636"/>
      <c r="H11" s="656"/>
      <c r="I11" s="3442"/>
      <c r="J11" s="650"/>
      <c r="K11" s="651"/>
      <c r="L11" s="699" t="s">
        <v>2050</v>
      </c>
      <c r="M11" s="665">
        <f ca="1">INDIRECT("'数据-取费表'!ab"&amp;$G$1)</f>
        <v>0</v>
      </c>
    </row>
    <row r="12" spans="1:25" ht="18" customHeight="1">
      <c r="A12" s="643" t="s">
        <v>864</v>
      </c>
      <c r="B12" s="657" t="s">
        <v>2051</v>
      </c>
      <c r="C12" s="120">
        <f ca="1">ROUND(IF(F12="押一",C8/12*F13,IF(F12="押二",C8/12*2*F13,IF(F12="押三",C8/12*3*F13,C13*F13))),0)</f>
        <v>0</v>
      </c>
      <c r="D12" s="658" t="s">
        <v>2052</v>
      </c>
      <c r="E12" s="659" t="s">
        <v>2053</v>
      </c>
      <c r="F12" s="660"/>
      <c r="G12" s="636"/>
      <c r="H12" s="661" t="s">
        <v>864</v>
      </c>
      <c r="I12" s="769" t="s">
        <v>2051</v>
      </c>
      <c r="J12" s="644">
        <f ca="1">ROUND(IF(M12="押一",J8/12*M13,IF(M12="押二",J8/12*2*M13,IF(M12="押三",J8/12*3*M13,J13*M13))),0)</f>
        <v>0</v>
      </c>
      <c r="K12" s="658" t="s">
        <v>2052</v>
      </c>
      <c r="L12" s="659" t="s">
        <v>2053</v>
      </c>
      <c r="M12" s="660"/>
    </row>
    <row r="13" spans="1:25" ht="18" customHeight="1">
      <c r="A13" s="662"/>
      <c r="B13" s="663" t="s">
        <v>2054</v>
      </c>
      <c r="C13" s="664"/>
      <c r="D13" s="651"/>
      <c r="E13" s="659" t="s">
        <v>644</v>
      </c>
      <c r="F13" s="665">
        <f ca="1">'数据-取费表'!B39</f>
        <v>1.4999999999999999E-2</v>
      </c>
      <c r="G13" s="636"/>
      <c r="H13" s="666"/>
      <c r="I13" s="663" t="s">
        <v>2054</v>
      </c>
      <c r="J13" s="664"/>
      <c r="K13" s="770"/>
      <c r="L13" s="659" t="s">
        <v>644</v>
      </c>
      <c r="M13" s="771">
        <f ca="1">'数据-取费表'!B39</f>
        <v>1.4999999999999999E-2</v>
      </c>
    </row>
    <row r="14" spans="1:25" ht="18" customHeight="1">
      <c r="A14" s="667" t="s">
        <v>1146</v>
      </c>
      <c r="B14" s="668" t="s">
        <v>2055</v>
      </c>
      <c r="C14" s="669"/>
      <c r="D14" s="670"/>
      <c r="E14" s="671"/>
      <c r="F14" s="672"/>
      <c r="G14" s="636"/>
      <c r="H14" s="673" t="s">
        <v>1146</v>
      </c>
      <c r="I14" s="772" t="s">
        <v>2055</v>
      </c>
      <c r="J14" s="773"/>
      <c r="K14" s="670"/>
      <c r="L14" s="671"/>
      <c r="M14" s="774"/>
    </row>
    <row r="15" spans="1:25" ht="18" customHeight="1">
      <c r="A15" s="674" t="s">
        <v>868</v>
      </c>
      <c r="B15" s="675" t="s">
        <v>2056</v>
      </c>
      <c r="C15" s="676">
        <f ca="1">ROUND(C31*F15,0)</f>
        <v>0</v>
      </c>
      <c r="D15" s="677" t="s">
        <v>2057</v>
      </c>
      <c r="E15" s="699" t="s">
        <v>2058</v>
      </c>
      <c r="F15" s="758">
        <f ca="1">INDIRECT("'数据-取费表'!y"&amp;$G$1)</f>
        <v>0</v>
      </c>
      <c r="G15" s="636"/>
      <c r="H15" s="674" t="s">
        <v>868</v>
      </c>
      <c r="I15" s="675" t="s">
        <v>2059</v>
      </c>
      <c r="J15" s="775">
        <f ca="1">ROUND(J16*J17,0)</f>
        <v>0</v>
      </c>
      <c r="K15" s="708" t="s">
        <v>2057</v>
      </c>
      <c r="L15" s="778"/>
      <c r="M15" s="779"/>
    </row>
    <row r="16" spans="1:25" ht="18" customHeight="1">
      <c r="A16" s="1068" t="s">
        <v>886</v>
      </c>
      <c r="B16" s="646" t="s">
        <v>1153</v>
      </c>
      <c r="C16" s="680">
        <f ca="1">INDIRECT("'数据-取费表'!m"&amp;$G$1)+INDIRECT("'数据-取费表'!t"&amp;$G$1)</f>
        <v>0</v>
      </c>
      <c r="D16" s="681" t="s">
        <v>2060</v>
      </c>
      <c r="E16" s="682"/>
      <c r="F16" s="683"/>
      <c r="G16" s="636"/>
      <c r="H16" s="1068" t="s">
        <v>862</v>
      </c>
      <c r="I16" s="761" t="s">
        <v>2061</v>
      </c>
      <c r="J16" s="121">
        <f ca="1">C31</f>
        <v>0</v>
      </c>
      <c r="K16" s="762"/>
      <c r="L16" s="778"/>
      <c r="M16" s="779"/>
    </row>
    <row r="17" spans="1:25" s="611" customFormat="1" ht="18" customHeight="1">
      <c r="A17" s="1068" t="s">
        <v>1154</v>
      </c>
      <c r="B17" s="646" t="s">
        <v>1155</v>
      </c>
      <c r="C17" s="121">
        <f ca="1">ROUND(C16*F17,0)</f>
        <v>0</v>
      </c>
      <c r="D17" s="685" t="s">
        <v>2062</v>
      </c>
      <c r="E17" s="685" t="s">
        <v>2063</v>
      </c>
      <c r="F17" s="686">
        <f>'数据-取费表'!B33</f>
        <v>0.03</v>
      </c>
      <c r="G17" s="687"/>
      <c r="H17" s="1068" t="s">
        <v>864</v>
      </c>
      <c r="I17" s="646" t="s">
        <v>2058</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1157</v>
      </c>
      <c r="B18" s="646" t="s">
        <v>1158</v>
      </c>
      <c r="C18" s="121">
        <f ca="1">ROUND(INDIRECT("'数据-取费表'!m"&amp;$G$1)*F18,0)</f>
        <v>0</v>
      </c>
      <c r="D18" s="646" t="s">
        <v>2062</v>
      </c>
      <c r="E18" s="646" t="s">
        <v>2063</v>
      </c>
      <c r="F18" s="688">
        <f ca="1">IF(INDIRECT("'数据-取费表'!c"&amp;$G$1)="住宅",'数据-取费表'!B34,0)</f>
        <v>0</v>
      </c>
      <c r="G18" s="636"/>
      <c r="H18" s="759" t="s">
        <v>873</v>
      </c>
      <c r="I18" s="760" t="s">
        <v>2064</v>
      </c>
      <c r="J18" s="120">
        <f ca="1">ROUND(J19+J24+J25+J26,0)</f>
        <v>0</v>
      </c>
      <c r="K18" s="762" t="s">
        <v>2065</v>
      </c>
      <c r="L18" s="123"/>
      <c r="M18" s="689"/>
    </row>
    <row r="19" spans="1:25" s="611" customFormat="1" ht="18" customHeight="1">
      <c r="A19" s="1068" t="s">
        <v>1160</v>
      </c>
      <c r="B19" s="646" t="s">
        <v>2066</v>
      </c>
      <c r="C19" s="121">
        <f ca="1">ROUND(F19*(INDIRECT("'数据-取费表'!k"&amp;$G$1)+INDIRECT("'数据-取费表'!S"&amp;$G$1))/10000,0)</f>
        <v>0</v>
      </c>
      <c r="D19" s="646" t="s">
        <v>2067</v>
      </c>
      <c r="E19" s="646" t="s">
        <v>2068</v>
      </c>
      <c r="F19" s="689">
        <f>'数据-取费表'!B35</f>
        <v>200</v>
      </c>
      <c r="G19" s="687"/>
      <c r="H19" s="1068" t="s">
        <v>862</v>
      </c>
      <c r="I19" s="646" t="s">
        <v>2069</v>
      </c>
      <c r="J19" s="712">
        <f ca="1">ROUND(IF(项目基本情况!B11="自然人",J8*M19/(1+'数据-取费表'!C42),J20+J21+J22),0)</f>
        <v>0</v>
      </c>
      <c r="K19" s="681" t="s">
        <v>2070</v>
      </c>
      <c r="L19" s="713" t="s">
        <v>2071</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1162</v>
      </c>
      <c r="B20" s="646" t="s">
        <v>1163</v>
      </c>
      <c r="C20" s="121">
        <f ca="1">ROUND(C16*F20,0)</f>
        <v>0</v>
      </c>
      <c r="D20" s="646" t="s">
        <v>2062</v>
      </c>
      <c r="E20" s="646" t="s">
        <v>2063</v>
      </c>
      <c r="F20" s="688">
        <f>'数据-取费表'!B36</f>
        <v>1.4999999999999999E-2</v>
      </c>
      <c r="G20" s="687"/>
      <c r="H20" s="1068" t="s">
        <v>886</v>
      </c>
      <c r="I20" s="646" t="s">
        <v>2072</v>
      </c>
      <c r="J20" s="712">
        <f ca="1">ROUND(J8*M20/(1+'数据-取费表'!C42),1)</f>
        <v>0</v>
      </c>
      <c r="K20" s="713" t="s">
        <v>2073</v>
      </c>
      <c r="L20" s="646" t="s">
        <v>2063</v>
      </c>
      <c r="M20" s="688">
        <f>'数据-取费表'!B41</f>
        <v>5.5000000000000007E-2</v>
      </c>
      <c r="N20" s="784"/>
      <c r="O20" s="784"/>
      <c r="P20" s="784"/>
      <c r="Q20" s="784"/>
      <c r="R20" s="784"/>
      <c r="S20" s="784"/>
      <c r="T20" s="784"/>
      <c r="U20" s="784"/>
      <c r="V20" s="784"/>
      <c r="W20" s="784"/>
      <c r="X20" s="784"/>
      <c r="Y20" s="784"/>
    </row>
    <row r="21" spans="1:25" ht="18" customHeight="1">
      <c r="A21" s="1068" t="s">
        <v>862</v>
      </c>
      <c r="B21" s="646" t="s">
        <v>2074</v>
      </c>
      <c r="C21" s="121">
        <f ca="1">SUM(C16:C20)</f>
        <v>0</v>
      </c>
      <c r="D21" s="690" t="s">
        <v>2075</v>
      </c>
      <c r="E21" s="123"/>
      <c r="F21" s="689"/>
      <c r="G21" s="636"/>
      <c r="H21" s="643" t="s">
        <v>1154</v>
      </c>
      <c r="I21" s="646" t="s">
        <v>2076</v>
      </c>
      <c r="J21" s="712">
        <f ca="1">IF(K21="按租金收入计税",ROUND(J8*M21/(1+'数据-取费表'!C42),1),ROUND(C31*F35*0.7,1))</f>
        <v>0</v>
      </c>
      <c r="K21" s="716" t="s">
        <v>2077</v>
      </c>
      <c r="L21" s="646" t="s">
        <v>2063</v>
      </c>
      <c r="M21" s="688">
        <f>IF(K21="按租金收入计税",'数据-取费表'!B51,'数据-取费表'!B50)</f>
        <v>1.2E-2</v>
      </c>
    </row>
    <row r="22" spans="1:25" s="611" customFormat="1" ht="18" customHeight="1">
      <c r="A22" s="1068" t="s">
        <v>2078</v>
      </c>
      <c r="B22" s="646" t="s">
        <v>2079</v>
      </c>
      <c r="C22" s="121">
        <f ca="1">ROUND(C21*F22,0)</f>
        <v>0</v>
      </c>
      <c r="D22" s="691" t="s">
        <v>2080</v>
      </c>
      <c r="E22" s="646" t="s">
        <v>2063</v>
      </c>
      <c r="F22" s="688">
        <f>'数据-取费表'!B37</f>
        <v>0.02</v>
      </c>
      <c r="G22" s="687"/>
      <c r="H22" s="1069" t="s">
        <v>1157</v>
      </c>
      <c r="I22" s="1064" t="s">
        <v>2081</v>
      </c>
      <c r="J22" s="719">
        <f ca="1">ROUND(M22*M23/10000,0)</f>
        <v>0</v>
      </c>
      <c r="K22" s="720" t="s">
        <v>2082</v>
      </c>
      <c r="L22" s="646" t="s">
        <v>2083</v>
      </c>
      <c r="M22" s="696">
        <f>'数据-取费表'!B52</f>
        <v>5</v>
      </c>
      <c r="N22" s="784"/>
      <c r="O22" s="784"/>
      <c r="P22" s="784"/>
      <c r="Q22" s="784"/>
      <c r="R22" s="784"/>
      <c r="S22" s="784"/>
      <c r="T22" s="784"/>
      <c r="U22" s="784"/>
      <c r="V22" s="784"/>
      <c r="W22" s="784"/>
      <c r="X22" s="784"/>
      <c r="Y22" s="784"/>
    </row>
    <row r="23" spans="1:25" s="611" customFormat="1" ht="18" customHeight="1">
      <c r="A23" s="1068" t="s">
        <v>2084</v>
      </c>
      <c r="B23" s="646" t="s">
        <v>2085</v>
      </c>
      <c r="C23" s="121" t="s">
        <v>138</v>
      </c>
      <c r="D23" s="691" t="s">
        <v>2086</v>
      </c>
      <c r="E23" s="646" t="s">
        <v>2087</v>
      </c>
      <c r="F23" s="688">
        <f>'数据-取费表'!B38</f>
        <v>0.02</v>
      </c>
      <c r="G23" s="687"/>
      <c r="H23" s="1070"/>
      <c r="I23" s="1102"/>
      <c r="J23" s="723"/>
      <c r="K23" s="724"/>
      <c r="L23" s="646" t="s">
        <v>2088</v>
      </c>
      <c r="M23" s="647">
        <f ca="1">INDIRECT("'数据-取费表'!r"&amp;$G$1)</f>
        <v>0</v>
      </c>
      <c r="N23" s="784"/>
      <c r="O23" s="784"/>
      <c r="P23" s="784"/>
      <c r="Q23" s="784"/>
      <c r="R23" s="784"/>
      <c r="S23" s="784"/>
      <c r="T23" s="784"/>
      <c r="U23" s="784"/>
      <c r="V23" s="784"/>
      <c r="W23" s="784"/>
      <c r="X23" s="784"/>
      <c r="Y23" s="784"/>
    </row>
    <row r="24" spans="1:25" ht="18" customHeight="1">
      <c r="A24" s="1068" t="s">
        <v>2089</v>
      </c>
      <c r="B24" s="646" t="s">
        <v>2090</v>
      </c>
      <c r="C24" s="121"/>
      <c r="D24" s="694" t="str">
        <f>IF(F25&lt;=1,"单利计息。","复利计息。")&amp;"建造成本、管理费用、销售费用产生的利息。"</f>
        <v>复利计息。建造成本、管理费用、销售费用产生的利息。</v>
      </c>
      <c r="E24" s="123"/>
      <c r="F24" s="689"/>
      <c r="G24" s="636"/>
      <c r="H24" s="1071" t="s">
        <v>864</v>
      </c>
      <c r="I24" s="646" t="s">
        <v>2091</v>
      </c>
      <c r="J24" s="121">
        <f ca="1">ROUND(J16*M24,0)</f>
        <v>0</v>
      </c>
      <c r="K24" s="713" t="s">
        <v>2092</v>
      </c>
      <c r="L24" s="646" t="s">
        <v>2063</v>
      </c>
      <c r="M24" s="725">
        <f ca="1">INDIRECT("'数据-取费表'!Ak"&amp;$G$1)</f>
        <v>0</v>
      </c>
    </row>
    <row r="25" spans="1:25" s="611" customFormat="1" ht="18" customHeight="1">
      <c r="A25" s="1068" t="s">
        <v>886</v>
      </c>
      <c r="B25" s="646" t="s">
        <v>2093</v>
      </c>
      <c r="C25" s="121">
        <f ca="1">ROUND(IF('数据-取费表'!B22&lt;=1,(C21+C22)*F26*F25/2,(C21+C22)*(POWER((1+F26),F25/2)-1)),0)</f>
        <v>0</v>
      </c>
      <c r="D25" s="695" t="str">
        <f>IF(F25&lt;=1,"(建造成本+管理费用)×利率×(建设周期÷2)","(建造成本+管理费用)×((1+利率)^(建设周期÷2)-1)")</f>
        <v>(建造成本+管理费用)×((1+利率)^(建设周期÷2)-1)</v>
      </c>
      <c r="E25" s="646" t="s">
        <v>2094</v>
      </c>
      <c r="F25" s="696">
        <f>'数据-取费表'!B20</f>
        <v>2</v>
      </c>
      <c r="G25" s="687"/>
      <c r="H25" s="1068" t="s">
        <v>2084</v>
      </c>
      <c r="I25" s="646" t="s">
        <v>2095</v>
      </c>
      <c r="J25" s="121">
        <f ca="1">ROUND(J15*M25,0)</f>
        <v>0</v>
      </c>
      <c r="K25" s="713" t="s">
        <v>2096</v>
      </c>
      <c r="L25" s="646" t="s">
        <v>2063</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1154</v>
      </c>
      <c r="B26" s="646" t="s">
        <v>2097</v>
      </c>
      <c r="C26" s="121">
        <f ca="1">ROUND(IF('数据-取费表'!B22&lt;=1,F23*F26*F25/2,F23*(POWER((1+F26),F25/2)-1)),4)</f>
        <v>1E-3</v>
      </c>
      <c r="D26" s="695" t="str">
        <f>IF(F25&lt;=1,"销售费用×利率×(建设周期÷2)","销售费用×((1+利率)^(建设周期÷2)-1)")</f>
        <v>销售费用×((1+利率)^(建设周期÷2)-1)</v>
      </c>
      <c r="E26" s="646" t="s">
        <v>2098</v>
      </c>
      <c r="F26" s="697">
        <f ca="1">'数据-取费表'!B40</f>
        <v>4.7500000000000001E-2</v>
      </c>
      <c r="G26" s="687"/>
      <c r="H26" s="1068" t="s">
        <v>2089</v>
      </c>
      <c r="I26" s="646" t="s">
        <v>2079</v>
      </c>
      <c r="J26" s="121">
        <f ca="1">ROUND(J7*M26,0)</f>
        <v>0</v>
      </c>
      <c r="K26" s="713" t="s">
        <v>2099</v>
      </c>
      <c r="L26" s="646" t="s">
        <v>2063</v>
      </c>
      <c r="M26" s="655">
        <f ca="1">INDIRECT("'数据-取费表'!Am"&amp;$G$1)</f>
        <v>0</v>
      </c>
      <c r="N26" s="784"/>
      <c r="O26" s="784"/>
      <c r="P26" s="784"/>
      <c r="Q26" s="784"/>
      <c r="R26" s="784"/>
      <c r="S26" s="784"/>
      <c r="T26" s="784"/>
      <c r="U26" s="784"/>
      <c r="V26" s="784"/>
      <c r="W26" s="784"/>
      <c r="X26" s="784"/>
      <c r="Y26" s="784"/>
    </row>
    <row r="27" spans="1:25" ht="18" customHeight="1">
      <c r="A27" s="1068" t="s">
        <v>2100</v>
      </c>
      <c r="B27" s="646" t="s">
        <v>2101</v>
      </c>
      <c r="C27" s="121"/>
      <c r="D27" s="690" t="s">
        <v>2102</v>
      </c>
      <c r="E27" s="123"/>
      <c r="F27" s="689"/>
      <c r="G27" s="636"/>
      <c r="H27" s="759" t="s">
        <v>876</v>
      </c>
      <c r="I27" s="868" t="s">
        <v>2103</v>
      </c>
      <c r="J27" s="120">
        <f ca="1">J7-J18</f>
        <v>0</v>
      </c>
      <c r="K27" s="681" t="s">
        <v>2104</v>
      </c>
      <c r="L27" s="869"/>
      <c r="M27" s="870"/>
    </row>
    <row r="28" spans="1:25" ht="18" customHeight="1">
      <c r="A28" s="1068" t="s">
        <v>886</v>
      </c>
      <c r="B28" s="646" t="s">
        <v>2105</v>
      </c>
      <c r="C28" s="121">
        <f ca="1">ROUND((C21+C22)*F28,0)</f>
        <v>0</v>
      </c>
      <c r="D28" s="691" t="s">
        <v>2106</v>
      </c>
      <c r="E28" s="699" t="s">
        <v>2107</v>
      </c>
      <c r="F28" s="655">
        <f ca="1">INDIRECT("'数据-取费表'!q"&amp;$G$1)</f>
        <v>0</v>
      </c>
      <c r="G28" s="636"/>
      <c r="H28" s="637" t="s">
        <v>902</v>
      </c>
      <c r="I28" s="638" t="s">
        <v>2108</v>
      </c>
      <c r="J28" s="644">
        <f ca="1">IF(J7&lt;&gt;0,ROUND(J27*(1-((1+M30)/(1+M28))^M29)/(M28-M30),0),0)</f>
        <v>0</v>
      </c>
      <c r="K28" s="720" t="s">
        <v>2109</v>
      </c>
      <c r="L28" s="646" t="s">
        <v>2110</v>
      </c>
      <c r="M28" s="655">
        <f ca="1">INDIRECT("'数据-取费表'!I"&amp;$G$1)</f>
        <v>0</v>
      </c>
    </row>
    <row r="29" spans="1:25" ht="18" customHeight="1">
      <c r="A29" s="1068" t="s">
        <v>1154</v>
      </c>
      <c r="B29" s="646" t="s">
        <v>2111</v>
      </c>
      <c r="C29" s="121">
        <f ca="1">ROUND(F23*F28,4)</f>
        <v>0</v>
      </c>
      <c r="D29" s="691" t="s">
        <v>2112</v>
      </c>
      <c r="E29" s="685"/>
      <c r="F29" s="686"/>
      <c r="G29" s="636"/>
      <c r="H29" s="654"/>
      <c r="I29" s="732"/>
      <c r="J29" s="650"/>
      <c r="K29" s="733" t="s">
        <v>2113</v>
      </c>
      <c r="L29" s="646" t="s">
        <v>2114</v>
      </c>
      <c r="M29" s="734">
        <f ca="1">INDIRECT("'数据-取费表'!ag"&amp;$G$1)</f>
        <v>0</v>
      </c>
    </row>
    <row r="30" spans="1:25" s="611" customFormat="1" ht="18" customHeight="1">
      <c r="A30" s="1068" t="s">
        <v>2115</v>
      </c>
      <c r="B30" s="646" t="s">
        <v>2116</v>
      </c>
      <c r="C30" s="121">
        <f>ROUND(F30/(1+'数据-取费表'!C42),4)</f>
        <v>5.2400000000000002E-2</v>
      </c>
      <c r="D30" s="691" t="s">
        <v>2117</v>
      </c>
      <c r="E30" s="646" t="s">
        <v>2063</v>
      </c>
      <c r="F30" s="688">
        <f>'数据-取费表'!B41</f>
        <v>5.5000000000000007E-2</v>
      </c>
      <c r="G30" s="687"/>
      <c r="H30" s="662"/>
      <c r="I30" s="736"/>
      <c r="J30" s="676"/>
      <c r="K30" s="724"/>
      <c r="L30" s="646" t="s">
        <v>2118</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2119</v>
      </c>
      <c r="B31" s="671" t="s">
        <v>2120</v>
      </c>
      <c r="C31" s="703">
        <f ca="1">ROUND((C21+C22+C25+C28)/(1-F23-C26-C29-C30),0)</f>
        <v>0</v>
      </c>
      <c r="D31" s="704"/>
      <c r="E31" s="705"/>
      <c r="F31" s="706"/>
      <c r="G31" s="687"/>
      <c r="H31" s="707" t="s">
        <v>1333</v>
      </c>
      <c r="I31" s="1103" t="s">
        <v>2121</v>
      </c>
      <c r="J31" s="738">
        <f ca="1">ROUND(J28/(1+F45)^F46,0)</f>
        <v>0</v>
      </c>
      <c r="K31" s="739" t="s">
        <v>2122</v>
      </c>
      <c r="L31" s="740"/>
      <c r="M31" s="741">
        <f ca="1">INDIRECT("'数据-取费表'!k"&amp;$G$1)</f>
        <v>0</v>
      </c>
      <c r="N31" s="784"/>
      <c r="O31" s="784"/>
      <c r="P31" s="784"/>
      <c r="Q31" s="784"/>
      <c r="R31" s="784"/>
      <c r="S31" s="784"/>
      <c r="T31" s="784"/>
      <c r="U31" s="784"/>
      <c r="V31" s="784"/>
      <c r="W31" s="784"/>
      <c r="X31" s="784"/>
      <c r="Y31" s="784"/>
    </row>
    <row r="32" spans="1:25" ht="18" customHeight="1">
      <c r="A32" s="674" t="s">
        <v>2123</v>
      </c>
      <c r="B32" s="675" t="s">
        <v>2124</v>
      </c>
      <c r="C32" s="676">
        <f ca="1">ROUND(C33+C38+C39+C40,0)</f>
        <v>0</v>
      </c>
      <c r="D32" s="708" t="s">
        <v>2065</v>
      </c>
      <c r="E32" s="709"/>
      <c r="F32" s="642"/>
      <c r="G32" s="710"/>
      <c r="H32" s="711"/>
      <c r="I32" s="785"/>
      <c r="J32" s="786"/>
      <c r="K32" s="787"/>
      <c r="L32" s="788"/>
      <c r="M32" s="789"/>
    </row>
    <row r="33" spans="1:18" ht="18" customHeight="1">
      <c r="A33" s="1068" t="s">
        <v>862</v>
      </c>
      <c r="B33" s="646" t="s">
        <v>2069</v>
      </c>
      <c r="C33" s="712">
        <f ca="1">ROUND(IF(项目基本情况!B11="自然人",C8*F33/(1+'数据-取费表'!C42),C34+C35+C36),1)</f>
        <v>0</v>
      </c>
      <c r="D33" s="681" t="s">
        <v>2070</v>
      </c>
      <c r="E33" s="713" t="s">
        <v>2071</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2072</v>
      </c>
      <c r="C34" s="712">
        <f ca="1">ROUND(C8*F34/(1+'数据-取费表'!C42),1)</f>
        <v>0</v>
      </c>
      <c r="D34" s="713" t="s">
        <v>2073</v>
      </c>
      <c r="E34" s="646" t="s">
        <v>2063</v>
      </c>
      <c r="F34" s="688">
        <f>'数据-取费表'!B41</f>
        <v>5.5000000000000007E-2</v>
      </c>
      <c r="G34" s="710"/>
      <c r="H34" s="715"/>
      <c r="I34" s="790"/>
      <c r="J34" s="791"/>
      <c r="K34" s="792"/>
      <c r="L34" s="793"/>
      <c r="M34" s="794"/>
    </row>
    <row r="35" spans="1:18" ht="18" customHeight="1">
      <c r="A35" s="1068" t="s">
        <v>1154</v>
      </c>
      <c r="B35" s="646" t="s">
        <v>2076</v>
      </c>
      <c r="C35" s="712">
        <f ca="1">IF(D35="按租金收入计税",ROUND(C8*F35/(1+'数据-取费表'!C42),1),IF(D35="按房产原值计税",ROUND(C31*F35*0.7,1),INDIRECT("'数据-取费表'!Aj"&amp;$G$1)))</f>
        <v>0</v>
      </c>
      <c r="D35" s="716" t="s">
        <v>2125</v>
      </c>
      <c r="E35" s="646" t="s">
        <v>2063</v>
      </c>
      <c r="F35" s="688">
        <f>IF(D35="按租金收入计税",'数据-取费表'!B51,'数据-取费表'!B50)</f>
        <v>1.2E-2</v>
      </c>
      <c r="G35" s="710"/>
      <c r="H35" s="717"/>
      <c r="I35" s="717"/>
      <c r="J35" s="717"/>
      <c r="K35" s="795"/>
      <c r="L35" s="717"/>
      <c r="M35" s="717"/>
    </row>
    <row r="36" spans="1:18" ht="18" customHeight="1">
      <c r="A36" s="1073" t="s">
        <v>894</v>
      </c>
      <c r="B36" s="718" t="s">
        <v>2081</v>
      </c>
      <c r="C36" s="719">
        <f ca="1">ROUND(F36*F37/10000,1)</f>
        <v>0</v>
      </c>
      <c r="D36" s="720" t="s">
        <v>2082</v>
      </c>
      <c r="E36" s="646" t="s">
        <v>2083</v>
      </c>
      <c r="F36" s="696">
        <f>'数据-取费表'!B52</f>
        <v>5</v>
      </c>
      <c r="G36" s="710"/>
      <c r="H36" s="711"/>
      <c r="I36" s="3444"/>
      <c r="J36" s="799"/>
      <c r="K36" s="798"/>
      <c r="L36" s="799"/>
      <c r="M36" s="799"/>
    </row>
    <row r="37" spans="1:18" ht="18" customHeight="1">
      <c r="A37" s="721"/>
      <c r="B37" s="722"/>
      <c r="C37" s="723"/>
      <c r="D37" s="724"/>
      <c r="E37" s="646" t="s">
        <v>2088</v>
      </c>
      <c r="F37" s="647">
        <f ca="1">INDIRECT("'数据-取费表'!r"&amp;$G$1)</f>
        <v>0</v>
      </c>
      <c r="G37" s="710"/>
      <c r="H37" s="711"/>
      <c r="I37" s="3444"/>
      <c r="J37" s="717"/>
      <c r="K37" s="795"/>
      <c r="L37" s="717"/>
      <c r="M37" s="717"/>
    </row>
    <row r="38" spans="1:18" ht="18" customHeight="1">
      <c r="A38" s="1068" t="s">
        <v>2078</v>
      </c>
      <c r="B38" s="646" t="s">
        <v>2091</v>
      </c>
      <c r="C38" s="121">
        <f ca="1">ROUND(C31*F38,1)</f>
        <v>0</v>
      </c>
      <c r="D38" s="713" t="s">
        <v>2126</v>
      </c>
      <c r="E38" s="646" t="s">
        <v>2063</v>
      </c>
      <c r="F38" s="725">
        <f ca="1">INDIRECT("'数据-取费表'!Ak"&amp;$G$1)</f>
        <v>0</v>
      </c>
      <c r="G38" s="710"/>
      <c r="H38" s="717"/>
      <c r="I38" s="1104"/>
      <c r="J38" s="735"/>
      <c r="K38" s="804"/>
      <c r="L38" s="717"/>
      <c r="M38" s="717"/>
    </row>
    <row r="39" spans="1:18" ht="18" customHeight="1">
      <c r="A39" s="1068" t="s">
        <v>2084</v>
      </c>
      <c r="B39" s="646" t="s">
        <v>2095</v>
      </c>
      <c r="C39" s="121">
        <f ca="1">ROUND(C15*F39,1)</f>
        <v>0</v>
      </c>
      <c r="D39" s="713" t="s">
        <v>2096</v>
      </c>
      <c r="E39" s="646" t="s">
        <v>2063</v>
      </c>
      <c r="F39" s="726">
        <f ca="1">INDIRECT("'数据-取费表'!Al"&amp;$G$1)</f>
        <v>0</v>
      </c>
      <c r="G39" s="710"/>
      <c r="H39" s="717"/>
      <c r="I39" s="1104"/>
      <c r="J39" s="735"/>
      <c r="K39" s="804"/>
      <c r="L39" s="717"/>
      <c r="M39" s="717"/>
    </row>
    <row r="40" spans="1:18" ht="18" customHeight="1">
      <c r="A40" s="1072" t="s">
        <v>2089</v>
      </c>
      <c r="B40" s="705" t="s">
        <v>2079</v>
      </c>
      <c r="C40" s="703">
        <f ca="1">ROUND(C7*F40,1)</f>
        <v>0</v>
      </c>
      <c r="D40" s="704" t="s">
        <v>2099</v>
      </c>
      <c r="E40" s="705" t="s">
        <v>2063</v>
      </c>
      <c r="F40" s="672">
        <f ca="1">INDIRECT("'数据-取费表'!Am"&amp;$G$1)</f>
        <v>0</v>
      </c>
      <c r="G40" s="710"/>
      <c r="H40" s="717"/>
      <c r="I40" s="1104"/>
      <c r="J40" s="735"/>
      <c r="K40" s="809"/>
      <c r="L40" s="717"/>
      <c r="M40" s="717"/>
    </row>
    <row r="41" spans="1:18" ht="18" customHeight="1">
      <c r="A41" s="674">
        <v>4</v>
      </c>
      <c r="B41" s="675" t="s">
        <v>2127</v>
      </c>
      <c r="C41" s="1074"/>
      <c r="D41" s="1075"/>
      <c r="E41" s="1075"/>
      <c r="F41" s="1076"/>
      <c r="G41" s="710"/>
      <c r="H41" s="710"/>
      <c r="I41" s="710"/>
      <c r="J41" s="710"/>
      <c r="K41" s="809"/>
      <c r="L41" s="710"/>
      <c r="M41" s="710"/>
    </row>
    <row r="42" spans="1:18" ht="18" customHeight="1">
      <c r="A42" s="1068" t="s">
        <v>862</v>
      </c>
      <c r="B42" s="796" t="s">
        <v>2128</v>
      </c>
      <c r="C42" s="1077">
        <f ca="1">C7-C32</f>
        <v>0</v>
      </c>
      <c r="D42" s="681" t="s">
        <v>2129</v>
      </c>
      <c r="E42" s="869"/>
      <c r="F42" s="870"/>
      <c r="G42" s="710"/>
      <c r="H42" s="710"/>
      <c r="I42" s="710"/>
      <c r="J42" s="710"/>
      <c r="K42" s="809"/>
      <c r="L42" s="710"/>
      <c r="M42" s="710"/>
    </row>
    <row r="43" spans="1:18" ht="18" customHeight="1">
      <c r="A43" s="1068" t="s">
        <v>2078</v>
      </c>
      <c r="B43" s="796" t="s">
        <v>2130</v>
      </c>
      <c r="C43" s="797">
        <f ca="1">ROUND(C15*F43,0)</f>
        <v>0</v>
      </c>
      <c r="D43" s="1078" t="s">
        <v>2131</v>
      </c>
      <c r="E43" s="1079" t="s">
        <v>2132</v>
      </c>
      <c r="F43" s="1080">
        <f ca="1">INDIRECT("'数据-取费表'!j"&amp;$G$1)</f>
        <v>0</v>
      </c>
      <c r="G43" s="710"/>
      <c r="H43" s="710"/>
      <c r="I43" s="710"/>
      <c r="J43" s="710"/>
      <c r="K43" s="809"/>
      <c r="L43" s="710"/>
      <c r="M43" s="710"/>
    </row>
    <row r="44" spans="1:18" ht="18" customHeight="1">
      <c r="A44" s="1068" t="s">
        <v>2084</v>
      </c>
      <c r="B44" s="796" t="s">
        <v>2133</v>
      </c>
      <c r="C44" s="1081">
        <f ca="1">C42-C43</f>
        <v>0</v>
      </c>
      <c r="D44" s="1082" t="s">
        <v>2134</v>
      </c>
      <c r="E44" s="1083"/>
      <c r="F44" s="1084"/>
      <c r="G44" s="710"/>
      <c r="H44" s="710"/>
      <c r="I44" s="710"/>
      <c r="J44" s="710"/>
      <c r="K44" s="809"/>
      <c r="L44" s="710"/>
      <c r="M44" s="710"/>
    </row>
    <row r="45" spans="1:18" ht="18" customHeight="1">
      <c r="A45" s="1068" t="s">
        <v>2089</v>
      </c>
      <c r="B45" s="1078" t="s">
        <v>2135</v>
      </c>
      <c r="C45" s="1085">
        <f ca="1">ROUND(-PV(F45,F46,C44,0),0)</f>
        <v>0</v>
      </c>
      <c r="D45" s="1086" t="s">
        <v>2136</v>
      </c>
      <c r="E45" s="685" t="s">
        <v>2137</v>
      </c>
      <c r="F45" s="1087">
        <f ca="1">INDIRECT("'数据-取费表'!h"&amp;$G$1)</f>
        <v>0</v>
      </c>
      <c r="G45" s="710"/>
      <c r="H45" s="710"/>
      <c r="I45" s="710"/>
      <c r="J45" s="710"/>
      <c r="K45" s="809"/>
      <c r="L45" s="710"/>
      <c r="M45" s="710"/>
    </row>
    <row r="46" spans="1:18" ht="18" customHeight="1">
      <c r="A46" s="1088"/>
      <c r="B46" s="1089"/>
      <c r="C46" s="1090"/>
      <c r="D46" s="1091"/>
      <c r="E46" s="1092" t="s">
        <v>2138</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2139</v>
      </c>
      <c r="J47" s="816"/>
      <c r="K47" s="817"/>
      <c r="L47" s="818" t="str">
        <f ca="1">IF(M48="住宅",0,IF(L49&gt;J52,L61,J61))</f>
        <v>0</v>
      </c>
      <c r="O47" s="819" t="s">
        <v>2140</v>
      </c>
      <c r="P47" s="636"/>
      <c r="Q47" s="824"/>
      <c r="R47" s="636"/>
    </row>
    <row r="48" spans="1:18" s="612" customFormat="1" ht="18" customHeight="1">
      <c r="A48" s="1093"/>
      <c r="C48" s="1094"/>
      <c r="D48" s="1095"/>
      <c r="E48" s="1095"/>
      <c r="F48" s="1096"/>
      <c r="G48" s="754"/>
      <c r="I48" s="820" t="s">
        <v>2141</v>
      </c>
      <c r="J48" s="821"/>
      <c r="K48" s="822" t="s">
        <v>2142</v>
      </c>
      <c r="L48" s="823">
        <f ca="1">INDIRECT("'数据-取费表'!d"&amp;$G$1)</f>
        <v>0</v>
      </c>
      <c r="M48" s="1105" t="str">
        <f>IF(ISNUMBER(FIND("住宅",C1)),"住宅","非住宅")</f>
        <v>非住宅</v>
      </c>
      <c r="O48" s="825" t="s">
        <v>1453</v>
      </c>
      <c r="P48" s="826" t="s">
        <v>2143</v>
      </c>
      <c r="Q48" s="864" t="s">
        <v>2144</v>
      </c>
      <c r="R48" s="826" t="s">
        <v>2145</v>
      </c>
    </row>
    <row r="49" spans="1:18" s="612" customFormat="1" ht="18" customHeight="1">
      <c r="A49" s="1093"/>
      <c r="D49" s="1097"/>
      <c r="E49" s="1098"/>
      <c r="F49" s="1096"/>
      <c r="G49" s="754"/>
      <c r="H49" s="755"/>
      <c r="I49" s="827" t="s">
        <v>2146</v>
      </c>
      <c r="J49" s="828"/>
      <c r="K49" s="829" t="s">
        <v>2147</v>
      </c>
      <c r="L49" s="830">
        <f ca="1">INDIRECT("'数据-取费表'!f"&amp;$G$1)</f>
        <v>0</v>
      </c>
      <c r="O49" s="831" t="s">
        <v>2148</v>
      </c>
      <c r="P49" s="832" t="s">
        <v>2149</v>
      </c>
      <c r="Q49" s="865">
        <f ca="1">C41+J31</f>
        <v>0</v>
      </c>
      <c r="R49" s="832" t="s">
        <v>2150</v>
      </c>
    </row>
    <row r="50" spans="1:18" s="612" customFormat="1" ht="18" customHeight="1">
      <c r="A50" s="1093"/>
      <c r="D50" s="1099"/>
      <c r="E50" s="1099"/>
      <c r="F50" s="1095"/>
      <c r="G50" s="756"/>
      <c r="H50" s="755"/>
      <c r="I50" s="827" t="s">
        <v>2151</v>
      </c>
      <c r="J50" s="833"/>
      <c r="K50" s="834" t="s">
        <v>2152</v>
      </c>
      <c r="L50" s="835"/>
      <c r="O50" s="831" t="s">
        <v>2153</v>
      </c>
      <c r="P50" s="832" t="s">
        <v>2154</v>
      </c>
      <c r="Q50" s="865" t="str">
        <f ca="1">J61</f>
        <v>0</v>
      </c>
      <c r="R50" s="832" t="s">
        <v>2155</v>
      </c>
    </row>
    <row r="51" spans="1:18" s="612" customFormat="1" ht="18" customHeight="1">
      <c r="A51" s="1100"/>
      <c r="D51" s="1099"/>
      <c r="E51" s="1099"/>
      <c r="F51" s="742"/>
      <c r="H51" s="755"/>
      <c r="I51" s="827" t="s">
        <v>2156</v>
      </c>
      <c r="J51" s="836">
        <f>SUMPRODUCT((I64:I66=J48)*(J63:L63=J49)*(J64:L66))</f>
        <v>0</v>
      </c>
      <c r="K51" s="834" t="s">
        <v>2157</v>
      </c>
      <c r="L51" s="835"/>
      <c r="O51" s="837" t="s">
        <v>2158</v>
      </c>
      <c r="P51" s="832" t="s">
        <v>2159</v>
      </c>
      <c r="Q51" s="865">
        <f ca="1">C31</f>
        <v>0</v>
      </c>
      <c r="R51" s="832" t="s">
        <v>2150</v>
      </c>
    </row>
    <row r="52" spans="1:18" s="612" customFormat="1" ht="18" customHeight="1">
      <c r="A52" s="1100"/>
      <c r="F52" s="742"/>
      <c r="I52" s="838" t="s">
        <v>2160</v>
      </c>
      <c r="J52" s="839">
        <f>IF(J50="",J51,J50+J51-YEAR('数据-取费表'!B3))</f>
        <v>0</v>
      </c>
      <c r="K52" s="827" t="s">
        <v>2161</v>
      </c>
      <c r="L52" s="840">
        <f ca="1">ROUND(-PV(INDIRECT("'数据-取费表'!h"&amp;$G$1),L49,(C40-C14*J36),0),0)</f>
        <v>0</v>
      </c>
      <c r="O52" s="837" t="s">
        <v>2162</v>
      </c>
      <c r="P52" s="832" t="s">
        <v>2163</v>
      </c>
      <c r="Q52" s="866" t="e">
        <f ca="1">J59</f>
        <v>#VALUE!</v>
      </c>
      <c r="R52" s="867"/>
    </row>
    <row r="53" spans="1:18" s="612" customFormat="1" ht="18" customHeight="1">
      <c r="A53" s="1100"/>
      <c r="F53" s="742"/>
      <c r="I53" s="841" t="s">
        <v>2164</v>
      </c>
      <c r="J53" s="842"/>
      <c r="K53" s="841" t="s">
        <v>1322</v>
      </c>
      <c r="L53" s="842"/>
      <c r="O53" s="837" t="s">
        <v>2165</v>
      </c>
      <c r="P53" s="832" t="s">
        <v>2166</v>
      </c>
      <c r="Q53" s="866">
        <f>J53</f>
        <v>0</v>
      </c>
      <c r="R53" s="867"/>
    </row>
    <row r="54" spans="1:18" s="612" customFormat="1" ht="28.5">
      <c r="A54" s="1100"/>
      <c r="I54" s="843" t="s">
        <v>2167</v>
      </c>
      <c r="J54" s="844">
        <f ca="1">IF(M48="住宅",MAX(J52,L49),MIN(J52,L49))</f>
        <v>0</v>
      </c>
      <c r="K54" s="3438"/>
      <c r="L54" s="3439"/>
      <c r="O54" s="837" t="s">
        <v>2168</v>
      </c>
      <c r="P54" s="832" t="s">
        <v>2169</v>
      </c>
      <c r="Q54" s="865">
        <f ca="1">J54</f>
        <v>0</v>
      </c>
      <c r="R54" s="832" t="s">
        <v>2170</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2171</v>
      </c>
      <c r="P55" s="832" t="s">
        <v>2172</v>
      </c>
      <c r="Q55" s="865">
        <f ca="1">Q49+Q50</f>
        <v>0</v>
      </c>
      <c r="R55" s="867" t="s">
        <v>2173</v>
      </c>
    </row>
    <row r="56" spans="1:18" s="612" customFormat="1" ht="15.75">
      <c r="A56" s="1100"/>
      <c r="B56" s="616"/>
      <c r="C56" s="616"/>
      <c r="I56" s="845" t="s">
        <v>2174</v>
      </c>
      <c r="J56" s="846" t="e">
        <f ca="1">ROUND(IF(J48="钢混",J58/J51,1-(1-2%)*(J51-J58)/J51),3)</f>
        <v>#VALUE!</v>
      </c>
      <c r="K56" s="847" t="s">
        <v>2175</v>
      </c>
      <c r="L56" s="848"/>
      <c r="O56" s="849" t="s">
        <v>2176</v>
      </c>
      <c r="P56" s="636"/>
      <c r="Q56" s="824"/>
      <c r="R56" s="636"/>
    </row>
    <row r="57" spans="1:18" s="612" customFormat="1" ht="42.75">
      <c r="A57" s="1100"/>
      <c r="B57" s="616"/>
      <c r="C57" s="616"/>
      <c r="I57" s="850" t="s">
        <v>2177</v>
      </c>
      <c r="J57" s="851" t="s">
        <v>484</v>
      </c>
      <c r="K57" s="827" t="s">
        <v>2178</v>
      </c>
      <c r="L57" s="830">
        <f ca="1">IF(L49&lt;J52,"——",L49-J52)</f>
        <v>0</v>
      </c>
      <c r="O57" s="825" t="s">
        <v>1453</v>
      </c>
      <c r="P57" s="826" t="s">
        <v>2143</v>
      </c>
      <c r="Q57" s="864" t="s">
        <v>2144</v>
      </c>
      <c r="R57" s="826" t="s">
        <v>2145</v>
      </c>
    </row>
    <row r="58" spans="1:18" s="612" customFormat="1" ht="28.5">
      <c r="A58" s="1100"/>
      <c r="B58" s="616"/>
      <c r="C58" s="616"/>
      <c r="I58" s="852" t="s">
        <v>2179</v>
      </c>
      <c r="J58" s="853" t="str">
        <f ca="1">IF(OR(M48="住宅",J52&lt;L49,J57="是"),"——",J52-L49)</f>
        <v>——</v>
      </c>
      <c r="K58" s="827" t="s">
        <v>2180</v>
      </c>
      <c r="L58" s="830">
        <f ca="1">IF(L49&lt;J52,"——",IF(L56="比较法",L50,IF(L56="基准地价",L51,L52)))</f>
        <v>0</v>
      </c>
      <c r="O58" s="831" t="s">
        <v>2148</v>
      </c>
      <c r="P58" s="832" t="s">
        <v>2149</v>
      </c>
      <c r="Q58" s="865">
        <f ca="1">C41+J31</f>
        <v>0</v>
      </c>
      <c r="R58" s="832" t="s">
        <v>2150</v>
      </c>
    </row>
    <row r="59" spans="1:18" s="612" customFormat="1" ht="28.5">
      <c r="A59" s="1100"/>
      <c r="B59" s="616"/>
      <c r="C59" s="616"/>
      <c r="I59" s="852" t="s">
        <v>2181</v>
      </c>
      <c r="J59" s="854" t="e">
        <f ca="1">IF(J56&lt;0.4,0.4,J56)</f>
        <v>#VALUE!</v>
      </c>
      <c r="K59" s="827" t="s">
        <v>2182</v>
      </c>
      <c r="L59" s="830">
        <f ca="1">IF(ISERROR(POWER(1+L53,L48-L49)*(POWER(1+L53,L49)-1)/(POWER(1+L53,L48)-1)),0,POWER(1+L53,L48-L49)*(POWER(1+L53,L49)-1)/(POWER(1+L53,L48)-1))</f>
        <v>0</v>
      </c>
      <c r="O59" s="831" t="s">
        <v>2153</v>
      </c>
      <c r="P59" s="832" t="s">
        <v>2183</v>
      </c>
      <c r="Q59" s="865" t="e">
        <f ca="1">L61</f>
        <v>#DIV/0!</v>
      </c>
      <c r="R59" s="867" t="s">
        <v>2184</v>
      </c>
    </row>
    <row r="60" spans="1:18" s="612" customFormat="1" ht="28.5">
      <c r="A60" s="1100"/>
      <c r="B60" s="616"/>
      <c r="C60" s="616"/>
      <c r="I60" s="852" t="s">
        <v>2185</v>
      </c>
      <c r="J60" s="853" t="str">
        <f ca="1">IF(OR(M48="住宅",J52&lt;L49,J57="是"),"——",ROUND(C30*J59,0))</f>
        <v>——</v>
      </c>
      <c r="K60" s="827" t="s">
        <v>2186</v>
      </c>
      <c r="L60" s="830">
        <f ca="1">IF(ISERROR(POWER(1+L53,L48-J52)*(POWER(1+L53,J52)-1)/(POWER(1+L53,L48)-1)),0,POWER(1+L53,L48-J52)*(POWER(1+L53,J52)-1)/(POWER(1+L53,L48)-1))</f>
        <v>0</v>
      </c>
      <c r="O60" s="837" t="s">
        <v>2158</v>
      </c>
      <c r="P60" s="832" t="s">
        <v>2187</v>
      </c>
      <c r="Q60" s="865">
        <f>IF(L56="比较法",L50,IF(L56="基准地价",L51,0))</f>
        <v>0</v>
      </c>
      <c r="R60" s="832" t="s">
        <v>2150</v>
      </c>
    </row>
    <row r="61" spans="1:18" s="612" customFormat="1">
      <c r="A61" s="1100"/>
      <c r="B61" s="616"/>
      <c r="C61" s="616"/>
      <c r="I61" s="855" t="s">
        <v>2188</v>
      </c>
      <c r="J61" s="856" t="str">
        <f ca="1">IF(OR(M48="住宅",J52&lt;L49,J57="是"),"0",ROUND(J60/(1+J53)^J54,0))</f>
        <v>0</v>
      </c>
      <c r="K61" s="857" t="s">
        <v>2189</v>
      </c>
      <c r="L61" s="856" t="e">
        <f ca="1">IF(OR(M48="住宅",L49&lt;J52),0,ROUND(L58*(L59/L60-1),0))</f>
        <v>#DIV/0!</v>
      </c>
      <c r="O61" s="837" t="s">
        <v>2162</v>
      </c>
      <c r="P61" s="832" t="s">
        <v>2190</v>
      </c>
      <c r="Q61" s="866">
        <f>L53</f>
        <v>0</v>
      </c>
      <c r="R61" s="867"/>
    </row>
    <row r="62" spans="1:18" s="612" customFormat="1" ht="19.5">
      <c r="A62" s="1100"/>
      <c r="B62" s="616"/>
      <c r="C62" s="616"/>
      <c r="K62" s="814"/>
      <c r="O62" s="837" t="s">
        <v>2165</v>
      </c>
      <c r="P62" s="832" t="s">
        <v>2191</v>
      </c>
      <c r="Q62" s="865">
        <f ca="1">L59</f>
        <v>0</v>
      </c>
      <c r="R62" s="867" t="s">
        <v>2192</v>
      </c>
    </row>
    <row r="63" spans="1:18" s="612" customFormat="1" ht="19.5">
      <c r="A63" s="1100"/>
      <c r="B63" s="616"/>
      <c r="C63" s="616"/>
      <c r="I63" s="858" t="s">
        <v>2193</v>
      </c>
      <c r="J63" s="859" t="s">
        <v>2194</v>
      </c>
      <c r="K63" s="859" t="s">
        <v>2195</v>
      </c>
      <c r="L63" s="859" t="s">
        <v>2196</v>
      </c>
      <c r="M63" s="860" t="s">
        <v>2197</v>
      </c>
      <c r="O63" s="837" t="s">
        <v>2168</v>
      </c>
      <c r="P63" s="832" t="s">
        <v>2198</v>
      </c>
      <c r="Q63" s="865">
        <f ca="1">L60</f>
        <v>0</v>
      </c>
      <c r="R63" s="867" t="s">
        <v>2199</v>
      </c>
    </row>
    <row r="64" spans="1:18" s="612" customFormat="1">
      <c r="A64" s="1100"/>
      <c r="B64" s="616"/>
      <c r="C64" s="616"/>
      <c r="I64" s="858" t="s">
        <v>2200</v>
      </c>
      <c r="J64" s="859">
        <v>70</v>
      </c>
      <c r="K64" s="859">
        <v>50</v>
      </c>
      <c r="L64" s="859">
        <v>80</v>
      </c>
      <c r="M64" s="861">
        <v>0.02</v>
      </c>
      <c r="O64" s="831" t="s">
        <v>2171</v>
      </c>
      <c r="P64" s="832" t="s">
        <v>2172</v>
      </c>
      <c r="Q64" s="865" t="e">
        <f ca="1">Q58+Q59</f>
        <v>#DIV/0!</v>
      </c>
      <c r="R64" s="867" t="s">
        <v>2173</v>
      </c>
    </row>
    <row r="65" spans="1:18" s="612" customFormat="1" ht="15.75">
      <c r="A65" s="1100"/>
      <c r="B65" s="616"/>
      <c r="C65" s="616"/>
      <c r="I65" s="858" t="s">
        <v>2201</v>
      </c>
      <c r="J65" s="859">
        <v>50</v>
      </c>
      <c r="K65" s="859">
        <v>35</v>
      </c>
      <c r="L65" s="859">
        <v>60</v>
      </c>
      <c r="M65" s="811">
        <v>0</v>
      </c>
      <c r="O65" s="849" t="s">
        <v>2202</v>
      </c>
      <c r="P65" s="636"/>
      <c r="Q65" s="824"/>
      <c r="R65" s="636"/>
    </row>
    <row r="66" spans="1:18" s="612" customFormat="1">
      <c r="A66" s="1100"/>
      <c r="B66" s="616"/>
      <c r="C66" s="616"/>
      <c r="I66" s="858" t="s">
        <v>2203</v>
      </c>
      <c r="J66" s="859">
        <v>40</v>
      </c>
      <c r="K66" s="859">
        <v>30</v>
      </c>
      <c r="L66" s="859">
        <v>50</v>
      </c>
      <c r="M66" s="861">
        <v>0.02</v>
      </c>
      <c r="O66" s="825" t="s">
        <v>1453</v>
      </c>
      <c r="P66" s="826" t="s">
        <v>2143</v>
      </c>
      <c r="Q66" s="864" t="s">
        <v>2144</v>
      </c>
      <c r="R66" s="826" t="s">
        <v>2145</v>
      </c>
    </row>
    <row r="67" spans="1:18" s="612" customFormat="1">
      <c r="A67" s="1100"/>
      <c r="B67" s="616"/>
      <c r="C67" s="616"/>
      <c r="K67" s="814"/>
      <c r="O67" s="831" t="s">
        <v>2148</v>
      </c>
      <c r="P67" s="832" t="s">
        <v>2149</v>
      </c>
      <c r="Q67" s="865">
        <f ca="1">C41+J31</f>
        <v>0</v>
      </c>
      <c r="R67" s="832" t="s">
        <v>2150</v>
      </c>
    </row>
    <row r="68" spans="1:18" s="612" customFormat="1" ht="19.5">
      <c r="A68" s="1100"/>
      <c r="B68" s="616"/>
      <c r="C68" s="616"/>
      <c r="K68" s="814"/>
      <c r="O68" s="831" t="s">
        <v>2153</v>
      </c>
      <c r="P68" s="832" t="s">
        <v>2183</v>
      </c>
      <c r="Q68" s="865" t="e">
        <f ca="1">L61</f>
        <v>#DIV/0!</v>
      </c>
      <c r="R68" s="867" t="s">
        <v>2184</v>
      </c>
    </row>
    <row r="69" spans="1:18" s="612" customFormat="1" ht="21">
      <c r="A69" s="1100"/>
      <c r="B69" s="616"/>
      <c r="C69" s="616"/>
      <c r="K69" s="814"/>
      <c r="O69" s="837" t="s">
        <v>2158</v>
      </c>
      <c r="P69" s="832" t="s">
        <v>2187</v>
      </c>
      <c r="Q69" s="872">
        <f ca="1">L52</f>
        <v>0</v>
      </c>
      <c r="R69" s="873" t="s">
        <v>2204</v>
      </c>
    </row>
    <row r="70" spans="1:18" s="612" customFormat="1" ht="19.5">
      <c r="A70" s="1100"/>
      <c r="B70" s="616"/>
      <c r="C70" s="616"/>
      <c r="K70" s="814"/>
      <c r="O70" s="837" t="s">
        <v>2162</v>
      </c>
      <c r="P70" s="871" t="s">
        <v>2205</v>
      </c>
      <c r="Q70" s="865">
        <f ca="1">ROUND(Q71-Q72*Q73,0)</f>
        <v>0</v>
      </c>
      <c r="R70" s="867"/>
    </row>
    <row r="71" spans="1:18" s="612" customFormat="1">
      <c r="A71" s="1100"/>
      <c r="B71" s="616"/>
      <c r="C71" s="616"/>
      <c r="K71" s="814"/>
      <c r="O71" s="837" t="s">
        <v>2206</v>
      </c>
      <c r="P71" s="871" t="s">
        <v>2207</v>
      </c>
      <c r="Q71" s="865">
        <f ca="1">C42</f>
        <v>0</v>
      </c>
      <c r="R71" s="832" t="s">
        <v>2150</v>
      </c>
    </row>
    <row r="72" spans="1:18" s="612" customFormat="1">
      <c r="A72" s="1100"/>
      <c r="B72" s="616"/>
      <c r="C72" s="616"/>
      <c r="K72" s="814"/>
      <c r="O72" s="837" t="s">
        <v>2208</v>
      </c>
      <c r="P72" s="871" t="s">
        <v>2209</v>
      </c>
      <c r="Q72" s="865">
        <f ca="1">C15</f>
        <v>0</v>
      </c>
      <c r="R72" s="832" t="s">
        <v>2150</v>
      </c>
    </row>
    <row r="73" spans="1:18" s="612" customFormat="1">
      <c r="A73" s="1100"/>
      <c r="B73" s="616"/>
      <c r="C73" s="616"/>
      <c r="K73" s="814"/>
      <c r="O73" s="837" t="s">
        <v>2210</v>
      </c>
      <c r="P73" s="871" t="s">
        <v>2211</v>
      </c>
      <c r="Q73" s="866">
        <f ca="1">F43</f>
        <v>0</v>
      </c>
      <c r="R73" s="867"/>
    </row>
    <row r="74" spans="1:18" s="612" customFormat="1">
      <c r="A74" s="1100"/>
      <c r="B74" s="616"/>
      <c r="C74" s="616"/>
      <c r="K74" s="814"/>
      <c r="O74" s="837" t="s">
        <v>2165</v>
      </c>
      <c r="P74" s="832" t="s">
        <v>2190</v>
      </c>
      <c r="Q74" s="866">
        <f>L53</f>
        <v>0</v>
      </c>
      <c r="R74" s="867"/>
    </row>
    <row r="75" spans="1:18" s="612" customFormat="1" ht="19.5">
      <c r="A75" s="1100"/>
      <c r="B75" s="616"/>
      <c r="C75" s="616"/>
      <c r="K75" s="814"/>
      <c r="O75" s="837" t="s">
        <v>2168</v>
      </c>
      <c r="P75" s="832" t="s">
        <v>2191</v>
      </c>
      <c r="Q75" s="865">
        <f ca="1">L59</f>
        <v>0</v>
      </c>
      <c r="R75" s="867" t="s">
        <v>2192</v>
      </c>
    </row>
    <row r="76" spans="1:18" s="612" customFormat="1" ht="19.5">
      <c r="A76" s="1100"/>
      <c r="B76" s="616"/>
      <c r="C76" s="616"/>
      <c r="K76" s="814"/>
      <c r="O76" s="837" t="s">
        <v>2212</v>
      </c>
      <c r="P76" s="832" t="s">
        <v>2198</v>
      </c>
      <c r="Q76" s="865">
        <f ca="1">L60</f>
        <v>0</v>
      </c>
      <c r="R76" s="867" t="s">
        <v>2199</v>
      </c>
    </row>
    <row r="77" spans="1:18" s="612" customFormat="1">
      <c r="A77" s="1100"/>
      <c r="B77" s="616"/>
      <c r="C77" s="616"/>
      <c r="K77" s="814"/>
      <c r="O77" s="831" t="s">
        <v>2171</v>
      </c>
      <c r="P77" s="832" t="s">
        <v>2172</v>
      </c>
      <c r="Q77" s="865" t="e">
        <f ca="1">Q67+Q68</f>
        <v>#DIV/0!</v>
      </c>
      <c r="R77" s="867" t="s">
        <v>2173</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1" t="s">
        <v>2213</v>
      </c>
      <c r="B1" s="3462"/>
      <c r="C1" s="3463"/>
      <c r="D1" s="3464">
        <f>SUM(I10,I15,I20,I21,I23)</f>
        <v>0</v>
      </c>
      <c r="E1" s="3464"/>
      <c r="F1" s="3464"/>
      <c r="G1" s="3464"/>
      <c r="H1" s="3464"/>
      <c r="I1" s="3465"/>
    </row>
    <row r="2" spans="1:9">
      <c r="A2" s="3450" t="s">
        <v>2214</v>
      </c>
      <c r="B2" s="3460" t="s">
        <v>2215</v>
      </c>
      <c r="C2" s="3460"/>
      <c r="D2" s="1021" t="s">
        <v>2216</v>
      </c>
      <c r="E2" s="1021" t="s">
        <v>2217</v>
      </c>
      <c r="F2" s="1021" t="s">
        <v>2218</v>
      </c>
      <c r="G2" s="1021" t="s">
        <v>2219</v>
      </c>
      <c r="H2" s="1021" t="s">
        <v>2220</v>
      </c>
      <c r="I2" s="1045" t="s">
        <v>2221</v>
      </c>
    </row>
    <row r="3" spans="1:9">
      <c r="A3" s="3450"/>
      <c r="B3" s="3460" t="s">
        <v>2222</v>
      </c>
      <c r="C3" s="3460"/>
      <c r="D3" s="1022"/>
      <c r="E3" s="1021"/>
      <c r="F3" s="1023"/>
      <c r="G3" s="1023"/>
      <c r="H3" s="1024"/>
      <c r="I3" s="1046">
        <f>ROUND(D3*E3*F3*G3*H3/10000,0)</f>
        <v>0</v>
      </c>
    </row>
    <row r="4" spans="1:9">
      <c r="A4" s="3450"/>
      <c r="B4" s="3460" t="s">
        <v>2223</v>
      </c>
      <c r="C4" s="3460"/>
      <c r="D4" s="1022"/>
      <c r="E4" s="1021"/>
      <c r="F4" s="1023"/>
      <c r="G4" s="1023"/>
      <c r="H4" s="1024"/>
      <c r="I4" s="1046">
        <f t="shared" ref="I4:I9" si="0">ROUND(D4*E4*F4*G4*H4/10000,0)</f>
        <v>0</v>
      </c>
    </row>
    <row r="5" spans="1:9">
      <c r="A5" s="3450"/>
      <c r="B5" s="3460" t="s">
        <v>2224</v>
      </c>
      <c r="C5" s="3460"/>
      <c r="D5" s="1022"/>
      <c r="E5" s="1021"/>
      <c r="F5" s="1023"/>
      <c r="G5" s="1023"/>
      <c r="H5" s="1024"/>
      <c r="I5" s="1046">
        <f t="shared" si="0"/>
        <v>0</v>
      </c>
    </row>
    <row r="6" spans="1:9">
      <c r="A6" s="3450"/>
      <c r="B6" s="3460" t="s">
        <v>2225</v>
      </c>
      <c r="C6" s="3460"/>
      <c r="D6" s="1022"/>
      <c r="E6" s="1021"/>
      <c r="F6" s="1023"/>
      <c r="G6" s="1023"/>
      <c r="H6" s="1024"/>
      <c r="I6" s="1046">
        <f t="shared" si="0"/>
        <v>0</v>
      </c>
    </row>
    <row r="7" spans="1:9">
      <c r="A7" s="3450"/>
      <c r="B7" s="3460" t="s">
        <v>2226</v>
      </c>
      <c r="C7" s="3460"/>
      <c r="D7" s="1022"/>
      <c r="E7" s="1021"/>
      <c r="F7" s="1023"/>
      <c r="G7" s="1023"/>
      <c r="H7" s="1024"/>
      <c r="I7" s="1046">
        <f t="shared" si="0"/>
        <v>0</v>
      </c>
    </row>
    <row r="8" spans="1:9">
      <c r="A8" s="3450"/>
      <c r="B8" s="3460" t="s">
        <v>2227</v>
      </c>
      <c r="C8" s="3460"/>
      <c r="D8" s="1022"/>
      <c r="E8" s="1021"/>
      <c r="F8" s="1023"/>
      <c r="G8" s="1023"/>
      <c r="H8" s="1024"/>
      <c r="I8" s="1046">
        <f t="shared" si="0"/>
        <v>0</v>
      </c>
    </row>
    <row r="9" spans="1:9">
      <c r="A9" s="3450"/>
      <c r="B9" s="3460" t="s">
        <v>2228</v>
      </c>
      <c r="C9" s="3460"/>
      <c r="D9" s="1022"/>
      <c r="E9" s="1021"/>
      <c r="F9" s="1023"/>
      <c r="G9" s="1023"/>
      <c r="H9" s="1024"/>
      <c r="I9" s="1046">
        <f t="shared" si="0"/>
        <v>0</v>
      </c>
    </row>
    <row r="10" spans="1:9">
      <c r="A10" s="3450"/>
      <c r="B10" s="3458" t="s">
        <v>509</v>
      </c>
      <c r="C10" s="3458"/>
      <c r="D10" s="1025">
        <v>527</v>
      </c>
      <c r="E10" s="1025" t="e">
        <f>ROUND(D1*10000/D10/H9,0)</f>
        <v>#DIV/0!</v>
      </c>
      <c r="F10" s="1026"/>
      <c r="G10" s="1026"/>
      <c r="H10" s="1027"/>
      <c r="I10" s="1047">
        <f>SUM(I3:I9)</f>
        <v>0</v>
      </c>
    </row>
    <row r="11" spans="1:9" ht="14.25">
      <c r="A11" s="3450" t="s">
        <v>2229</v>
      </c>
      <c r="B11" s="3460" t="s">
        <v>2230</v>
      </c>
      <c r="C11" s="3460"/>
      <c r="D11" s="1022" t="s">
        <v>2231</v>
      </c>
      <c r="E11" s="1022" t="s">
        <v>2232</v>
      </c>
      <c r="F11" s="1023" t="s">
        <v>2233</v>
      </c>
      <c r="G11" s="1023" t="s">
        <v>2220</v>
      </c>
      <c r="H11" s="1028" t="s">
        <v>138</v>
      </c>
      <c r="I11" s="1045" t="s">
        <v>2221</v>
      </c>
    </row>
    <row r="12" spans="1:9">
      <c r="A12" s="3450"/>
      <c r="B12" s="3460" t="s">
        <v>2234</v>
      </c>
      <c r="C12" s="3460"/>
      <c r="D12" s="1022"/>
      <c r="E12" s="1022"/>
      <c r="F12" s="1023"/>
      <c r="G12" s="1024"/>
      <c r="H12" s="1029"/>
      <c r="I12" s="1045">
        <f>ROUND(D12*E12*F12*G12/10000,0)</f>
        <v>0</v>
      </c>
    </row>
    <row r="13" spans="1:9">
      <c r="A13" s="3450"/>
      <c r="B13" s="3460" t="s">
        <v>2235</v>
      </c>
      <c r="C13" s="3460"/>
      <c r="D13" s="1022"/>
      <c r="E13" s="1022"/>
      <c r="F13" s="1023"/>
      <c r="G13" s="1024"/>
      <c r="H13" s="1029"/>
      <c r="I13" s="1045">
        <f>ROUND(D13*E13*F13*G13/10000,0)</f>
        <v>0</v>
      </c>
    </row>
    <row r="14" spans="1:9">
      <c r="A14" s="3450"/>
      <c r="B14" s="3460" t="s">
        <v>2236</v>
      </c>
      <c r="C14" s="3460"/>
      <c r="D14" s="1022"/>
      <c r="E14" s="1022"/>
      <c r="F14" s="1023"/>
      <c r="G14" s="1024"/>
      <c r="H14" s="1029"/>
      <c r="I14" s="1045">
        <f>ROUND(D14*E14*F14*G14/10000,0)</f>
        <v>0</v>
      </c>
    </row>
    <row r="15" spans="1:9">
      <c r="A15" s="3450"/>
      <c r="B15" s="3458" t="s">
        <v>509</v>
      </c>
      <c r="C15" s="3458"/>
      <c r="D15" s="1025"/>
      <c r="E15" s="1025">
        <f>SUM(E12:E14)</f>
        <v>0</v>
      </c>
      <c r="F15" s="1026"/>
      <c r="G15" s="1024"/>
      <c r="H15" s="1029"/>
      <c r="I15" s="1048">
        <f>SUM(I12:I14)</f>
        <v>0</v>
      </c>
    </row>
    <row r="16" spans="1:9" ht="24">
      <c r="A16" s="3450" t="s">
        <v>2237</v>
      </c>
      <c r="B16" s="3460" t="s">
        <v>2238</v>
      </c>
      <c r="C16" s="3460"/>
      <c r="D16" s="1022" t="s">
        <v>2216</v>
      </c>
      <c r="E16" s="1030" t="s">
        <v>2239</v>
      </c>
      <c r="F16" s="1023" t="s">
        <v>2240</v>
      </c>
      <c r="G16" s="1024" t="s">
        <v>2220</v>
      </c>
      <c r="H16" s="1028" t="s">
        <v>138</v>
      </c>
      <c r="I16" s="1045" t="s">
        <v>2221</v>
      </c>
    </row>
    <row r="17" spans="1:9" ht="14.25">
      <c r="A17" s="3450"/>
      <c r="B17" s="3460" t="s">
        <v>2241</v>
      </c>
      <c r="C17" s="3460"/>
      <c r="D17" s="1022"/>
      <c r="E17" s="1022"/>
      <c r="F17" s="1023"/>
      <c r="G17" s="1024"/>
      <c r="H17" s="1031"/>
      <c r="I17" s="1049">
        <f>ROUND(D17*E17*F17*G17/10000,0)</f>
        <v>0</v>
      </c>
    </row>
    <row r="18" spans="1:9" ht="14.25">
      <c r="A18" s="3450"/>
      <c r="B18" s="3460" t="s">
        <v>2242</v>
      </c>
      <c r="C18" s="3460"/>
      <c r="D18" s="1022"/>
      <c r="E18" s="1022"/>
      <c r="F18" s="1023"/>
      <c r="G18" s="1024"/>
      <c r="H18" s="1031"/>
      <c r="I18" s="1049">
        <f>ROUND(D18*E18*F18*G18/10000,0)</f>
        <v>0</v>
      </c>
    </row>
    <row r="19" spans="1:9" ht="14.25">
      <c r="A19" s="3450"/>
      <c r="B19" s="3460" t="s">
        <v>2243</v>
      </c>
      <c r="C19" s="3460"/>
      <c r="D19" s="1022"/>
      <c r="E19" s="1022"/>
      <c r="F19" s="1023"/>
      <c r="G19" s="1024"/>
      <c r="H19" s="1031"/>
      <c r="I19" s="1049">
        <f>ROUND(D19*E19*F19*G19/10000,0)</f>
        <v>0</v>
      </c>
    </row>
    <row r="20" spans="1:9">
      <c r="A20" s="3450"/>
      <c r="B20" s="3458" t="s">
        <v>509</v>
      </c>
      <c r="C20" s="3458"/>
      <c r="D20" s="1025">
        <f>SUM(D17:D19)</f>
        <v>0</v>
      </c>
      <c r="E20" s="1025"/>
      <c r="F20" s="1026"/>
      <c r="G20" s="1024"/>
      <c r="H20" s="1029"/>
      <c r="I20" s="1048">
        <f>SUM(I17:I19)</f>
        <v>0</v>
      </c>
    </row>
    <row r="21" spans="1:9">
      <c r="A21" s="3450" t="s">
        <v>2244</v>
      </c>
      <c r="B21" s="3459"/>
      <c r="C21" s="3459"/>
      <c r="D21" s="3459"/>
      <c r="E21" s="3459"/>
      <c r="F21" s="3459"/>
      <c r="G21" s="3459"/>
      <c r="H21" s="1032">
        <v>0.1</v>
      </c>
      <c r="I21" s="1047">
        <f>ROUND(I10*H21,0)</f>
        <v>0</v>
      </c>
    </row>
    <row r="22" spans="1:9" ht="14.25">
      <c r="A22" s="3451" t="s">
        <v>2245</v>
      </c>
      <c r="B22" s="3452"/>
      <c r="C22" s="3453"/>
      <c r="D22" s="1033" t="s">
        <v>385</v>
      </c>
      <c r="E22" s="1033" t="s">
        <v>2246</v>
      </c>
      <c r="F22" s="1034" t="s">
        <v>2220</v>
      </c>
      <c r="G22" s="1034" t="s">
        <v>2247</v>
      </c>
      <c r="H22" s="1028" t="s">
        <v>138</v>
      </c>
      <c r="I22" s="1045" t="s">
        <v>2221</v>
      </c>
    </row>
    <row r="23" spans="1:9">
      <c r="A23" s="3454"/>
      <c r="B23" s="3455"/>
      <c r="C23" s="3456"/>
      <c r="D23" s="1035"/>
      <c r="E23" s="1035"/>
      <c r="F23" s="1035"/>
      <c r="G23" s="1036"/>
      <c r="H23" s="1037"/>
      <c r="I23" s="1050">
        <f>ROUND(E23*D23*F23*(1-G23)/10000,0)</f>
        <v>0</v>
      </c>
    </row>
    <row r="26" spans="1:9">
      <c r="A26" s="1038" t="s">
        <v>2248</v>
      </c>
      <c r="B26" s="1038"/>
      <c r="C26" s="1038"/>
      <c r="D26" s="1038"/>
      <c r="E26" s="3449">
        <f>C27-C30-C31-C32</f>
        <v>0</v>
      </c>
      <c r="F26" s="3449"/>
      <c r="G26" s="3449"/>
      <c r="H26" s="1039" t="s">
        <v>2249</v>
      </c>
    </row>
    <row r="27" spans="1:9">
      <c r="A27" s="1040">
        <v>1</v>
      </c>
      <c r="B27" s="1041" t="s">
        <v>2250</v>
      </c>
      <c r="C27" s="1041"/>
      <c r="D27" s="1041"/>
      <c r="E27" s="3445"/>
      <c r="F27" s="3445"/>
      <c r="G27" s="3445"/>
    </row>
    <row r="28" spans="1:9">
      <c r="A28" s="1042" t="s">
        <v>1257</v>
      </c>
      <c r="B28" s="1041" t="s">
        <v>2251</v>
      </c>
      <c r="C28" s="1041"/>
      <c r="D28" s="1041"/>
      <c r="E28" s="3445"/>
      <c r="F28" s="3445"/>
      <c r="G28" s="3445"/>
    </row>
    <row r="29" spans="1:9">
      <c r="A29" s="1042" t="s">
        <v>1297</v>
      </c>
      <c r="B29" s="1041" t="s">
        <v>2055</v>
      </c>
      <c r="C29" s="1041"/>
      <c r="D29" s="1041"/>
      <c r="E29" s="1041" t="s">
        <v>2252</v>
      </c>
      <c r="F29" s="1041"/>
      <c r="G29" s="1041"/>
    </row>
    <row r="30" spans="1:9">
      <c r="A30" s="1040">
        <v>2</v>
      </c>
      <c r="B30" s="1041" t="s">
        <v>2253</v>
      </c>
      <c r="C30" s="1041">
        <f>C27*D30</f>
        <v>0</v>
      </c>
      <c r="D30" s="1043">
        <v>0.2</v>
      </c>
      <c r="E30" s="1041" t="s">
        <v>2254</v>
      </c>
      <c r="F30" s="1041"/>
      <c r="G30" s="1041"/>
    </row>
    <row r="31" spans="1:9">
      <c r="A31" s="1040">
        <v>3</v>
      </c>
      <c r="B31" s="1041" t="s">
        <v>2255</v>
      </c>
      <c r="C31" s="1041">
        <f>C25*D31</f>
        <v>0</v>
      </c>
      <c r="D31" s="1043">
        <v>0.15</v>
      </c>
      <c r="E31" s="1041" t="s">
        <v>2256</v>
      </c>
      <c r="F31" s="1041"/>
      <c r="G31" s="1041"/>
    </row>
    <row r="32" spans="1:9">
      <c r="A32" s="1040">
        <v>4</v>
      </c>
      <c r="B32" s="1041" t="s">
        <v>2257</v>
      </c>
      <c r="C32" s="1041">
        <f>C27*D32</f>
        <v>0</v>
      </c>
      <c r="D32" s="1043">
        <v>0.05</v>
      </c>
      <c r="E32" s="3457"/>
      <c r="F32" s="3457"/>
      <c r="G32" s="3457"/>
    </row>
    <row r="33" spans="1:7" hidden="1">
      <c r="A33" s="3446" t="s">
        <v>2258</v>
      </c>
      <c r="B33" s="3447"/>
      <c r="C33" s="3447"/>
      <c r="D33" s="3448"/>
      <c r="E33" s="3449"/>
      <c r="F33" s="3449"/>
      <c r="G33" s="3449"/>
    </row>
    <row r="34" spans="1:7" hidden="1">
      <c r="A34" s="1044">
        <v>1</v>
      </c>
      <c r="B34" s="1041" t="s">
        <v>2259</v>
      </c>
      <c r="C34" s="1041"/>
      <c r="D34" s="1041"/>
      <c r="E34" s="3445"/>
      <c r="F34" s="3445"/>
      <c r="G34" s="3445"/>
    </row>
    <row r="35" spans="1:7" hidden="1">
      <c r="A35" s="1044">
        <v>2</v>
      </c>
      <c r="B35" s="1041" t="s">
        <v>2260</v>
      </c>
      <c r="C35" s="1041"/>
      <c r="D35" s="1041"/>
      <c r="E35" s="3445"/>
      <c r="F35" s="3445"/>
      <c r="G35" s="3445"/>
    </row>
    <row r="36" spans="1:7" hidden="1">
      <c r="A36" s="1044">
        <v>3</v>
      </c>
      <c r="B36" s="1041" t="s">
        <v>2261</v>
      </c>
      <c r="C36" s="1041"/>
      <c r="D36" s="1041"/>
      <c r="E36" s="3445"/>
      <c r="F36" s="3445"/>
      <c r="G36" s="3445"/>
    </row>
    <row r="37" spans="1:7" hidden="1">
      <c r="A37" s="1044">
        <v>4</v>
      </c>
      <c r="B37" s="1041" t="s">
        <v>2262</v>
      </c>
      <c r="C37" s="1041"/>
      <c r="D37" s="1041"/>
      <c r="E37" s="3445"/>
      <c r="F37" s="3445"/>
      <c r="G37" s="3445"/>
    </row>
    <row r="38" spans="1:7" hidden="1">
      <c r="A38" s="3446" t="s">
        <v>2263</v>
      </c>
      <c r="B38" s="3447"/>
      <c r="C38" s="3447"/>
      <c r="D38" s="3448"/>
      <c r="E38" s="3449"/>
      <c r="F38" s="3449"/>
      <c r="G38" s="344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2264</v>
      </c>
      <c r="B1" s="968"/>
      <c r="C1" s="969"/>
      <c r="D1" s="969"/>
      <c r="E1" s="969"/>
      <c r="F1" s="969"/>
      <c r="G1" s="970"/>
    </row>
    <row r="2" spans="1:25" s="612" customFormat="1" ht="18" customHeight="1">
      <c r="A2" s="205" t="s">
        <v>926</v>
      </c>
      <c r="B2" s="971">
        <f ca="1">C23</f>
        <v>750</v>
      </c>
      <c r="C2" s="970"/>
      <c r="D2" s="970"/>
      <c r="E2" s="970"/>
      <c r="F2" s="970"/>
      <c r="G2" s="970"/>
    </row>
    <row r="3" spans="1:25" s="612" customFormat="1" ht="18" customHeight="1">
      <c r="A3" s="972" t="s">
        <v>927</v>
      </c>
      <c r="B3" s="971">
        <f ca="1">ROUND(B2*10000/'数据-汇总表'!E3,0)</f>
        <v>68</v>
      </c>
      <c r="C3" s="970"/>
      <c r="D3" s="970"/>
      <c r="E3" s="970"/>
      <c r="F3" s="970"/>
      <c r="G3" s="970"/>
    </row>
    <row r="4" spans="1:25" s="612" customFormat="1" ht="18" customHeight="1">
      <c r="A4" s="973" t="s">
        <v>1141</v>
      </c>
      <c r="B4" s="974">
        <f ca="1">ROUND(B2*10000/'数据-汇总表'!D3,0)</f>
        <v>187</v>
      </c>
      <c r="C4" s="566"/>
      <c r="D4" s="970"/>
      <c r="E4" s="970"/>
      <c r="F4" s="970"/>
      <c r="G4" s="970"/>
    </row>
    <row r="5" spans="1:25" s="612" customFormat="1" ht="18" customHeight="1">
      <c r="A5" s="975"/>
      <c r="B5" s="976">
        <f ca="1">ROUND(B2/('数据-汇总表'!D3/666.67),0)</f>
        <v>12</v>
      </c>
      <c r="C5" s="977" t="s">
        <v>929</v>
      </c>
      <c r="D5" s="970"/>
      <c r="E5" s="970"/>
      <c r="F5" s="970"/>
      <c r="G5" s="970"/>
    </row>
    <row r="6" spans="1:25" s="961" customFormat="1" ht="13.5" customHeight="1">
      <c r="A6" s="978"/>
      <c r="B6" s="979" t="s">
        <v>857</v>
      </c>
      <c r="C6" s="980" t="s">
        <v>2265</v>
      </c>
      <c r="D6" s="980" t="s">
        <v>2266</v>
      </c>
      <c r="E6" s="981" t="s">
        <v>2267</v>
      </c>
      <c r="F6" s="981" t="s">
        <v>858</v>
      </c>
      <c r="G6" s="982"/>
    </row>
    <row r="7" spans="1:25" s="961" customFormat="1" ht="13.5" customHeight="1">
      <c r="A7" s="983">
        <v>1</v>
      </c>
      <c r="B7" s="984" t="s">
        <v>2268</v>
      </c>
      <c r="C7" s="985">
        <f>C8+C9</f>
        <v>0</v>
      </c>
      <c r="D7" s="985"/>
      <c r="E7" s="986"/>
      <c r="F7" s="986"/>
      <c r="G7" s="987"/>
    </row>
    <row r="8" spans="1:25" s="961" customFormat="1" ht="13.5" customHeight="1">
      <c r="A8" s="983" t="s">
        <v>2269</v>
      </c>
      <c r="B8" s="988" t="s">
        <v>2270</v>
      </c>
      <c r="C8" s="989"/>
      <c r="D8" s="985"/>
      <c r="E8" s="986"/>
      <c r="F8" s="986"/>
      <c r="G8" s="990"/>
    </row>
    <row r="9" spans="1:25" s="961" customFormat="1" ht="13.5" customHeight="1">
      <c r="A9" s="983" t="s">
        <v>2271</v>
      </c>
      <c r="B9" s="988" t="s">
        <v>2272</v>
      </c>
      <c r="C9" s="989"/>
      <c r="D9" s="985"/>
      <c r="E9" s="986"/>
      <c r="F9" s="986"/>
      <c r="G9" s="990"/>
    </row>
    <row r="10" spans="1:25" s="961" customFormat="1" ht="36">
      <c r="A10" s="983">
        <v>2</v>
      </c>
      <c r="B10" s="984" t="s">
        <v>2273</v>
      </c>
      <c r="C10" s="985">
        <f>C11+C14+C15</f>
        <v>705</v>
      </c>
      <c r="D10" s="991">
        <f>'数据-汇总表'!E3</f>
        <v>109558.57000000002</v>
      </c>
      <c r="E10" s="985">
        <f>'数据-取费表'!B31</f>
        <v>100</v>
      </c>
      <c r="F10" s="992"/>
      <c r="G10" s="993" t="s">
        <v>2274</v>
      </c>
    </row>
    <row r="11" spans="1:25" s="961" customFormat="1" ht="13.5" customHeight="1">
      <c r="A11" s="983" t="s">
        <v>2269</v>
      </c>
      <c r="B11" s="994" t="s">
        <v>2275</v>
      </c>
      <c r="C11" s="995">
        <f>'数据-取费表'!B29</f>
        <v>705</v>
      </c>
      <c r="D11" s="996"/>
      <c r="E11" s="995"/>
      <c r="F11" s="997"/>
      <c r="G11" s="998" t="s">
        <v>2276</v>
      </c>
    </row>
    <row r="12" spans="1:25" s="961" customFormat="1" ht="13.5" customHeight="1">
      <c r="A12" s="999" t="s">
        <v>2277</v>
      </c>
      <c r="B12" s="1000" t="s">
        <v>2278</v>
      </c>
      <c r="C12" s="1001">
        <f>ROUND(D12*E12/10000,0)</f>
        <v>511</v>
      </c>
      <c r="D12" s="1002">
        <f>'数据-汇总表'!E5</f>
        <v>85247.46</v>
      </c>
      <c r="E12" s="1001">
        <f>'数据-取费表'!B27</f>
        <v>60</v>
      </c>
      <c r="F12" s="997"/>
      <c r="G12" s="993"/>
    </row>
    <row r="13" spans="1:25" s="961" customFormat="1" ht="13.5" customHeight="1">
      <c r="A13" s="999" t="s">
        <v>2279</v>
      </c>
      <c r="B13" s="1000" t="s">
        <v>2280</v>
      </c>
      <c r="C13" s="1001">
        <f>ROUND(D13*E13/10000,0)</f>
        <v>194</v>
      </c>
      <c r="D13" s="1002">
        <f>'数据-汇总表'!E6</f>
        <v>24311.110000000015</v>
      </c>
      <c r="E13" s="1001">
        <f>'数据-取费表'!B28</f>
        <v>80</v>
      </c>
      <c r="F13" s="997"/>
      <c r="G13" s="993"/>
    </row>
    <row r="14" spans="1:25" s="961" customFormat="1" ht="13.5" customHeight="1">
      <c r="A14" s="983" t="s">
        <v>2271</v>
      </c>
      <c r="B14" s="1003" t="s">
        <v>2281</v>
      </c>
      <c r="C14" s="989"/>
      <c r="D14" s="1002"/>
      <c r="E14" s="1001"/>
      <c r="F14" s="1004"/>
      <c r="G14" s="1005" t="s">
        <v>2282</v>
      </c>
    </row>
    <row r="15" spans="1:25" s="961" customFormat="1" ht="13.5" customHeight="1">
      <c r="A15" s="983" t="s">
        <v>2283</v>
      </c>
      <c r="B15" s="1003" t="s">
        <v>2284</v>
      </c>
      <c r="C15" s="989"/>
      <c r="D15" s="1002"/>
      <c r="E15" s="1001"/>
      <c r="F15" s="1004"/>
      <c r="G15" s="1005" t="s">
        <v>2285</v>
      </c>
    </row>
    <row r="16" spans="1:25" s="962" customFormat="1" ht="48">
      <c r="A16" s="983">
        <v>3</v>
      </c>
      <c r="B16" s="984" t="s">
        <v>2286</v>
      </c>
      <c r="C16" s="989"/>
      <c r="D16" s="991"/>
      <c r="E16" s="985"/>
      <c r="F16" s="992"/>
      <c r="G16" s="993" t="s">
        <v>2287</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2288</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2289</v>
      </c>
      <c r="C18" s="985">
        <f>ROUND((C7+C10+C16)*F18,0)</f>
        <v>99</v>
      </c>
      <c r="D18" s="1008"/>
      <c r="E18" s="1009"/>
      <c r="F18" s="992">
        <f>'数据-取费表'!Q16</f>
        <v>0.14000000000000001</v>
      </c>
      <c r="G18" s="1011" t="s">
        <v>2290</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2291</v>
      </c>
      <c r="C19" s="985">
        <f ca="1">C7+C10+C16+C17+C18</f>
        <v>804</v>
      </c>
      <c r="D19" s="991"/>
      <c r="E19" s="985"/>
      <c r="F19" s="992"/>
      <c r="G19" s="1011" t="s">
        <v>2292</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2293</v>
      </c>
      <c r="C20" s="985">
        <f ca="1">ROUND(C19*F20,0)</f>
        <v>0</v>
      </c>
      <c r="D20" s="991"/>
      <c r="E20" s="985"/>
      <c r="F20" s="1013"/>
      <c r="G20" s="1011" t="s">
        <v>2294</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2295</v>
      </c>
      <c r="C21" s="985">
        <f ca="1">C19+C20</f>
        <v>804</v>
      </c>
      <c r="D21" s="991"/>
      <c r="E21" s="985"/>
      <c r="F21" s="992"/>
      <c r="G21" s="1011" t="s">
        <v>2296</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2297</v>
      </c>
      <c r="C22" s="985">
        <f ca="1">ROUND(C21*F22,0)</f>
        <v>750</v>
      </c>
      <c r="D22" s="991"/>
      <c r="E22" s="985"/>
      <c r="F22" s="1014">
        <f>'数据-取费表'!AP16</f>
        <v>0.93300000000000005</v>
      </c>
      <c r="G22" s="1011" t="s">
        <v>2298</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2299</v>
      </c>
      <c r="C23" s="1017">
        <f ca="1">C22</f>
        <v>750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8" sqref="E18"/>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875" t="s">
        <v>2301</v>
      </c>
      <c r="C1" s="876" t="s">
        <v>2302</v>
      </c>
      <c r="D1" s="877" t="s">
        <v>372</v>
      </c>
      <c r="E1" s="878"/>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53663</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2305</v>
      </c>
      <c r="B3" s="213">
        <f>C49</f>
        <v>6295</v>
      </c>
      <c r="C3" s="212" t="s">
        <v>2306</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86" t="s">
        <v>931</v>
      </c>
      <c r="D4" s="3387"/>
      <c r="E4" s="3397" t="s">
        <v>932</v>
      </c>
      <c r="F4" s="3398"/>
      <c r="G4" s="3386" t="s">
        <v>933</v>
      </c>
      <c r="H4" s="3387"/>
      <c r="I4" s="3386" t="s">
        <v>934</v>
      </c>
      <c r="J4" s="3387"/>
      <c r="K4" s="892" t="s">
        <v>935</v>
      </c>
      <c r="L4" s="377"/>
      <c r="M4" s="378"/>
      <c r="N4" s="378"/>
      <c r="O4" s="378"/>
      <c r="P4" s="3356" t="s">
        <v>936</v>
      </c>
      <c r="Q4" s="3357"/>
      <c r="R4" s="3362" t="s">
        <v>932</v>
      </c>
      <c r="S4" s="3363"/>
      <c r="T4" s="3362" t="s">
        <v>933</v>
      </c>
      <c r="U4" s="3363"/>
      <c r="V4" s="3368" t="s">
        <v>934</v>
      </c>
      <c r="W4" s="3368"/>
      <c r="X4" s="443"/>
      <c r="Y4" s="3362" t="s">
        <v>936</v>
      </c>
      <c r="Z4" s="3363"/>
      <c r="AA4" s="3349" t="s">
        <v>932</v>
      </c>
      <c r="AB4" s="3349" t="s">
        <v>933</v>
      </c>
      <c r="AC4" s="3349" t="s">
        <v>934</v>
      </c>
    </row>
    <row r="5" spans="1:29" ht="15">
      <c r="A5" s="216"/>
      <c r="B5" s="217"/>
      <c r="C5" s="3388" t="s">
        <v>937</v>
      </c>
      <c r="D5" s="3389"/>
      <c r="E5" s="3469" t="s">
        <v>2307</v>
      </c>
      <c r="F5" s="3400"/>
      <c r="G5" s="3470" t="s">
        <v>2308</v>
      </c>
      <c r="H5" s="3389"/>
      <c r="I5" s="3470" t="s">
        <v>2309</v>
      </c>
      <c r="J5" s="3389"/>
      <c r="K5" s="893"/>
      <c r="L5" s="377"/>
      <c r="M5" s="378"/>
      <c r="N5" s="378"/>
      <c r="O5" s="378"/>
      <c r="P5" s="3358"/>
      <c r="Q5" s="3359"/>
      <c r="R5" s="3364"/>
      <c r="S5" s="3365"/>
      <c r="T5" s="3364"/>
      <c r="U5" s="3365"/>
      <c r="V5" s="3368"/>
      <c r="W5" s="3368"/>
      <c r="X5" s="443"/>
      <c r="Y5" s="3364"/>
      <c r="Z5" s="3365"/>
      <c r="AA5" s="3350"/>
      <c r="AB5" s="3350"/>
      <c r="AC5" s="3350"/>
    </row>
    <row r="6" spans="1:29" ht="15">
      <c r="A6" s="218"/>
      <c r="B6" s="219"/>
      <c r="C6" s="3383" t="s">
        <v>939</v>
      </c>
      <c r="D6" s="3384"/>
      <c r="E6" s="3395" t="s">
        <v>939</v>
      </c>
      <c r="F6" s="3396"/>
      <c r="G6" s="3383" t="s">
        <v>939</v>
      </c>
      <c r="H6" s="3384"/>
      <c r="I6" s="3383" t="s">
        <v>939</v>
      </c>
      <c r="J6" s="3384"/>
      <c r="K6" s="893" t="s">
        <v>940</v>
      </c>
      <c r="L6" s="377"/>
      <c r="M6" s="378"/>
      <c r="N6" s="378"/>
      <c r="O6" s="378"/>
      <c r="P6" s="3360"/>
      <c r="Q6" s="3361"/>
      <c r="R6" s="3364"/>
      <c r="S6" s="3365"/>
      <c r="T6" s="3366"/>
      <c r="U6" s="3367"/>
      <c r="V6" s="3368"/>
      <c r="W6" s="3368"/>
      <c r="X6" s="443"/>
      <c r="Y6" s="3366"/>
      <c r="Z6" s="3367"/>
      <c r="AA6" s="3351"/>
      <c r="AB6" s="3351"/>
      <c r="AC6" s="3351"/>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69" t="s">
        <v>942</v>
      </c>
      <c r="Q7" s="3385"/>
      <c r="R7" s="444" t="s">
        <v>943</v>
      </c>
      <c r="S7" s="445">
        <f t="shared" ref="S7:S15" si="0">F7</f>
        <v>100</v>
      </c>
      <c r="T7" s="444" t="s">
        <v>943</v>
      </c>
      <c r="U7" s="445">
        <f t="shared" ref="U7:U15" si="1">H7</f>
        <v>100</v>
      </c>
      <c r="V7" s="444" t="s">
        <v>943</v>
      </c>
      <c r="W7" s="445">
        <f t="shared" ref="W7:W15" si="2">J7</f>
        <v>100</v>
      </c>
      <c r="X7" s="446"/>
      <c r="Y7" s="3369" t="s">
        <v>942</v>
      </c>
      <c r="Z7" s="3370"/>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69" t="s">
        <v>948</v>
      </c>
      <c r="Q8" s="3370"/>
      <c r="R8" s="444" t="s">
        <v>943</v>
      </c>
      <c r="S8" s="445">
        <f t="shared" si="0"/>
        <v>100</v>
      </c>
      <c r="T8" s="444" t="s">
        <v>943</v>
      </c>
      <c r="U8" s="445">
        <f t="shared" si="1"/>
        <v>100</v>
      </c>
      <c r="V8" s="444" t="s">
        <v>943</v>
      </c>
      <c r="W8" s="445">
        <f t="shared" si="2"/>
        <v>100</v>
      </c>
      <c r="X8" s="446"/>
      <c r="Y8" s="3369" t="s">
        <v>948</v>
      </c>
      <c r="Z8" s="3370"/>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72" t="s">
        <v>950</v>
      </c>
      <c r="Q9" s="447" t="str">
        <f t="shared" ref="Q9:Q15" si="6">B9</f>
        <v>用途</v>
      </c>
      <c r="R9" s="444" t="s">
        <v>943</v>
      </c>
      <c r="S9" s="445">
        <f t="shared" si="0"/>
        <v>100</v>
      </c>
      <c r="T9" s="444" t="s">
        <v>943</v>
      </c>
      <c r="U9" s="445">
        <f t="shared" si="1"/>
        <v>100</v>
      </c>
      <c r="V9" s="444" t="s">
        <v>943</v>
      </c>
      <c r="W9" s="445">
        <f t="shared" si="2"/>
        <v>100</v>
      </c>
      <c r="X9" s="446"/>
      <c r="Y9" s="3282" t="s">
        <v>951</v>
      </c>
      <c r="Z9" s="464" t="str">
        <f t="shared" ref="Z9:Z15" si="7">Q9</f>
        <v>用途</v>
      </c>
      <c r="AA9" s="463">
        <f t="shared" si="3"/>
        <v>1</v>
      </c>
      <c r="AB9" s="463">
        <f t="shared" si="4"/>
        <v>1</v>
      </c>
      <c r="AC9" s="463">
        <f t="shared" si="5"/>
        <v>1</v>
      </c>
    </row>
    <row r="10" spans="1:29" s="191" customFormat="1" ht="27">
      <c r="A10" s="235"/>
      <c r="B10" s="228" t="s">
        <v>952</v>
      </c>
      <c r="C10" s="236" t="s">
        <v>2310</v>
      </c>
      <c r="D10" s="237">
        <v>100</v>
      </c>
      <c r="E10" s="238" t="s">
        <v>2310</v>
      </c>
      <c r="F10" s="544">
        <f>SUMIF(65:65,E10,66:66)-SUMIF(65:65,C10,66:66)+100</f>
        <v>100</v>
      </c>
      <c r="G10" s="236" t="s">
        <v>2310</v>
      </c>
      <c r="H10" s="237">
        <f>SUMIF(65:65,G10,66:66)-SUMIF(65:65,C10,66:66)+100</f>
        <v>100</v>
      </c>
      <c r="I10" s="236" t="s">
        <v>2310</v>
      </c>
      <c r="J10" s="237">
        <f>SUMIF(65:65,I10,66:66)-SUMIF(65:65,C10,66:66)+100</f>
        <v>100</v>
      </c>
      <c r="K10" s="895"/>
      <c r="L10" s="385"/>
      <c r="M10" s="386"/>
      <c r="N10" s="386"/>
      <c r="O10" s="387"/>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72"/>
      <c r="Q11" s="447" t="str">
        <f t="shared" si="6"/>
        <v>容积率</v>
      </c>
      <c r="R11" s="444" t="s">
        <v>943</v>
      </c>
      <c r="S11" s="445">
        <f t="shared" si="0"/>
        <v>100</v>
      </c>
      <c r="T11" s="444" t="s">
        <v>943</v>
      </c>
      <c r="U11" s="445">
        <f t="shared" si="1"/>
        <v>100</v>
      </c>
      <c r="V11" s="444" t="s">
        <v>943</v>
      </c>
      <c r="W11" s="445">
        <f t="shared" si="2"/>
        <v>100</v>
      </c>
      <c r="X11" s="446"/>
      <c r="Y11" s="3282"/>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72"/>
      <c r="Q14" s="447">
        <f t="shared" si="6"/>
        <v>111</v>
      </c>
      <c r="R14" s="444" t="s">
        <v>943</v>
      </c>
      <c r="S14" s="445">
        <f t="shared" si="0"/>
        <v>100</v>
      </c>
      <c r="T14" s="444" t="s">
        <v>943</v>
      </c>
      <c r="U14" s="445">
        <f t="shared" si="1"/>
        <v>100</v>
      </c>
      <c r="V14" s="444" t="s">
        <v>943</v>
      </c>
      <c r="W14" s="445">
        <f t="shared" si="2"/>
        <v>100</v>
      </c>
      <c r="X14" s="446"/>
      <c r="Y14" s="3282"/>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10</v>
      </c>
      <c r="L15" s="391"/>
      <c r="M15" s="378"/>
      <c r="N15" s="378"/>
      <c r="O15" s="390"/>
      <c r="P15" s="3373" t="s">
        <v>957</v>
      </c>
      <c r="Q15" s="383" t="str">
        <f t="shared" si="6"/>
        <v>居住社区成熟度</v>
      </c>
      <c r="R15" s="448" t="s">
        <v>943</v>
      </c>
      <c r="S15" s="449">
        <f t="shared" si="0"/>
        <v>100</v>
      </c>
      <c r="T15" s="448" t="s">
        <v>943</v>
      </c>
      <c r="U15" s="449">
        <f t="shared" si="1"/>
        <v>100</v>
      </c>
      <c r="V15" s="448" t="s">
        <v>943</v>
      </c>
      <c r="W15" s="449">
        <f t="shared" si="2"/>
        <v>100</v>
      </c>
      <c r="X15" s="443"/>
      <c r="Y15" s="3373"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74"/>
      <c r="Q16" s="383"/>
      <c r="R16" s="448"/>
      <c r="S16" s="449"/>
      <c r="T16" s="448"/>
      <c r="U16" s="449"/>
      <c r="V16" s="448"/>
      <c r="W16" s="449"/>
      <c r="X16" s="443"/>
      <c r="Y16" s="3374"/>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105</v>
      </c>
      <c r="G17" s="272"/>
      <c r="H17" s="263">
        <f>SUMIF(78:78,G18,79:79)-SUMIF(78:78,C18,79:79)+100</f>
        <v>105</v>
      </c>
      <c r="I17" s="270"/>
      <c r="J17" s="263">
        <f>SUMIF(78:78,I18,79:79)-SUMIF(78:78,C18,79:79)+100</f>
        <v>100</v>
      </c>
      <c r="K17" s="897">
        <f>'比较法-住宅、综合'!K23</f>
        <v>5</v>
      </c>
      <c r="L17" s="391"/>
      <c r="M17" s="378"/>
      <c r="N17" s="378"/>
      <c r="O17" s="390"/>
      <c r="P17" s="3374"/>
      <c r="Q17" s="383" t="str">
        <f>B17</f>
        <v>交通便捷度</v>
      </c>
      <c r="R17" s="448" t="s">
        <v>943</v>
      </c>
      <c r="S17" s="449">
        <f>F17</f>
        <v>105</v>
      </c>
      <c r="T17" s="448" t="s">
        <v>943</v>
      </c>
      <c r="U17" s="449">
        <f>H17</f>
        <v>105</v>
      </c>
      <c r="V17" s="448" t="s">
        <v>943</v>
      </c>
      <c r="W17" s="449">
        <f>J17</f>
        <v>100</v>
      </c>
      <c r="X17" s="443"/>
      <c r="Y17" s="3374"/>
      <c r="Z17" s="442" t="str">
        <f>Q17</f>
        <v>交通便捷度</v>
      </c>
      <c r="AA17" s="454">
        <f t="shared" si="3"/>
        <v>0.95238095238095233</v>
      </c>
      <c r="AB17" s="454">
        <f t="shared" si="4"/>
        <v>0.95238095238095233</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74"/>
      <c r="Q18" s="383"/>
      <c r="R18" s="448"/>
      <c r="S18" s="449"/>
      <c r="T18" s="448"/>
      <c r="U18" s="449"/>
      <c r="V18" s="448"/>
      <c r="W18" s="449"/>
      <c r="X18" s="443"/>
      <c r="Y18" s="3374"/>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5</v>
      </c>
      <c r="L19" s="391"/>
      <c r="M19" s="378"/>
      <c r="N19" s="378"/>
      <c r="O19" s="390"/>
      <c r="P19" s="3374"/>
      <c r="Q19" s="383" t="str">
        <f>B19</f>
        <v>公共配套设施</v>
      </c>
      <c r="R19" s="448" t="s">
        <v>943</v>
      </c>
      <c r="S19" s="449">
        <f>F19</f>
        <v>100</v>
      </c>
      <c r="T19" s="448" t="s">
        <v>943</v>
      </c>
      <c r="U19" s="449">
        <f>H19</f>
        <v>100</v>
      </c>
      <c r="V19" s="448" t="s">
        <v>943</v>
      </c>
      <c r="W19" s="449">
        <f>J19</f>
        <v>100</v>
      </c>
      <c r="X19" s="443"/>
      <c r="Y19" s="3374"/>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74"/>
      <c r="Q20" s="383"/>
      <c r="R20" s="448"/>
      <c r="S20" s="449"/>
      <c r="T20" s="448"/>
      <c r="U20" s="449"/>
      <c r="V20" s="448"/>
      <c r="W20" s="449"/>
      <c r="X20" s="443"/>
      <c r="Y20" s="3374"/>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74"/>
      <c r="Q21" s="383" t="str">
        <f>B21</f>
        <v>基础设施水平</v>
      </c>
      <c r="R21" s="448" t="s">
        <v>943</v>
      </c>
      <c r="S21" s="449">
        <f>F21</f>
        <v>100</v>
      </c>
      <c r="T21" s="448" t="s">
        <v>943</v>
      </c>
      <c r="U21" s="449">
        <f>H21</f>
        <v>100</v>
      </c>
      <c r="V21" s="448" t="s">
        <v>943</v>
      </c>
      <c r="W21" s="449">
        <f>J21</f>
        <v>100</v>
      </c>
      <c r="X21" s="443"/>
      <c r="Y21" s="3374"/>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74"/>
      <c r="Q22" s="383"/>
      <c r="R22" s="448"/>
      <c r="S22" s="449"/>
      <c r="T22" s="448"/>
      <c r="U22" s="449"/>
      <c r="V22" s="448"/>
      <c r="W22" s="449"/>
      <c r="X22" s="443"/>
      <c r="Y22" s="3374"/>
      <c r="Z22" s="442"/>
      <c r="AA22" s="454">
        <v>1</v>
      </c>
      <c r="AB22" s="454">
        <v>1</v>
      </c>
      <c r="AC22" s="454">
        <v>1</v>
      </c>
    </row>
    <row r="23" spans="1:29" ht="57">
      <c r="A23" s="255"/>
      <c r="B23" s="274" t="s">
        <v>2311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2</v>
      </c>
      <c r="L23" s="391"/>
      <c r="M23" s="378"/>
      <c r="N23" s="378"/>
      <c r="O23" s="390"/>
      <c r="P23" s="3374"/>
      <c r="Q23" s="383" t="str">
        <f>B23</f>
        <v>自然及人文环境</v>
      </c>
      <c r="R23" s="448" t="s">
        <v>943</v>
      </c>
      <c r="S23" s="449">
        <f>F23</f>
        <v>100</v>
      </c>
      <c r="T23" s="448" t="s">
        <v>943</v>
      </c>
      <c r="U23" s="449">
        <f>H23</f>
        <v>100</v>
      </c>
      <c r="V23" s="448" t="s">
        <v>943</v>
      </c>
      <c r="W23" s="449">
        <f>J23</f>
        <v>100</v>
      </c>
      <c r="X23" s="443"/>
      <c r="Y23" s="3374"/>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74"/>
      <c r="Q24" s="383"/>
      <c r="R24" s="448"/>
      <c r="S24" s="449"/>
      <c r="T24" s="448"/>
      <c r="U24" s="449"/>
      <c r="V24" s="448"/>
      <c r="W24" s="449"/>
      <c r="X24" s="443"/>
      <c r="Y24" s="3374"/>
      <c r="Z24" s="442"/>
      <c r="AA24" s="454">
        <v>1</v>
      </c>
      <c r="AB24" s="454">
        <v>1</v>
      </c>
      <c r="AC24" s="454">
        <v>1</v>
      </c>
    </row>
    <row r="25" spans="1:29" ht="15" hidden="1">
      <c r="A25" s="255"/>
      <c r="B25" s="545" t="s">
        <v>2312</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74"/>
      <c r="Q25" s="383" t="str">
        <f t="shared" ref="Q25:Q46" si="11">B25</f>
        <v>楼层-1</v>
      </c>
      <c r="R25" s="448" t="s">
        <v>943</v>
      </c>
      <c r="S25" s="449">
        <f>F25</f>
        <v>100</v>
      </c>
      <c r="T25" s="448" t="s">
        <v>943</v>
      </c>
      <c r="U25" s="449">
        <f>H25</f>
        <v>100</v>
      </c>
      <c r="V25" s="448" t="s">
        <v>943</v>
      </c>
      <c r="W25" s="449">
        <f>J25</f>
        <v>100</v>
      </c>
      <c r="X25" s="443"/>
      <c r="Y25" s="3374"/>
      <c r="Z25" s="442" t="str">
        <f>Q25</f>
        <v>楼层-1</v>
      </c>
      <c r="AA25" s="454">
        <f t="shared" si="3"/>
        <v>1</v>
      </c>
      <c r="AB25" s="454">
        <f t="shared" si="4"/>
        <v>1</v>
      </c>
      <c r="AC25" s="454">
        <f t="shared" si="5"/>
        <v>1</v>
      </c>
    </row>
    <row r="26" spans="1:29" ht="15" hidden="1">
      <c r="A26" s="255"/>
      <c r="B26" s="289" t="s">
        <v>2313</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74"/>
      <c r="Q26" s="383" t="str">
        <f t="shared" si="11"/>
        <v>朝向</v>
      </c>
      <c r="R26" s="448" t="s">
        <v>943</v>
      </c>
      <c r="S26" s="449">
        <f>F26</f>
        <v>100</v>
      </c>
      <c r="T26" s="448" t="s">
        <v>943</v>
      </c>
      <c r="U26" s="449">
        <f>H26</f>
        <v>100</v>
      </c>
      <c r="V26" s="448" t="s">
        <v>943</v>
      </c>
      <c r="W26" s="449">
        <f>J26</f>
        <v>100</v>
      </c>
      <c r="X26" s="443"/>
      <c r="Y26" s="3374"/>
      <c r="Z26" s="442" t="str">
        <f>Q26</f>
        <v>朝向</v>
      </c>
      <c r="AA26" s="454">
        <f t="shared" si="3"/>
        <v>1</v>
      </c>
      <c r="AB26" s="454">
        <f t="shared" si="4"/>
        <v>1</v>
      </c>
      <c r="AC26" s="454">
        <f t="shared" si="5"/>
        <v>1</v>
      </c>
    </row>
    <row r="27" spans="1:29" s="190" customFormat="1" ht="15" hidden="1">
      <c r="A27" s="279"/>
      <c r="B27" s="278" t="s">
        <v>2314</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74"/>
      <c r="Q27" s="447" t="str">
        <f t="shared" si="11"/>
        <v>道路级别</v>
      </c>
      <c r="R27" s="444" t="s">
        <v>943</v>
      </c>
      <c r="S27" s="445">
        <f>F27</f>
        <v>100</v>
      </c>
      <c r="T27" s="444" t="s">
        <v>943</v>
      </c>
      <c r="U27" s="445">
        <f>H27</f>
        <v>100</v>
      </c>
      <c r="V27" s="444" t="s">
        <v>943</v>
      </c>
      <c r="W27" s="445">
        <f>J27</f>
        <v>100</v>
      </c>
      <c r="X27" s="446"/>
      <c r="Y27" s="3374"/>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74"/>
      <c r="Q28" s="383">
        <f t="shared" si="11"/>
        <v>111</v>
      </c>
      <c r="R28" s="448" t="s">
        <v>943</v>
      </c>
      <c r="S28" s="449">
        <f t="shared" ref="S28:S46" si="12">F28</f>
        <v>100</v>
      </c>
      <c r="T28" s="448" t="s">
        <v>943</v>
      </c>
      <c r="U28" s="449">
        <f t="shared" ref="U28:U46" si="13">H28</f>
        <v>100</v>
      </c>
      <c r="V28" s="448" t="s">
        <v>943</v>
      </c>
      <c r="W28" s="449">
        <f t="shared" ref="W28:W46" si="14">J28</f>
        <v>100</v>
      </c>
      <c r="X28" s="443"/>
      <c r="Y28" s="3374"/>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74"/>
      <c r="Q29" s="383">
        <f t="shared" si="11"/>
        <v>111</v>
      </c>
      <c r="R29" s="448" t="s">
        <v>943</v>
      </c>
      <c r="S29" s="449">
        <f t="shared" si="12"/>
        <v>100</v>
      </c>
      <c r="T29" s="448" t="s">
        <v>943</v>
      </c>
      <c r="U29" s="449">
        <f t="shared" si="13"/>
        <v>100</v>
      </c>
      <c r="V29" s="448" t="s">
        <v>943</v>
      </c>
      <c r="W29" s="449">
        <f t="shared" si="14"/>
        <v>100</v>
      </c>
      <c r="X29" s="443"/>
      <c r="Y29" s="3374"/>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74"/>
      <c r="Q30" s="383">
        <f t="shared" si="11"/>
        <v>111</v>
      </c>
      <c r="R30" s="448" t="s">
        <v>943</v>
      </c>
      <c r="S30" s="449">
        <f t="shared" si="12"/>
        <v>100</v>
      </c>
      <c r="T30" s="448" t="s">
        <v>943</v>
      </c>
      <c r="U30" s="449">
        <f t="shared" si="13"/>
        <v>100</v>
      </c>
      <c r="V30" s="448" t="s">
        <v>943</v>
      </c>
      <c r="W30" s="449">
        <f t="shared" si="14"/>
        <v>100</v>
      </c>
      <c r="X30" s="443"/>
      <c r="Y30" s="3374"/>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74"/>
      <c r="Q31" s="383">
        <f t="shared" si="11"/>
        <v>111</v>
      </c>
      <c r="R31" s="448" t="s">
        <v>943</v>
      </c>
      <c r="S31" s="449">
        <f t="shared" si="12"/>
        <v>100</v>
      </c>
      <c r="T31" s="448" t="s">
        <v>943</v>
      </c>
      <c r="U31" s="449">
        <f t="shared" si="13"/>
        <v>100</v>
      </c>
      <c r="V31" s="448" t="s">
        <v>943</v>
      </c>
      <c r="W31" s="449">
        <f t="shared" si="14"/>
        <v>100</v>
      </c>
      <c r="X31" s="443"/>
      <c r="Y31" s="3374"/>
      <c r="Z31" s="442">
        <f t="shared" si="15"/>
        <v>111</v>
      </c>
      <c r="AA31" s="454">
        <f t="shared" si="3"/>
        <v>1</v>
      </c>
      <c r="AB31" s="454">
        <f t="shared" si="4"/>
        <v>1</v>
      </c>
      <c r="AC31" s="454">
        <f t="shared" si="5"/>
        <v>1</v>
      </c>
    </row>
    <row r="32" spans="1:29" ht="15">
      <c r="A32" s="283" t="s">
        <v>966</v>
      </c>
      <c r="B32" s="284" t="s">
        <v>2315</v>
      </c>
      <c r="C32" s="603" t="s">
        <v>2316</v>
      </c>
      <c r="D32" s="286">
        <v>100</v>
      </c>
      <c r="E32" s="886" t="s">
        <v>2316</v>
      </c>
      <c r="F32" s="277">
        <f>SUMIF(100:100,E32,101:101)-SUMIF(100:100,C32,101:101)+100</f>
        <v>100</v>
      </c>
      <c r="G32" s="603" t="s">
        <v>2316</v>
      </c>
      <c r="H32" s="286">
        <f>SUMIF(100:100,G32,101:101)-SUMIF(100:100,C32,101:101)+100</f>
        <v>100</v>
      </c>
      <c r="I32" s="886" t="s">
        <v>2316</v>
      </c>
      <c r="J32" s="247">
        <f>SUMIF(100:100,I32,101:101)-SUMIF(100:100,C32,101:101)+100</f>
        <v>100</v>
      </c>
      <c r="K32" s="895"/>
      <c r="L32" s="391"/>
      <c r="M32" s="378"/>
      <c r="N32" s="378"/>
      <c r="O32" s="390"/>
      <c r="P32" s="3375" t="s">
        <v>965</v>
      </c>
      <c r="Q32" s="383" t="str">
        <f t="shared" si="11"/>
        <v>建筑类型</v>
      </c>
      <c r="R32" s="448" t="s">
        <v>943</v>
      </c>
      <c r="S32" s="449">
        <f t="shared" si="12"/>
        <v>100</v>
      </c>
      <c r="T32" s="448" t="s">
        <v>943</v>
      </c>
      <c r="U32" s="449">
        <f t="shared" si="13"/>
        <v>100</v>
      </c>
      <c r="V32" s="448" t="s">
        <v>943</v>
      </c>
      <c r="W32" s="449">
        <f t="shared" si="14"/>
        <v>100</v>
      </c>
      <c r="X32" s="443"/>
      <c r="Y32" s="3376" t="s">
        <v>965</v>
      </c>
      <c r="Z32" s="442" t="str">
        <f t="shared" si="15"/>
        <v>建筑类型</v>
      </c>
      <c r="AA32" s="454">
        <f t="shared" si="3"/>
        <v>1</v>
      </c>
      <c r="AB32" s="454">
        <f t="shared" si="4"/>
        <v>1</v>
      </c>
      <c r="AC32" s="454">
        <f t="shared" si="5"/>
        <v>1</v>
      </c>
    </row>
    <row r="33" spans="1:29" s="192" customFormat="1" ht="15">
      <c r="A33" s="288"/>
      <c r="B33" s="3165" t="s">
        <v>2317</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76"/>
      <c r="Q33" s="450" t="str">
        <f t="shared" si="11"/>
        <v>项目建筑规模</v>
      </c>
      <c r="R33" s="451" t="s">
        <v>943</v>
      </c>
      <c r="S33" s="452">
        <f t="shared" si="12"/>
        <v>100</v>
      </c>
      <c r="T33" s="451" t="s">
        <v>943</v>
      </c>
      <c r="U33" s="452">
        <f t="shared" si="13"/>
        <v>100</v>
      </c>
      <c r="V33" s="451" t="s">
        <v>943</v>
      </c>
      <c r="W33" s="452">
        <f t="shared" si="14"/>
        <v>100</v>
      </c>
      <c r="X33" s="453"/>
      <c r="Y33" s="3376"/>
      <c r="Z33" s="465" t="str">
        <f t="shared" si="15"/>
        <v>项目建筑规模</v>
      </c>
      <c r="AA33" s="454">
        <f t="shared" si="3"/>
        <v>1</v>
      </c>
      <c r="AB33" s="454">
        <f t="shared" si="4"/>
        <v>1</v>
      </c>
      <c r="AC33" s="454">
        <f t="shared" si="5"/>
        <v>1</v>
      </c>
    </row>
    <row r="34" spans="1:29" ht="15">
      <c r="A34" s="293"/>
      <c r="B34" s="289" t="s">
        <v>2318</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76"/>
      <c r="Q34" s="383" t="str">
        <f t="shared" si="11"/>
        <v>建筑结构</v>
      </c>
      <c r="R34" s="448" t="s">
        <v>943</v>
      </c>
      <c r="S34" s="449">
        <f t="shared" si="12"/>
        <v>100</v>
      </c>
      <c r="T34" s="448" t="s">
        <v>943</v>
      </c>
      <c r="U34" s="449">
        <f t="shared" si="13"/>
        <v>100</v>
      </c>
      <c r="V34" s="448" t="s">
        <v>943</v>
      </c>
      <c r="W34" s="449">
        <f t="shared" si="14"/>
        <v>100</v>
      </c>
      <c r="X34" s="443"/>
      <c r="Y34" s="3376"/>
      <c r="Z34" s="442" t="str">
        <f t="shared" si="15"/>
        <v>建筑结构</v>
      </c>
      <c r="AA34" s="454">
        <f t="shared" si="3"/>
        <v>1</v>
      </c>
      <c r="AB34" s="454">
        <f t="shared" si="4"/>
        <v>1</v>
      </c>
      <c r="AC34" s="454">
        <f t="shared" si="5"/>
        <v>1</v>
      </c>
    </row>
    <row r="35" spans="1:29" ht="15">
      <c r="A35" s="293"/>
      <c r="B35" s="289" t="s">
        <v>2319</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76"/>
      <c r="Q35" s="383" t="str">
        <f t="shared" si="11"/>
        <v>建筑品质</v>
      </c>
      <c r="R35" s="448" t="s">
        <v>943</v>
      </c>
      <c r="S35" s="449">
        <f t="shared" si="12"/>
        <v>100</v>
      </c>
      <c r="T35" s="448" t="s">
        <v>943</v>
      </c>
      <c r="U35" s="449">
        <f t="shared" si="13"/>
        <v>100</v>
      </c>
      <c r="V35" s="448" t="s">
        <v>943</v>
      </c>
      <c r="W35" s="449">
        <f t="shared" si="14"/>
        <v>100</v>
      </c>
      <c r="X35" s="443"/>
      <c r="Y35" s="3376"/>
      <c r="Z35" s="442" t="str">
        <f t="shared" si="15"/>
        <v>建筑品质</v>
      </c>
      <c r="AA35" s="454">
        <f t="shared" si="3"/>
        <v>1</v>
      </c>
      <c r="AB35" s="454">
        <f t="shared" si="4"/>
        <v>1</v>
      </c>
      <c r="AC35" s="454">
        <f t="shared" si="5"/>
        <v>1</v>
      </c>
    </row>
    <row r="36" spans="1:29" ht="15">
      <c r="A36" s="293"/>
      <c r="B36" s="289" t="s">
        <v>2320</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76"/>
      <c r="Q36" s="383" t="str">
        <f t="shared" si="11"/>
        <v>公共部分装修</v>
      </c>
      <c r="R36" s="448" t="s">
        <v>943</v>
      </c>
      <c r="S36" s="449">
        <f t="shared" si="12"/>
        <v>100</v>
      </c>
      <c r="T36" s="448" t="s">
        <v>943</v>
      </c>
      <c r="U36" s="449">
        <f t="shared" si="13"/>
        <v>100</v>
      </c>
      <c r="V36" s="448" t="s">
        <v>943</v>
      </c>
      <c r="W36" s="449">
        <f t="shared" si="14"/>
        <v>100</v>
      </c>
      <c r="X36" s="443"/>
      <c r="Y36" s="3376"/>
      <c r="Z36" s="442" t="str">
        <f t="shared" si="15"/>
        <v>公共部分装修</v>
      </c>
      <c r="AA36" s="454">
        <f t="shared" si="3"/>
        <v>1</v>
      </c>
      <c r="AB36" s="454">
        <f t="shared" si="4"/>
        <v>1</v>
      </c>
      <c r="AC36" s="454">
        <f t="shared" si="5"/>
        <v>1</v>
      </c>
    </row>
    <row r="37" spans="1:29" s="190" customFormat="1" ht="15">
      <c r="A37" s="296"/>
      <c r="B37" s="289" t="s">
        <v>2321</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76"/>
      <c r="Q37" s="447" t="str">
        <f t="shared" si="11"/>
        <v>成新度</v>
      </c>
      <c r="R37" s="444" t="s">
        <v>943</v>
      </c>
      <c r="S37" s="445">
        <f t="shared" si="12"/>
        <v>100</v>
      </c>
      <c r="T37" s="444" t="s">
        <v>943</v>
      </c>
      <c r="U37" s="445">
        <f t="shared" si="13"/>
        <v>100</v>
      </c>
      <c r="V37" s="444" t="s">
        <v>943</v>
      </c>
      <c r="W37" s="445">
        <f t="shared" si="14"/>
        <v>100</v>
      </c>
      <c r="X37" s="446"/>
      <c r="Y37" s="3376"/>
      <c r="Z37" s="464" t="str">
        <f t="shared" si="15"/>
        <v>成新度</v>
      </c>
      <c r="AA37" s="463">
        <f t="shared" si="3"/>
        <v>1</v>
      </c>
      <c r="AB37" s="463">
        <f t="shared" si="4"/>
        <v>1</v>
      </c>
      <c r="AC37" s="463">
        <f t="shared" si="5"/>
        <v>1</v>
      </c>
    </row>
    <row r="38" spans="1:29" ht="15">
      <c r="A38" s="293"/>
      <c r="B38" s="289" t="s">
        <v>2322</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76" t="s">
        <v>965</v>
      </c>
      <c r="Q38" s="383" t="str">
        <f t="shared" si="11"/>
        <v>物业管理</v>
      </c>
      <c r="R38" s="448" t="s">
        <v>943</v>
      </c>
      <c r="S38" s="449">
        <f t="shared" si="12"/>
        <v>100</v>
      </c>
      <c r="T38" s="448" t="s">
        <v>943</v>
      </c>
      <c r="U38" s="449">
        <f t="shared" si="13"/>
        <v>100</v>
      </c>
      <c r="V38" s="448" t="s">
        <v>943</v>
      </c>
      <c r="W38" s="449">
        <f t="shared" si="14"/>
        <v>100</v>
      </c>
      <c r="X38" s="443"/>
      <c r="Y38" s="3376" t="s">
        <v>965</v>
      </c>
      <c r="Z38" s="442" t="str">
        <f t="shared" si="15"/>
        <v>物业管理</v>
      </c>
      <c r="AA38" s="454">
        <f t="shared" si="3"/>
        <v>1</v>
      </c>
      <c r="AB38" s="454">
        <f t="shared" si="4"/>
        <v>1</v>
      </c>
      <c r="AC38" s="454">
        <f t="shared" si="5"/>
        <v>1</v>
      </c>
    </row>
    <row r="39" spans="1:29" ht="15">
      <c r="A39" s="293"/>
      <c r="B39" s="545" t="s">
        <v>2323</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76"/>
      <c r="Q39" s="383" t="str">
        <f t="shared" si="11"/>
        <v>市政基础设施</v>
      </c>
      <c r="R39" s="448" t="s">
        <v>943</v>
      </c>
      <c r="S39" s="449">
        <f t="shared" si="12"/>
        <v>100</v>
      </c>
      <c r="T39" s="448" t="s">
        <v>943</v>
      </c>
      <c r="U39" s="449">
        <f t="shared" si="13"/>
        <v>100</v>
      </c>
      <c r="V39" s="448" t="s">
        <v>943</v>
      </c>
      <c r="W39" s="449">
        <f t="shared" si="14"/>
        <v>100</v>
      </c>
      <c r="X39" s="443"/>
      <c r="Y39" s="3376"/>
      <c r="Z39" s="442" t="str">
        <f t="shared" si="15"/>
        <v>市政基础设施</v>
      </c>
      <c r="AA39" s="454">
        <f t="shared" si="3"/>
        <v>1</v>
      </c>
      <c r="AB39" s="454">
        <f t="shared" si="4"/>
        <v>1</v>
      </c>
      <c r="AC39" s="454">
        <f t="shared" si="5"/>
        <v>1</v>
      </c>
    </row>
    <row r="40" spans="1:29" ht="15">
      <c r="A40" s="293"/>
      <c r="B40" s="289" t="s">
        <v>2324</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76"/>
      <c r="Q40" s="383" t="str">
        <f t="shared" si="11"/>
        <v>房型</v>
      </c>
      <c r="R40" s="448" t="s">
        <v>943</v>
      </c>
      <c r="S40" s="449">
        <f t="shared" si="12"/>
        <v>100</v>
      </c>
      <c r="T40" s="448" t="s">
        <v>943</v>
      </c>
      <c r="U40" s="449">
        <f t="shared" si="13"/>
        <v>100</v>
      </c>
      <c r="V40" s="448" t="s">
        <v>943</v>
      </c>
      <c r="W40" s="449">
        <f t="shared" si="14"/>
        <v>100</v>
      </c>
      <c r="X40" s="443"/>
      <c r="Y40" s="3376"/>
      <c r="Z40" s="442" t="str">
        <f t="shared" si="15"/>
        <v>房型</v>
      </c>
      <c r="AA40" s="454">
        <f t="shared" si="3"/>
        <v>1</v>
      </c>
      <c r="AB40" s="454">
        <f t="shared" si="4"/>
        <v>1</v>
      </c>
      <c r="AC40" s="454">
        <f t="shared" si="5"/>
        <v>1</v>
      </c>
    </row>
    <row r="41" spans="1:29" s="192" customFormat="1" ht="28.5">
      <c r="A41" s="288"/>
      <c r="B41" s="289" t="s">
        <v>2325</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76"/>
      <c r="Q41" s="450" t="str">
        <f t="shared" si="11"/>
        <v>单套/主力户型建筑面积</v>
      </c>
      <c r="R41" s="451" t="s">
        <v>943</v>
      </c>
      <c r="S41" s="452">
        <f t="shared" si="12"/>
        <v>100</v>
      </c>
      <c r="T41" s="451" t="s">
        <v>943</v>
      </c>
      <c r="U41" s="452">
        <f t="shared" si="13"/>
        <v>100</v>
      </c>
      <c r="V41" s="451" t="s">
        <v>943</v>
      </c>
      <c r="W41" s="452">
        <f t="shared" si="14"/>
        <v>100</v>
      </c>
      <c r="X41" s="453"/>
      <c r="Y41" s="3376"/>
      <c r="Z41" s="465" t="str">
        <f t="shared" si="15"/>
        <v>单套/主力户型建筑面积</v>
      </c>
      <c r="AA41" s="454">
        <f t="shared" si="3"/>
        <v>1</v>
      </c>
      <c r="AB41" s="454">
        <f t="shared" si="4"/>
        <v>1</v>
      </c>
      <c r="AC41" s="454">
        <f t="shared" si="5"/>
        <v>1</v>
      </c>
    </row>
    <row r="42" spans="1:29" ht="15">
      <c r="A42" s="293"/>
      <c r="B42" s="289" t="s">
        <v>2326</v>
      </c>
      <c r="C42" s="579" t="s">
        <v>2327</v>
      </c>
      <c r="D42" s="247">
        <v>100</v>
      </c>
      <c r="E42" s="883" t="s">
        <v>2328</v>
      </c>
      <c r="F42" s="277">
        <f>SUMIF(122:122,E42,123:123)-SUMIF(122:122,C42,123:123)+100</f>
        <v>115</v>
      </c>
      <c r="G42" s="579" t="s">
        <v>2328</v>
      </c>
      <c r="H42" s="247">
        <f>SUMIF(122:122,G42,123:123)-SUMIF(122:122,C42,123:123)+100</f>
        <v>115</v>
      </c>
      <c r="I42" s="883" t="s">
        <v>2327</v>
      </c>
      <c r="J42" s="247">
        <f>SUMIF(122:122,I42,123:123)-SUMIF(122:122,C42,123:123)+100</f>
        <v>100</v>
      </c>
      <c r="K42" s="895">
        <v>5</v>
      </c>
      <c r="L42" s="391"/>
      <c r="M42" s="378"/>
      <c r="N42" s="378"/>
      <c r="O42" s="390"/>
      <c r="P42" s="3376"/>
      <c r="Q42" s="383" t="str">
        <f t="shared" si="11"/>
        <v>内部装修</v>
      </c>
      <c r="R42" s="448" t="s">
        <v>943</v>
      </c>
      <c r="S42" s="449">
        <f t="shared" si="12"/>
        <v>115</v>
      </c>
      <c r="T42" s="448" t="s">
        <v>943</v>
      </c>
      <c r="U42" s="449">
        <f t="shared" si="13"/>
        <v>115</v>
      </c>
      <c r="V42" s="448" t="s">
        <v>943</v>
      </c>
      <c r="W42" s="449">
        <f t="shared" si="14"/>
        <v>100</v>
      </c>
      <c r="X42" s="443"/>
      <c r="Y42" s="3376"/>
      <c r="Z42" s="442" t="str">
        <f t="shared" si="15"/>
        <v>内部装修</v>
      </c>
      <c r="AA42" s="454">
        <f t="shared" si="3"/>
        <v>0.86956521739130432</v>
      </c>
      <c r="AB42" s="454">
        <f t="shared" si="4"/>
        <v>0.86956521739130432</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76"/>
      <c r="Q43" s="383" t="str">
        <f t="shared" si="11"/>
        <v>内部装修维护情况</v>
      </c>
      <c r="R43" s="448" t="s">
        <v>943</v>
      </c>
      <c r="S43" s="449">
        <f t="shared" si="12"/>
        <v>100</v>
      </c>
      <c r="T43" s="448" t="s">
        <v>943</v>
      </c>
      <c r="U43" s="449">
        <f t="shared" si="13"/>
        <v>100</v>
      </c>
      <c r="V43" s="448" t="s">
        <v>943</v>
      </c>
      <c r="W43" s="449">
        <f t="shared" si="14"/>
        <v>100</v>
      </c>
      <c r="X43" s="443"/>
      <c r="Y43" s="3376"/>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76"/>
      <c r="Q44" s="447">
        <f t="shared" si="11"/>
        <v>111</v>
      </c>
      <c r="R44" s="444" t="s">
        <v>943</v>
      </c>
      <c r="S44" s="445">
        <f t="shared" si="12"/>
        <v>100</v>
      </c>
      <c r="T44" s="444" t="s">
        <v>943</v>
      </c>
      <c r="U44" s="445">
        <f t="shared" si="13"/>
        <v>100</v>
      </c>
      <c r="V44" s="444" t="s">
        <v>943</v>
      </c>
      <c r="W44" s="445">
        <f t="shared" si="14"/>
        <v>100</v>
      </c>
      <c r="X44" s="446"/>
      <c r="Y44" s="3376"/>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76"/>
      <c r="Q45" s="383">
        <f t="shared" si="11"/>
        <v>111</v>
      </c>
      <c r="R45" s="448" t="s">
        <v>943</v>
      </c>
      <c r="S45" s="449">
        <f t="shared" si="12"/>
        <v>100</v>
      </c>
      <c r="T45" s="448" t="s">
        <v>943</v>
      </c>
      <c r="U45" s="449">
        <f t="shared" si="13"/>
        <v>100</v>
      </c>
      <c r="V45" s="448" t="s">
        <v>943</v>
      </c>
      <c r="W45" s="449">
        <f t="shared" si="14"/>
        <v>100</v>
      </c>
      <c r="X45" s="443"/>
      <c r="Y45" s="3376"/>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68"/>
      <c r="Q46" s="383">
        <f t="shared" si="11"/>
        <v>111</v>
      </c>
      <c r="R46" s="448" t="s">
        <v>943</v>
      </c>
      <c r="S46" s="449">
        <f t="shared" si="12"/>
        <v>100</v>
      </c>
      <c r="T46" s="448" t="s">
        <v>943</v>
      </c>
      <c r="U46" s="449">
        <f t="shared" si="13"/>
        <v>100</v>
      </c>
      <c r="V46" s="448" t="s">
        <v>943</v>
      </c>
      <c r="W46" s="449">
        <f t="shared" si="14"/>
        <v>100</v>
      </c>
      <c r="X46" s="443"/>
      <c r="Y46" s="3468"/>
      <c r="Z46" s="442">
        <f t="shared" si="15"/>
        <v>111</v>
      </c>
      <c r="AA46" s="454">
        <f t="shared" si="3"/>
        <v>1</v>
      </c>
      <c r="AB46" s="454">
        <f t="shared" si="4"/>
        <v>1</v>
      </c>
      <c r="AC46" s="454">
        <f t="shared" si="5"/>
        <v>1</v>
      </c>
    </row>
    <row r="47" spans="1:29" ht="15">
      <c r="A47" s="303" t="s">
        <v>2329</v>
      </c>
      <c r="B47" s="304"/>
      <c r="C47" s="305" t="s">
        <v>138</v>
      </c>
      <c r="D47" s="306"/>
      <c r="E47" s="307">
        <v>7500</v>
      </c>
      <c r="F47" s="308"/>
      <c r="G47" s="309">
        <v>8300</v>
      </c>
      <c r="H47" s="310"/>
      <c r="I47" s="307">
        <v>5800</v>
      </c>
      <c r="J47" s="310"/>
      <c r="K47" s="901"/>
      <c r="L47" s="398"/>
      <c r="M47" s="319"/>
      <c r="N47" s="378"/>
      <c r="O47" s="319"/>
      <c r="P47" s="3372" t="str">
        <f>A47</f>
        <v>成交单价（元/平方米）</v>
      </c>
      <c r="Q47" s="3372"/>
      <c r="R47" s="3466">
        <f>E47</f>
        <v>7500</v>
      </c>
      <c r="S47" s="3466"/>
      <c r="T47" s="3466">
        <f>G47</f>
        <v>8300</v>
      </c>
      <c r="U47" s="3466"/>
      <c r="V47" s="3466">
        <f>I47</f>
        <v>5800</v>
      </c>
      <c r="W47" s="3466"/>
      <c r="X47" s="330"/>
      <c r="Y47" s="466"/>
      <c r="Z47" s="330"/>
      <c r="AA47" s="330"/>
      <c r="AB47" s="330"/>
      <c r="AC47" s="330"/>
    </row>
    <row r="48" spans="1:29" ht="15">
      <c r="A48" s="311" t="s">
        <v>973</v>
      </c>
      <c r="B48" s="312"/>
      <c r="C48" s="313">
        <f>R49</f>
        <v>6295</v>
      </c>
      <c r="D48" s="314"/>
      <c r="E48" s="315">
        <f>R48</f>
        <v>6211</v>
      </c>
      <c r="F48" s="315"/>
      <c r="G48" s="313">
        <f>T48</f>
        <v>6874</v>
      </c>
      <c r="H48" s="314"/>
      <c r="I48" s="315">
        <f>V48</f>
        <v>5800</v>
      </c>
      <c r="J48" s="314"/>
      <c r="K48" s="902"/>
      <c r="L48" s="398"/>
      <c r="M48" s="319"/>
      <c r="N48" s="319"/>
      <c r="O48" s="319"/>
      <c r="P48" s="3372" t="str">
        <f>A48</f>
        <v>比较价格（元/平方米）</v>
      </c>
      <c r="Q48" s="3372"/>
      <c r="R48" s="3466">
        <f>IF(F1="售价",ROUND(PRODUCT(R47,AA7:AA46),0),ROUND(PRODUCT(R47,AA7:AA46),1))</f>
        <v>6211</v>
      </c>
      <c r="S48" s="3466"/>
      <c r="T48" s="3466">
        <f>IF(F1="售价",ROUND(PRODUCT(T47,AB7:AB46),0),ROUND(PRODUCT(T47,AB7:AB46),1))</f>
        <v>6874</v>
      </c>
      <c r="U48" s="3466"/>
      <c r="V48" s="3466">
        <f>IF(F1="售价",ROUND(PRODUCT(V47,AC7:AC46),0),ROUND(PRODUCT(V47,AC7:AC46),1))</f>
        <v>5800</v>
      </c>
      <c r="W48" s="3466"/>
      <c r="X48" s="330"/>
      <c r="Y48" s="330"/>
      <c r="Z48" s="330"/>
      <c r="AA48" s="330"/>
      <c r="AB48" s="330"/>
      <c r="AC48" s="330"/>
    </row>
    <row r="49" spans="1:29" ht="15">
      <c r="A49" s="316" t="s">
        <v>974</v>
      </c>
      <c r="B49" s="317"/>
      <c r="C49" s="318">
        <f>R49</f>
        <v>6295</v>
      </c>
      <c r="D49" s="318"/>
      <c r="E49" s="318"/>
      <c r="F49" s="318"/>
      <c r="G49" s="318"/>
      <c r="H49" s="318"/>
      <c r="I49" s="318"/>
      <c r="J49" s="318"/>
      <c r="K49" s="903"/>
      <c r="L49" s="398"/>
      <c r="M49" s="319"/>
      <c r="N49" s="319"/>
      <c r="O49" s="319"/>
      <c r="P49" s="3378" t="str">
        <f>A49</f>
        <v>估价对象XX用房的比较价格（楼面单价，元/平方米）</v>
      </c>
      <c r="Q49" s="3379"/>
      <c r="R49" s="3467">
        <f>IF(F1="售价",ROUND(AVERAGE(R48:V48),0),ROUND(AVERAGE(R48:V48),1))</f>
        <v>6295</v>
      </c>
      <c r="S49" s="3467"/>
      <c r="T49" s="3467"/>
      <c r="U49" s="3467"/>
      <c r="V49" s="3467"/>
      <c r="W49" s="346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0.20753501851553691</v>
      </c>
      <c r="F52" s="324" t="str">
        <f>IF(OR(E52&gt;=0.3,E52&lt;=-0.3),"超过30%","")</f>
        <v/>
      </c>
      <c r="G52" s="323">
        <f>IF(G47&lt;G48,G48/G47-1,G47/G48-1)</f>
        <v>0.20744835612452728</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0.1067460956367734</v>
      </c>
      <c r="F53" s="324" t="str">
        <f>IF(OR(E53&gt;=0.2,E53&lt;=-0.2),"超过20%","")</f>
        <v/>
      </c>
      <c r="G53" s="323">
        <f>IF(G48&lt;I48,I48/G48-1,G48/I48-1)</f>
        <v>0.18517241379310345</v>
      </c>
      <c r="H53" s="324" t="str">
        <f>IF(OR(G53&gt;=0.2,G53&lt;=-0.2),"超过20%","")</f>
        <v/>
      </c>
      <c r="I53" s="323">
        <f>IF(I48&lt;E48,E48/I48-1,I48/E48-1)</f>
        <v>7.0862068965517278E-2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0.10666666666666669</v>
      </c>
      <c r="F54" s="324" t="str">
        <f>IF(OR(E54&gt;=0.3,E54&lt;=-0.3),"超过30%","")</f>
        <v/>
      </c>
      <c r="G54" s="323">
        <f>IF(G47&lt;I47,I47/G47-1,G47/I47-1)</f>
        <v>0.43103448275862077</v>
      </c>
      <c r="H54" s="324" t="str">
        <f>IF(OR(G54&gt;=0.3,G54&lt;=-0.3),"超过30%","")</f>
        <v>超过30%</v>
      </c>
      <c r="I54" s="323">
        <f>IF(I47&lt;E47,E47/I47-1,I47/E47-1)</f>
        <v>0.2931034482758621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90</v>
      </c>
      <c r="E77" s="358">
        <f>D77-$K15</f>
        <v>80</v>
      </c>
      <c r="F77" s="358">
        <f>E77-$K15</f>
        <v>70</v>
      </c>
      <c r="G77" s="358">
        <f>F77-$K15</f>
        <v>60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95</v>
      </c>
      <c r="E79" s="358">
        <f>D79-$K17</f>
        <v>90</v>
      </c>
      <c r="F79" s="358">
        <f>E79-$K17</f>
        <v>85</v>
      </c>
      <c r="G79" s="358">
        <f>F79-$K17</f>
        <v>80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2312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2313</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2315</v>
      </c>
      <c r="C100" s="906" t="s">
        <v>2316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2317</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2319</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2320</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2321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2322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2323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2324</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2325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907" t="s">
        <v>2328</v>
      </c>
      <c r="D122" s="907" t="s">
        <v>2337</v>
      </c>
      <c r="E122" s="907" t="s">
        <v>2338</v>
      </c>
      <c r="F122" s="908" t="s">
        <v>2327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2339</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2340</v>
      </c>
      <c r="C137" s="920"/>
      <c r="D137" s="920"/>
      <c r="E137" s="920"/>
      <c r="F137" s="920"/>
      <c r="G137" s="921"/>
      <c r="H137" s="922"/>
      <c r="I137" s="950" t="s">
        <v>2316</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2341</v>
      </c>
      <c r="D138" s="924" t="s">
        <v>2342</v>
      </c>
      <c r="E138" s="925" t="s">
        <v>2343</v>
      </c>
      <c r="F138" s="926" t="s">
        <v>2344</v>
      </c>
      <c r="G138" s="924" t="s">
        <v>2342</v>
      </c>
      <c r="H138" s="927" t="s">
        <v>2343</v>
      </c>
      <c r="I138" s="952"/>
      <c r="J138" s="924" t="s">
        <v>2345</v>
      </c>
      <c r="K138" s="927" t="s">
        <v>2346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2347</v>
      </c>
      <c r="E139" s="931">
        <v>100</v>
      </c>
      <c r="F139" s="932">
        <v>102.5</v>
      </c>
      <c r="G139" s="930" t="s">
        <v>2347</v>
      </c>
      <c r="H139" s="933">
        <v>105</v>
      </c>
      <c r="I139" s="953" t="s">
        <v>2348</v>
      </c>
      <c r="J139" s="929">
        <v>20</v>
      </c>
      <c r="K139" s="95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2349</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2350</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2351</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1384</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2352</v>
      </c>
      <c r="E144" s="937">
        <v>102</v>
      </c>
      <c r="F144" s="941">
        <v>100</v>
      </c>
      <c r="G144" s="940" t="s">
        <v>2352</v>
      </c>
      <c r="H144" s="939">
        <v>105</v>
      </c>
      <c r="I144" s="955" t="s">
        <v>1384</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2353</v>
      </c>
      <c r="C145" s="943">
        <f>ROUND(MAX(C139:C144)/MIN(C139:C144)-1,3)</f>
        <v>7.2999999999999995E-2</v>
      </c>
      <c r="D145" s="944"/>
      <c r="E145" s="944"/>
      <c r="F145" s="945" t="s">
        <v>2354</v>
      </c>
      <c r="G145" s="946"/>
      <c r="H145" s="947"/>
      <c r="I145" s="958" t="s">
        <v>1384</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2355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2356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P19" sqref="P19"/>
    </sheetView>
  </sheetViews>
  <sheetFormatPr defaultColWidth="9" defaultRowHeight="13.5"/>
  <sheetData>
    <row r="4" spans="6:7">
      <c r="F4">
        <v>13000</v>
      </c>
    </row>
    <row r="6" spans="6:7">
      <c r="F6">
        <v>40000.22</v>
      </c>
      <c r="G6">
        <f>F4/F6</f>
        <v>0.32499821250983119</v>
      </c>
    </row>
    <row r="7" spans="6:7">
      <c r="G7">
        <f>G6/2.5</f>
        <v>0.12999928500393249</v>
      </c>
    </row>
  </sheetData>
  <phoneticPr fontId="226"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67" sqref="A67"/>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2357</v>
      </c>
      <c r="B1" s="618"/>
      <c r="C1" s="619" t="s">
        <v>373</v>
      </c>
      <c r="D1" s="620" t="s">
        <v>2358</v>
      </c>
      <c r="E1" s="621" t="s">
        <v>598</v>
      </c>
      <c r="F1" s="622">
        <f ca="1">J53</f>
        <v>37.78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5686</v>
      </c>
      <c r="C2" s="625"/>
      <c r="D2" s="626"/>
      <c r="E2" s="627"/>
      <c r="F2" s="627"/>
      <c r="G2" s="628"/>
      <c r="H2" s="625"/>
      <c r="I2" s="625"/>
      <c r="J2" s="625"/>
      <c r="K2" s="766"/>
      <c r="L2" s="625"/>
      <c r="M2" s="625"/>
    </row>
    <row r="3" spans="1:33" ht="18" customHeight="1">
      <c r="A3" s="629" t="s">
        <v>2305</v>
      </c>
      <c r="B3" s="630">
        <f ca="1">IF(ISERROR(B2*10000/F43),0,ROUND(B2*10000/F43,0))</f>
        <v>6312</v>
      </c>
      <c r="C3" s="625"/>
      <c r="D3" s="626"/>
      <c r="E3" s="627"/>
      <c r="F3" s="627"/>
      <c r="G3" s="628"/>
      <c r="H3" s="631" t="s">
        <v>2037</v>
      </c>
      <c r="I3" s="767"/>
      <c r="J3" s="767"/>
      <c r="K3" s="768"/>
      <c r="L3" s="767"/>
      <c r="M3" s="767"/>
    </row>
    <row r="4" spans="1:33" ht="18" customHeight="1">
      <c r="A4" s="632" t="s">
        <v>2038</v>
      </c>
      <c r="B4" s="633" t="s">
        <v>2039</v>
      </c>
      <c r="C4" s="633" t="s">
        <v>2040</v>
      </c>
      <c r="D4" s="633" t="s">
        <v>2041</v>
      </c>
      <c r="E4" s="634" t="s">
        <v>2042</v>
      </c>
      <c r="F4" s="635"/>
      <c r="G4" s="636"/>
      <c r="H4" s="632" t="s">
        <v>2038</v>
      </c>
      <c r="I4" s="633" t="s">
        <v>2039</v>
      </c>
      <c r="J4" s="633" t="s">
        <v>2040</v>
      </c>
      <c r="K4" s="633" t="s">
        <v>2041</v>
      </c>
      <c r="L4" s="634" t="s">
        <v>2042</v>
      </c>
      <c r="M4" s="635"/>
    </row>
    <row r="5" spans="1:33" ht="18" customHeight="1">
      <c r="A5" s="637">
        <v>1</v>
      </c>
      <c r="B5" s="638" t="s">
        <v>2043</v>
      </c>
      <c r="C5" s="639">
        <f ca="1">C6+C10+C12</f>
        <v>385</v>
      </c>
      <c r="D5" s="640" t="s">
        <v>2044</v>
      </c>
      <c r="E5" s="641"/>
      <c r="F5" s="642"/>
      <c r="G5" s="636"/>
      <c r="H5" s="637">
        <v>1</v>
      </c>
      <c r="I5" s="638" t="s">
        <v>2043</v>
      </c>
      <c r="J5" s="639">
        <f ca="1">J6+J10+J12</f>
        <v>0</v>
      </c>
      <c r="K5" s="640" t="s">
        <v>2044</v>
      </c>
      <c r="L5" s="641"/>
      <c r="M5" s="642"/>
    </row>
    <row r="6" spans="1:33" ht="18" customHeight="1">
      <c r="A6" s="643" t="s">
        <v>862</v>
      </c>
      <c r="B6" s="3440" t="s">
        <v>2045</v>
      </c>
      <c r="C6" s="644">
        <f ca="1">ROUND(F6*F8*F7*(1-F9)/10000,0)</f>
        <v>385</v>
      </c>
      <c r="D6" s="645" t="s">
        <v>2359</v>
      </c>
      <c r="E6" s="646" t="s">
        <v>2047</v>
      </c>
      <c r="F6" s="647">
        <f ca="1">INDIRECT("'数据-取费表'!u"&amp;$G$1)</f>
        <v>1.3</v>
      </c>
      <c r="G6" s="636"/>
      <c r="H6" s="648" t="s">
        <v>862</v>
      </c>
      <c r="I6" s="3440" t="s">
        <v>2045</v>
      </c>
      <c r="J6" s="644">
        <f ca="1">ROUND(M6*M8*M7*(1-M9)/10000,0)</f>
        <v>0</v>
      </c>
      <c r="K6" s="718" t="s">
        <v>2360</v>
      </c>
      <c r="L6" s="646" t="s">
        <v>2047</v>
      </c>
      <c r="M6" s="647">
        <f ca="1">INDIRECT("'数据-取费表'!z"&amp;$G$1)</f>
        <v>0</v>
      </c>
    </row>
    <row r="7" spans="1:33" ht="18" customHeight="1">
      <c r="A7" s="649"/>
      <c r="B7" s="3441"/>
      <c r="C7" s="650"/>
      <c r="D7" s="651"/>
      <c r="E7" s="646" t="s">
        <v>2048</v>
      </c>
      <c r="F7" s="647">
        <f ca="1">IF(INDIRECT("'数据-取费表'!ah"&amp;$G$1)="",INDIRECT("'数据-取费表'!k"&amp;$G$1),INDIRECT("'数据-取费表'!ah"&amp;$G$1))</f>
        <v>9008.43</v>
      </c>
      <c r="G7" s="636"/>
      <c r="H7" s="652"/>
      <c r="I7" s="3441"/>
      <c r="J7" s="650"/>
      <c r="K7" s="651"/>
      <c r="L7" s="646" t="s">
        <v>2048</v>
      </c>
      <c r="M7" s="647">
        <f ca="1">F7</f>
        <v>9008.43</v>
      </c>
    </row>
    <row r="8" spans="1:33" ht="18" customHeight="1">
      <c r="A8" s="653"/>
      <c r="B8" s="3442"/>
      <c r="C8" s="650"/>
      <c r="D8" s="651"/>
      <c r="E8" s="646" t="s">
        <v>2049</v>
      </c>
      <c r="F8" s="647">
        <f ca="1">INDIRECT("'数据-取费表'!ai"&amp;$G$1)</f>
        <v>365</v>
      </c>
      <c r="G8" s="636"/>
      <c r="H8" s="652"/>
      <c r="I8" s="3442"/>
      <c r="J8" s="650"/>
      <c r="K8" s="651"/>
      <c r="L8" s="646" t="s">
        <v>2049</v>
      </c>
      <c r="M8" s="647">
        <f ca="1">INDIRECT("'数据-取费表'!ai"&amp;$G$1)</f>
        <v>365</v>
      </c>
    </row>
    <row r="9" spans="1:33" ht="18" customHeight="1">
      <c r="A9" s="654"/>
      <c r="B9" s="3443"/>
      <c r="C9" s="650"/>
      <c r="D9" s="651"/>
      <c r="E9" s="646" t="s">
        <v>2050</v>
      </c>
      <c r="F9" s="655">
        <f ca="1">INDIRECT("'数据-取费表'!w"&amp;$G$1)</f>
        <v>0.1</v>
      </c>
      <c r="G9" s="636"/>
      <c r="H9" s="656"/>
      <c r="I9" s="3442"/>
      <c r="J9" s="650"/>
      <c r="K9" s="651"/>
      <c r="L9" s="699" t="s">
        <v>2050</v>
      </c>
      <c r="M9" s="665">
        <f ca="1">INDIRECT("'数据-取费表'!ab"&amp;$G$1)</f>
        <v>0</v>
      </c>
    </row>
    <row r="10" spans="1:33" ht="18" customHeight="1">
      <c r="A10" s="643" t="s">
        <v>864</v>
      </c>
      <c r="B10" s="657" t="s">
        <v>2051</v>
      </c>
      <c r="C10" s="120">
        <f ca="1">ROUND(IF(F10="押一",C6/12*F11,IF(F10="押二",C6/12*2*F11,IF(F10="押三",C6/12*3*F11,C11*F11))),0)</f>
        <v>0</v>
      </c>
      <c r="D10" s="658" t="s">
        <v>2052</v>
      </c>
      <c r="E10" s="659" t="s">
        <v>2053</v>
      </c>
      <c r="F10" s="660" t="s">
        <v>2361</v>
      </c>
      <c r="G10" s="636"/>
      <c r="H10" s="661" t="s">
        <v>864</v>
      </c>
      <c r="I10" s="769" t="s">
        <v>2051</v>
      </c>
      <c r="J10" s="644">
        <f ca="1">ROUND(IF(M10="押一",J6/12*M11,IF(M10="押二",J6/12*2*M11,IF(M10="押三",J6/12*3*M11,J11*M11))),0)</f>
        <v>0</v>
      </c>
      <c r="K10" s="658" t="s">
        <v>2052</v>
      </c>
      <c r="L10" s="659" t="s">
        <v>2053</v>
      </c>
      <c r="M10" s="660"/>
    </row>
    <row r="11" spans="1:33" ht="18" customHeight="1">
      <c r="A11" s="662"/>
      <c r="B11" s="663" t="s">
        <v>2054</v>
      </c>
      <c r="C11" s="664"/>
      <c r="D11" s="651"/>
      <c r="E11" s="659" t="s">
        <v>644</v>
      </c>
      <c r="F11" s="665">
        <f ca="1">'数据-取费表'!B39</f>
        <v>1.4999999999999999E-2</v>
      </c>
      <c r="G11" s="636"/>
      <c r="H11" s="666"/>
      <c r="I11" s="663" t="s">
        <v>2054</v>
      </c>
      <c r="J11" s="664"/>
      <c r="K11" s="770"/>
      <c r="L11" s="659" t="s">
        <v>644</v>
      </c>
      <c r="M11" s="771">
        <f ca="1">'数据-取费表'!B39</f>
        <v>1.4999999999999999E-2</v>
      </c>
    </row>
    <row r="12" spans="1:33" ht="18" customHeight="1">
      <c r="A12" s="667" t="s">
        <v>1146</v>
      </c>
      <c r="B12" s="668" t="s">
        <v>2055</v>
      </c>
      <c r="C12" s="669"/>
      <c r="D12" s="670"/>
      <c r="E12" s="671"/>
      <c r="F12" s="672"/>
      <c r="G12" s="636"/>
      <c r="H12" s="673" t="s">
        <v>1146</v>
      </c>
      <c r="I12" s="772" t="s">
        <v>2055</v>
      </c>
      <c r="J12" s="773"/>
      <c r="K12" s="670"/>
      <c r="L12" s="671"/>
      <c r="M12" s="774"/>
    </row>
    <row r="13" spans="1:33" ht="18" customHeight="1">
      <c r="A13" s="674">
        <v>2</v>
      </c>
      <c r="B13" s="675" t="s">
        <v>2059</v>
      </c>
      <c r="C13" s="676">
        <f ca="1">ROUND(C29*F13,0)</f>
        <v>3430</v>
      </c>
      <c r="D13" s="677" t="s">
        <v>2362</v>
      </c>
      <c r="E13" s="677" t="s">
        <v>2058</v>
      </c>
      <c r="F13" s="678">
        <f ca="1">INDIRECT("'数据-取费表'!y"&amp;$G$1)</f>
        <v>1</v>
      </c>
      <c r="G13" s="636"/>
      <c r="H13" s="674">
        <v>2</v>
      </c>
      <c r="I13" s="675" t="s">
        <v>2059</v>
      </c>
      <c r="J13" s="775">
        <f ca="1">ROUND(J14*J15,0)</f>
        <v>0</v>
      </c>
      <c r="K13" s="708" t="s">
        <v>2057</v>
      </c>
      <c r="L13" s="776"/>
      <c r="M13" s="777"/>
    </row>
    <row r="14" spans="1:33" ht="18" customHeight="1">
      <c r="A14" s="679" t="s">
        <v>886</v>
      </c>
      <c r="B14" s="646" t="s">
        <v>1153</v>
      </c>
      <c r="C14" s="680">
        <f ca="1">INDIRECT("'数据-取费表'!m"&amp;$G$1)+INDIRECT("'数据-取费表'!t"&amp;$G$1)</f>
        <v>2303</v>
      </c>
      <c r="D14" s="681" t="s">
        <v>2060</v>
      </c>
      <c r="E14" s="682"/>
      <c r="F14" s="683"/>
      <c r="G14" s="636"/>
      <c r="H14" s="684" t="s">
        <v>862</v>
      </c>
      <c r="I14" s="761" t="s">
        <v>2061</v>
      </c>
      <c r="J14" s="121">
        <f ca="1">C29</f>
        <v>3430</v>
      </c>
      <c r="K14" s="762"/>
      <c r="L14" s="778"/>
      <c r="M14" s="779"/>
    </row>
    <row r="15" spans="1:33" s="611" customFormat="1" ht="18" customHeight="1">
      <c r="A15" s="679" t="s">
        <v>891</v>
      </c>
      <c r="B15" s="646" t="s">
        <v>1155</v>
      </c>
      <c r="C15" s="121">
        <f ca="1">ROUND(C14*F15,0)</f>
        <v>69</v>
      </c>
      <c r="D15" s="685" t="s">
        <v>2062</v>
      </c>
      <c r="E15" s="685" t="s">
        <v>2063</v>
      </c>
      <c r="F15" s="686">
        <f>'数据-取费表'!B33</f>
        <v>0.03</v>
      </c>
      <c r="G15" s="687"/>
      <c r="H15" s="673" t="s">
        <v>864</v>
      </c>
      <c r="I15" s="705" t="s">
        <v>2058</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1158</v>
      </c>
      <c r="C16" s="121">
        <f ca="1">ROUND(INDIRECT("'数据-取费表'!m"&amp;$G$1)*F16,0)</f>
        <v>0</v>
      </c>
      <c r="D16" s="646" t="s">
        <v>2062</v>
      </c>
      <c r="E16" s="646" t="s">
        <v>2063</v>
      </c>
      <c r="F16" s="688">
        <f ca="1">IF(INDIRECT("'数据-取费表'!c"&amp;$G$1)="住宅",'数据-取费表'!B34,0)</f>
        <v>0</v>
      </c>
      <c r="G16" s="636"/>
      <c r="H16" s="674" t="s">
        <v>2123</v>
      </c>
      <c r="I16" s="675" t="s">
        <v>2064</v>
      </c>
      <c r="J16" s="676">
        <f ca="1">ROUND(J17+J22+J23+J24,0)</f>
        <v>341</v>
      </c>
      <c r="K16" s="708" t="s">
        <v>2065</v>
      </c>
      <c r="L16" s="709"/>
      <c r="M16" s="642"/>
    </row>
    <row r="17" spans="1:33" s="611" customFormat="1" ht="18" customHeight="1">
      <c r="A17" s="679" t="s">
        <v>2363</v>
      </c>
      <c r="B17" s="646" t="s">
        <v>2066</v>
      </c>
      <c r="C17" s="121">
        <f ca="1">ROUND(F17*(F43+INDIRECT("'数据-取费表'!S"&amp;$G$1))/10000,0)</f>
        <v>186</v>
      </c>
      <c r="D17" s="646" t="s">
        <v>2067</v>
      </c>
      <c r="E17" s="646" t="s">
        <v>2068</v>
      </c>
      <c r="F17" s="689">
        <f>'数据-取费表'!B35</f>
        <v>200</v>
      </c>
      <c r="G17" s="687"/>
      <c r="H17" s="684" t="s">
        <v>862</v>
      </c>
      <c r="I17" s="646" t="s">
        <v>2069</v>
      </c>
      <c r="J17" s="121">
        <f ca="1">ROUND(IF(项目基本情况!B11="自然人",J6*M17/(1+'数据-取费表'!C42),J18+J19+J20),0)</f>
        <v>290</v>
      </c>
      <c r="K17" s="681" t="s">
        <v>2070</v>
      </c>
      <c r="L17" s="713" t="s">
        <v>2071</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2364</v>
      </c>
      <c r="B18" s="646" t="s">
        <v>1163</v>
      </c>
      <c r="C18" s="121">
        <f ca="1">ROUND(C14*F18,0)</f>
        <v>35</v>
      </c>
      <c r="D18" s="646" t="s">
        <v>2062</v>
      </c>
      <c r="E18" s="646" t="s">
        <v>2063</v>
      </c>
      <c r="F18" s="688">
        <f>'数据-取费表'!B36</f>
        <v>1.4999999999999999E-2</v>
      </c>
      <c r="G18" s="687"/>
      <c r="H18" s="679" t="s">
        <v>886</v>
      </c>
      <c r="I18" s="646" t="s">
        <v>2072</v>
      </c>
      <c r="J18" s="121">
        <f ca="1">ROUND(J6*M18/(1+'数据-取费表'!C42),1)</f>
        <v>0</v>
      </c>
      <c r="K18" s="713" t="s">
        <v>2073</v>
      </c>
      <c r="L18" s="646" t="s">
        <v>2063</v>
      </c>
      <c r="M18" s="688">
        <f>'数据-取费表'!B41</f>
        <v>5.5000000000000007E-2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2074</v>
      </c>
      <c r="C19" s="121">
        <f ca="1">SUM(C14:C18)</f>
        <v>2593</v>
      </c>
      <c r="D19" s="690" t="s">
        <v>2075</v>
      </c>
      <c r="E19" s="123"/>
      <c r="F19" s="689"/>
      <c r="G19" s="636"/>
      <c r="H19" s="679" t="s">
        <v>891</v>
      </c>
      <c r="I19" s="646" t="s">
        <v>2076</v>
      </c>
      <c r="J19" s="121">
        <f ca="1">IF(K19="按租金收入计税",ROUND(J6*M19/(1+'数据-取费表'!C42),1),ROUND(C29*F33*0.7,1))</f>
        <v>288.10000000000002</v>
      </c>
      <c r="K19" s="716" t="s">
        <v>2077</v>
      </c>
      <c r="L19" s="646" t="s">
        <v>2063</v>
      </c>
      <c r="M19" s="688">
        <f>IF(K19="按租金收入计税",'数据-取费表'!B51,'数据-取费表'!B50)</f>
        <v>1.2E-2</v>
      </c>
    </row>
    <row r="20" spans="1:33" s="611" customFormat="1" ht="18" customHeight="1">
      <c r="A20" s="684" t="s">
        <v>864</v>
      </c>
      <c r="B20" s="646" t="s">
        <v>2079</v>
      </c>
      <c r="C20" s="121">
        <f ca="1">ROUND(C19*F20,0)</f>
        <v>52</v>
      </c>
      <c r="D20" s="691" t="s">
        <v>2080</v>
      </c>
      <c r="E20" s="646" t="s">
        <v>2063</v>
      </c>
      <c r="F20" s="688">
        <f>'数据-取费表'!B37</f>
        <v>0.02</v>
      </c>
      <c r="G20" s="687"/>
      <c r="H20" s="692" t="s">
        <v>894</v>
      </c>
      <c r="I20" s="718" t="s">
        <v>2081</v>
      </c>
      <c r="J20" s="719">
        <f ca="1">ROUND(M20*M21/10000,0)</f>
        <v>2</v>
      </c>
      <c r="K20" s="720" t="s">
        <v>2082</v>
      </c>
      <c r="L20" s="646" t="s">
        <v>2083</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1146</v>
      </c>
      <c r="B21" s="646" t="s">
        <v>2085</v>
      </c>
      <c r="C21" s="121" t="s">
        <v>138</v>
      </c>
      <c r="D21" s="691" t="s">
        <v>2365</v>
      </c>
      <c r="E21" s="646" t="s">
        <v>2087</v>
      </c>
      <c r="F21" s="688">
        <f>'数据-取费表'!B38</f>
        <v>0.02</v>
      </c>
      <c r="G21" s="687"/>
      <c r="H21" s="693"/>
      <c r="I21" s="722"/>
      <c r="J21" s="723"/>
      <c r="K21" s="724"/>
      <c r="L21" s="646" t="s">
        <v>2088</v>
      </c>
      <c r="M21" s="647">
        <f ca="1">INDIRECT("'数据-取费表'!r"&amp;$G$1)</f>
        <v>3392.2400000000002</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2366</v>
      </c>
      <c r="B22" s="646" t="s">
        <v>2090</v>
      </c>
      <c r="C22" s="121"/>
      <c r="D22" s="694" t="str">
        <f>IF(F23&lt;=1,"单利计息。","复利计息。")&amp;"建造成本、管理费用、销售费用产生的利息。"</f>
        <v>复利计息。建造成本、管理费用、销售费用产生的利息。</v>
      </c>
      <c r="E22" s="123"/>
      <c r="F22" s="689"/>
      <c r="G22" s="636"/>
      <c r="H22" s="684" t="s">
        <v>864</v>
      </c>
      <c r="I22" s="646" t="s">
        <v>2091</v>
      </c>
      <c r="J22" s="121">
        <f ca="1">ROUND(J14*M22,0)</f>
        <v>51</v>
      </c>
      <c r="K22" s="713" t="s">
        <v>2092</v>
      </c>
      <c r="L22" s="646" t="s">
        <v>2063</v>
      </c>
      <c r="M22" s="725">
        <f ca="1">INDIRECT("'数据-取费表'!Ak"&amp;$G$1)</f>
        <v>1.4999999999999999E-2</v>
      </c>
    </row>
    <row r="23" spans="1:33" s="611" customFormat="1" ht="18" customHeight="1">
      <c r="A23" s="679" t="s">
        <v>886</v>
      </c>
      <c r="B23" s="646" t="s">
        <v>2093</v>
      </c>
      <c r="C23" s="121">
        <f ca="1">ROUND(IF('数据-取费表'!B22&lt;=1,(C19+C20)*F24*F23/2,(C19+C20)*(POWER((1+F24),F23/2)-1)),0)</f>
        <v>126</v>
      </c>
      <c r="D23" s="695" t="str">
        <f>IF(F23&lt;=1,"(建造成本+管理费用)×利率×(建设周期÷2)","(建造成本+管理费用)×((1+利率)^(建设周期÷2)-1)")</f>
        <v>(建造成本+管理费用)×((1+利率)^(建设周期÷2)-1)</v>
      </c>
      <c r="E23" s="646" t="s">
        <v>2094</v>
      </c>
      <c r="F23" s="696">
        <f>'数据-取费表'!B20</f>
        <v>2</v>
      </c>
      <c r="G23" s="687"/>
      <c r="H23" s="684" t="s">
        <v>1146</v>
      </c>
      <c r="I23" s="646" t="s">
        <v>2095</v>
      </c>
      <c r="J23" s="121">
        <f ca="1">ROUND(J13*M23,0)</f>
        <v>0</v>
      </c>
      <c r="K23" s="713" t="s">
        <v>2096</v>
      </c>
      <c r="L23" s="646" t="s">
        <v>2063</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2097</v>
      </c>
      <c r="C24" s="121">
        <f ca="1">ROUND(IF('数据-取费表'!B22&lt;=1,F21*F24*F23/2,F21*(POWER((1+F24),F23/2)-1)),4)</f>
        <v>1E-3</v>
      </c>
      <c r="D24" s="695" t="str">
        <f>IF(F23&lt;=1,"销售费用×利率×(建设周期÷2)","销售费用×((1+利率)^(建设周期÷2)-1)")</f>
        <v>销售费用×((1+利率)^(建设周期÷2)-1)</v>
      </c>
      <c r="E24" s="646" t="s">
        <v>2098</v>
      </c>
      <c r="F24" s="697">
        <f ca="1">'数据-取费表'!B40</f>
        <v>4.7500000000000001E-2</v>
      </c>
      <c r="G24" s="687"/>
      <c r="H24" s="673" t="s">
        <v>2366</v>
      </c>
      <c r="I24" s="705" t="s">
        <v>2079</v>
      </c>
      <c r="J24" s="703">
        <f ca="1">ROUND(J5*M24,0)</f>
        <v>0</v>
      </c>
      <c r="K24" s="704" t="s">
        <v>2099</v>
      </c>
      <c r="L24" s="705" t="s">
        <v>2063</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2101</v>
      </c>
      <c r="C25" s="121"/>
      <c r="D25" s="690" t="s">
        <v>2102</v>
      </c>
      <c r="E25" s="123"/>
      <c r="F25" s="689"/>
      <c r="G25" s="636"/>
      <c r="H25" s="674" t="s">
        <v>2367</v>
      </c>
      <c r="I25" s="727" t="s">
        <v>2103</v>
      </c>
      <c r="J25" s="676">
        <f ca="1">J5-J16</f>
        <v>-341</v>
      </c>
      <c r="K25" s="728" t="s">
        <v>2104</v>
      </c>
      <c r="L25" s="729"/>
      <c r="M25" s="730"/>
    </row>
    <row r="26" spans="1:33" ht="18" customHeight="1">
      <c r="A26" s="679" t="s">
        <v>886</v>
      </c>
      <c r="B26" s="646" t="s">
        <v>2105</v>
      </c>
      <c r="C26" s="121">
        <f ca="1">ROUND((C19+C20)*F26,0)</f>
        <v>397</v>
      </c>
      <c r="D26" s="691" t="s">
        <v>2106</v>
      </c>
      <c r="E26" s="699" t="s">
        <v>2107</v>
      </c>
      <c r="F26" s="655">
        <f ca="1">INDIRECT("'数据-取费表'!q"&amp;$G$1)</f>
        <v>0.15</v>
      </c>
      <c r="G26" s="636"/>
      <c r="H26" s="700" t="s">
        <v>2368</v>
      </c>
      <c r="I26" s="731" t="s">
        <v>2369</v>
      </c>
      <c r="J26" s="644">
        <f ca="1">IF(J5&lt;&gt;0,ROUND(J25*(1-((1+M28)/(1+M26))^M27)/(M26-M28),0),0)</f>
        <v>0</v>
      </c>
      <c r="K26" s="720" t="s">
        <v>2109</v>
      </c>
      <c r="L26" s="646" t="s">
        <v>2370</v>
      </c>
      <c r="M26" s="655">
        <f ca="1">INDIRECT("'数据-取费表'!I"&amp;$G$1)</f>
        <v>5.5E-2</v>
      </c>
    </row>
    <row r="27" spans="1:33" ht="18" customHeight="1">
      <c r="A27" s="679" t="s">
        <v>891</v>
      </c>
      <c r="B27" s="646" t="s">
        <v>2111</v>
      </c>
      <c r="C27" s="121">
        <f ca="1">ROUND(F21*F26,4)</f>
        <v>3.0000000000000001E-3</v>
      </c>
      <c r="D27" s="691" t="s">
        <v>2112</v>
      </c>
      <c r="E27" s="685"/>
      <c r="F27" s="686"/>
      <c r="G27" s="636"/>
      <c r="H27" s="701"/>
      <c r="I27" s="732"/>
      <c r="J27" s="650"/>
      <c r="K27" s="733" t="s">
        <v>2113</v>
      </c>
      <c r="L27" s="646" t="s">
        <v>2114</v>
      </c>
      <c r="M27" s="734">
        <f ca="1">INDIRECT("'数据-取费表'!ag"&amp;$G$1)</f>
        <v>0</v>
      </c>
    </row>
    <row r="28" spans="1:33" s="611" customFormat="1" ht="18" customHeight="1">
      <c r="A28" s="698" t="s">
        <v>920</v>
      </c>
      <c r="B28" s="646" t="s">
        <v>2116</v>
      </c>
      <c r="C28" s="121">
        <f>ROUND(F28/(1+'数据-取费表'!C42),4)</f>
        <v>5.2400000000000002E-2</v>
      </c>
      <c r="D28" s="691" t="s">
        <v>2371</v>
      </c>
      <c r="E28" s="646" t="s">
        <v>2063</v>
      </c>
      <c r="F28" s="688">
        <f>'数据-取费表'!B41</f>
        <v>5.5000000000000007E-2</v>
      </c>
      <c r="G28" s="687"/>
      <c r="H28" s="674"/>
      <c r="I28" s="736"/>
      <c r="J28" s="676"/>
      <c r="K28" s="724"/>
      <c r="L28" s="646" t="s">
        <v>2118</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1221</v>
      </c>
      <c r="B29" s="671" t="s">
        <v>2120</v>
      </c>
      <c r="C29" s="703">
        <f ca="1">ROUND((C19+C20+C23+C26)/(1-F21-C24-C27-C28),0)</f>
        <v>3430</v>
      </c>
      <c r="D29" s="704"/>
      <c r="E29" s="705"/>
      <c r="F29" s="706"/>
      <c r="G29" s="687"/>
      <c r="H29" s="707" t="s">
        <v>2372</v>
      </c>
      <c r="I29" s="737" t="s">
        <v>2373</v>
      </c>
      <c r="J29" s="738">
        <f ca="1">ROUND(J26/(1+F40)^F41,0)</f>
        <v>0</v>
      </c>
      <c r="K29" s="739" t="s">
        <v>2122</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2123</v>
      </c>
      <c r="B30" s="675" t="s">
        <v>2064</v>
      </c>
      <c r="C30" s="676">
        <f ca="1">ROUND(C31+C36+C37+C38,0)</f>
        <v>128</v>
      </c>
      <c r="D30" s="708" t="s">
        <v>2065</v>
      </c>
      <c r="E30" s="709"/>
      <c r="F30" s="642"/>
      <c r="G30" s="710"/>
      <c r="H30" s="711"/>
      <c r="I30" s="785"/>
      <c r="J30" s="786"/>
      <c r="K30" s="787"/>
      <c r="L30" s="788"/>
      <c r="M30" s="789"/>
    </row>
    <row r="31" spans="1:33" ht="18" customHeight="1">
      <c r="A31" s="684" t="s">
        <v>862</v>
      </c>
      <c r="B31" s="646" t="s">
        <v>2069</v>
      </c>
      <c r="C31" s="121">
        <f ca="1">ROUND(IF(项目基本情况!B11="自然人",C6*F31/(1+'数据-取费表'!C42),C32+C33+C34),1)</f>
        <v>65.900000000000006</v>
      </c>
      <c r="D31" s="681" t="s">
        <v>2070</v>
      </c>
      <c r="E31" s="713" t="s">
        <v>2071</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2072</v>
      </c>
      <c r="C32" s="121">
        <f ca="1">ROUND(C6*F32/(1+'数据-取费表'!C42),1)</f>
        <v>20.2</v>
      </c>
      <c r="D32" s="713" t="s">
        <v>2073</v>
      </c>
      <c r="E32" s="646" t="s">
        <v>2063</v>
      </c>
      <c r="F32" s="688">
        <f>'数据-取费表'!B41</f>
        <v>5.5000000000000007E-2</v>
      </c>
      <c r="G32" s="710"/>
      <c r="H32" s="715"/>
      <c r="I32" s="790"/>
      <c r="J32" s="791"/>
      <c r="K32" s="792"/>
      <c r="L32" s="793"/>
      <c r="M32" s="794"/>
    </row>
    <row r="33" spans="1:18" ht="18" customHeight="1">
      <c r="A33" s="679" t="s">
        <v>891</v>
      </c>
      <c r="B33" s="646" t="s">
        <v>2076</v>
      </c>
      <c r="C33" s="121">
        <f ca="1">IF(D33="按租金收入计税",ROUND(C6*F33/(1+'数据-取费表'!C42),1),IF(D33="按房产原值计税",ROUND(C29*F33*0.7,1),INDIRECT("'数据-取费表'!Aj"&amp;$G$1)))</f>
        <v>44</v>
      </c>
      <c r="D33" s="716" t="s">
        <v>2374</v>
      </c>
      <c r="E33" s="646" t="s">
        <v>2063</v>
      </c>
      <c r="F33" s="688">
        <f>IF(D33="按租金收入计税",'数据-取费表'!B51,'数据-取费表'!B50)</f>
        <v>0.12</v>
      </c>
      <c r="G33" s="710"/>
      <c r="H33" s="717"/>
      <c r="I33" s="717"/>
      <c r="J33" s="717"/>
      <c r="K33" s="795"/>
      <c r="L33" s="717"/>
      <c r="M33" s="717"/>
    </row>
    <row r="34" spans="1:18" ht="18" customHeight="1">
      <c r="A34" s="692" t="s">
        <v>894</v>
      </c>
      <c r="B34" s="718" t="s">
        <v>2081</v>
      </c>
      <c r="C34" s="719">
        <f ca="1">ROUND(F34*F35/10000,1)</f>
        <v>1.7</v>
      </c>
      <c r="D34" s="720" t="s">
        <v>2082</v>
      </c>
      <c r="E34" s="646" t="s">
        <v>2083</v>
      </c>
      <c r="F34" s="696">
        <f>'数据-取费表'!B52</f>
        <v>5</v>
      </c>
      <c r="G34" s="710"/>
      <c r="H34" s="711"/>
      <c r="I34" s="796" t="s">
        <v>2375</v>
      </c>
      <c r="J34" s="797"/>
      <c r="K34" s="798"/>
      <c r="L34" s="799"/>
      <c r="M34" s="799"/>
    </row>
    <row r="35" spans="1:18" ht="18" customHeight="1">
      <c r="A35" s="721"/>
      <c r="B35" s="722"/>
      <c r="C35" s="723"/>
      <c r="D35" s="724"/>
      <c r="E35" s="646" t="s">
        <v>2088</v>
      </c>
      <c r="F35" s="647">
        <f ca="1">INDIRECT("'数据-取费表'!r"&amp;$G$1)</f>
        <v>3392.2400000000002</v>
      </c>
      <c r="G35" s="710"/>
      <c r="H35" s="711"/>
      <c r="I35" s="800" t="s">
        <v>2376</v>
      </c>
      <c r="J35" s="801">
        <f ca="1">ROUND(C13*J36,0)</f>
        <v>292</v>
      </c>
      <c r="K35" s="795"/>
      <c r="L35" s="717"/>
      <c r="M35" s="717"/>
    </row>
    <row r="36" spans="1:18" ht="18" customHeight="1">
      <c r="A36" s="684" t="s">
        <v>864</v>
      </c>
      <c r="B36" s="646" t="s">
        <v>2091</v>
      </c>
      <c r="C36" s="121">
        <f ca="1">ROUND(C29*F36,1)</f>
        <v>51.5</v>
      </c>
      <c r="D36" s="713" t="s">
        <v>2126</v>
      </c>
      <c r="E36" s="646" t="s">
        <v>2063</v>
      </c>
      <c r="F36" s="725">
        <f ca="1">INDIRECT("'数据-取费表'!Ak"&amp;$G$1)</f>
        <v>1.4999999999999999E-2</v>
      </c>
      <c r="G36" s="710"/>
      <c r="H36" s="717"/>
      <c r="I36" s="802" t="s">
        <v>2377</v>
      </c>
      <c r="J36" s="803">
        <f ca="1">INDIRECT("'数据-取费表'!j"&amp;$G$1)</f>
        <v>8.5000000000000006E-2</v>
      </c>
      <c r="K36" s="804"/>
      <c r="L36" s="717"/>
      <c r="M36" s="717"/>
    </row>
    <row r="37" spans="1:18" ht="18" customHeight="1">
      <c r="A37" s="684" t="s">
        <v>1146</v>
      </c>
      <c r="B37" s="646" t="s">
        <v>2095</v>
      </c>
      <c r="C37" s="121">
        <f ca="1">ROUND(C13*F37,1)</f>
        <v>5.0999999999999996</v>
      </c>
      <c r="D37" s="713" t="s">
        <v>2096</v>
      </c>
      <c r="E37" s="646" t="s">
        <v>2063</v>
      </c>
      <c r="F37" s="726">
        <f ca="1">INDIRECT("'数据-取费表'!Al"&amp;$G$1)</f>
        <v>1.5E-3</v>
      </c>
      <c r="G37" s="710"/>
      <c r="H37" s="717"/>
      <c r="I37" s="805" t="s">
        <v>2378</v>
      </c>
      <c r="J37" s="806"/>
      <c r="K37" s="804"/>
      <c r="L37" s="717"/>
      <c r="M37" s="717"/>
    </row>
    <row r="38" spans="1:18" ht="18" customHeight="1">
      <c r="A38" s="673" t="s">
        <v>2366</v>
      </c>
      <c r="B38" s="705" t="s">
        <v>2079</v>
      </c>
      <c r="C38" s="703">
        <f ca="1">ROUND(C5*F38,1)</f>
        <v>5.8</v>
      </c>
      <c r="D38" s="704" t="s">
        <v>2099</v>
      </c>
      <c r="E38" s="705" t="s">
        <v>2063</v>
      </c>
      <c r="F38" s="672">
        <f ca="1">INDIRECT("'数据-取费表'!Am"&amp;$G$1)</f>
        <v>1.4999999999999999E-2</v>
      </c>
      <c r="G38" s="710"/>
      <c r="H38" s="717"/>
      <c r="I38" s="807" t="s">
        <v>2379</v>
      </c>
      <c r="J38" s="808"/>
      <c r="K38" s="809"/>
      <c r="L38" s="717"/>
      <c r="M38" s="717"/>
    </row>
    <row r="39" spans="1:18" ht="24.6" customHeight="1">
      <c r="A39" s="674" t="s">
        <v>2367</v>
      </c>
      <c r="B39" s="727" t="s">
        <v>2103</v>
      </c>
      <c r="C39" s="676">
        <f ca="1">C5-C30</f>
        <v>257</v>
      </c>
      <c r="D39" s="728" t="s">
        <v>2104</v>
      </c>
      <c r="E39" s="729"/>
      <c r="F39" s="730"/>
      <c r="G39" s="710"/>
      <c r="H39" s="717"/>
      <c r="I39" s="800" t="s">
        <v>2380</v>
      </c>
      <c r="J39" s="810">
        <f ca="1">ROUND(J35/C39,3)</f>
        <v>1.1359999999999999</v>
      </c>
      <c r="K39" s="809"/>
      <c r="L39" s="717"/>
      <c r="M39" s="717"/>
    </row>
    <row r="40" spans="1:18" ht="18" customHeight="1">
      <c r="A40" s="637" t="s">
        <v>2368</v>
      </c>
      <c r="B40" s="731" t="s">
        <v>2381</v>
      </c>
      <c r="C40" s="644">
        <f ca="1">ROUND(C39*(1-((1+F42)/(1+F40))^F41)/(F40-F42),0)</f>
        <v>5686</v>
      </c>
      <c r="D40" s="720" t="s">
        <v>2109</v>
      </c>
      <c r="E40" s="646" t="s">
        <v>2370</v>
      </c>
      <c r="F40" s="655">
        <f ca="1">INDIRECT("'数据-取费表'!I"&amp;$G$1)</f>
        <v>5.5E-2</v>
      </c>
      <c r="G40" s="710"/>
      <c r="H40" s="710"/>
      <c r="I40" s="800" t="s">
        <v>2382</v>
      </c>
      <c r="J40" s="810">
        <f ca="1">1-J39</f>
        <v>-0.1359999999999999</v>
      </c>
      <c r="K40" s="809"/>
      <c r="L40" s="710"/>
      <c r="M40" s="710"/>
    </row>
    <row r="41" spans="1:18" ht="18" customHeight="1">
      <c r="A41" s="654"/>
      <c r="B41" s="732"/>
      <c r="C41" s="650"/>
      <c r="D41" s="733" t="s">
        <v>2113</v>
      </c>
      <c r="E41" s="646" t="s">
        <v>2114</v>
      </c>
      <c r="F41" s="3166">
        <f ca="1">IF(INDIRECT("'数据-取费表'!af"&amp;$G$1)=0,INDIRECT("'数据-取费表'!ae"&amp;$G$1),INDIRECT("'数据-取费表'!af"&amp;$G$1))</f>
        <v>37.78</v>
      </c>
      <c r="G41" s="710"/>
      <c r="H41" s="735"/>
      <c r="I41" s="807" t="s">
        <v>2383</v>
      </c>
      <c r="J41" s="811"/>
      <c r="K41" s="804"/>
      <c r="L41" s="735"/>
      <c r="M41" s="735"/>
    </row>
    <row r="42" spans="1:18" ht="18" customHeight="1">
      <c r="A42" s="662"/>
      <c r="B42" s="736"/>
      <c r="C42" s="676"/>
      <c r="D42" s="724"/>
      <c r="E42" s="646" t="s">
        <v>2118</v>
      </c>
      <c r="F42" s="655">
        <f ca="1">INDIRECT("'数据-取费表'!v"&amp;$G$1)</f>
        <v>2.5000000000000001E-2</v>
      </c>
      <c r="G42" s="710"/>
      <c r="H42" s="735"/>
      <c r="I42" s="812" t="s">
        <v>2384</v>
      </c>
      <c r="J42" s="810">
        <f ca="1">ROUND(C13/C40,3)</f>
        <v>0.60299999999999998</v>
      </c>
      <c r="K42" s="804"/>
      <c r="L42" s="735"/>
      <c r="M42" s="735"/>
    </row>
    <row r="43" spans="1:18" ht="18" customHeight="1">
      <c r="A43" s="707" t="s">
        <v>2372</v>
      </c>
      <c r="B43" s="737" t="s">
        <v>2385</v>
      </c>
      <c r="C43" s="738">
        <f ca="1">ROUND(C40*10000/F43,0)</f>
        <v>6312</v>
      </c>
      <c r="D43" s="739" t="s">
        <v>2386</v>
      </c>
      <c r="E43" s="740" t="s">
        <v>2387</v>
      </c>
      <c r="F43" s="741">
        <f ca="1">INDIRECT("'数据-取费表'!k"&amp;$G$1)</f>
        <v>9008.43</v>
      </c>
      <c r="G43" s="710"/>
      <c r="H43" s="735"/>
      <c r="I43" s="812" t="s">
        <v>2388</v>
      </c>
      <c r="J43" s="813">
        <f ca="1">1-J42</f>
        <v>0.39700000000000002</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2389</v>
      </c>
      <c r="B46" s="742"/>
      <c r="C46" s="745">
        <f ca="1">C67-C40</f>
        <v>-6601</v>
      </c>
      <c r="D46" s="742"/>
      <c r="E46" s="742"/>
      <c r="F46" s="742"/>
      <c r="I46" s="815" t="s">
        <v>2139</v>
      </c>
      <c r="J46" s="816"/>
      <c r="K46" s="817"/>
      <c r="L46" s="818">
        <f>IF(OR(M47="住宅",D1="土地（套用方法）"),0,IF(L48&gt;J51,L60,J60))</f>
        <v>0</v>
      </c>
      <c r="O46" s="819" t="s">
        <v>2140</v>
      </c>
      <c r="P46" s="636"/>
      <c r="Q46" s="824"/>
      <c r="R46" s="636"/>
    </row>
    <row r="47" spans="1:18" s="612" customFormat="1" ht="18" customHeight="1">
      <c r="A47" s="746">
        <v>1</v>
      </c>
      <c r="B47" s="747" t="s">
        <v>2390</v>
      </c>
      <c r="C47" s="745">
        <f ca="1">C48+C52+C54</f>
        <v>0</v>
      </c>
      <c r="D47" s="742"/>
      <c r="E47" s="742"/>
      <c r="F47" s="742"/>
      <c r="I47" s="820" t="s">
        <v>2141</v>
      </c>
      <c r="J47" s="821" t="s">
        <v>2201</v>
      </c>
      <c r="K47" s="822" t="s">
        <v>2142</v>
      </c>
      <c r="L47" s="823">
        <f ca="1">INDIRECT("'数据-取费表'!d"&amp;$G$1)</f>
        <v>40</v>
      </c>
      <c r="M47" s="824" t="str">
        <f>IF(ISNUMBER(FIND("住宅",C1)),"住宅","非住宅")</f>
        <v>非住宅</v>
      </c>
      <c r="O47" s="825" t="s">
        <v>1453</v>
      </c>
      <c r="P47" s="826" t="s">
        <v>2143</v>
      </c>
      <c r="Q47" s="864" t="s">
        <v>2144</v>
      </c>
      <c r="R47" s="826" t="s">
        <v>2145</v>
      </c>
    </row>
    <row r="48" spans="1:18" s="612" customFormat="1" ht="18" customHeight="1">
      <c r="A48" s="748" t="s">
        <v>1257</v>
      </c>
      <c r="B48" s="749" t="s">
        <v>2391</v>
      </c>
      <c r="C48" s="750">
        <f ca="1">ROUND(F48*F50*F49*(1-F51)/10000,0)</f>
        <v>0</v>
      </c>
      <c r="D48" s="751" t="s">
        <v>2360</v>
      </c>
      <c r="E48" s="752" t="s">
        <v>2392</v>
      </c>
      <c r="F48" s="753"/>
      <c r="G48" s="754"/>
      <c r="I48" s="827" t="s">
        <v>2146</v>
      </c>
      <c r="J48" s="828" t="s">
        <v>2196</v>
      </c>
      <c r="K48" s="829" t="s">
        <v>2147</v>
      </c>
      <c r="L48" s="830">
        <f ca="1">INDIRECT("'数据-取费表'!f"&amp;$G$1)</f>
        <v>39.78</v>
      </c>
      <c r="O48" s="831" t="s">
        <v>2148</v>
      </c>
      <c r="P48" s="832" t="s">
        <v>2149</v>
      </c>
      <c r="Q48" s="865">
        <f ca="1">C40+J29</f>
        <v>5686</v>
      </c>
      <c r="R48" s="832" t="s">
        <v>2150</v>
      </c>
    </row>
    <row r="49" spans="1:18" s="612" customFormat="1" ht="18" customHeight="1">
      <c r="A49" s="654"/>
      <c r="B49" s="732"/>
      <c r="C49" s="650"/>
      <c r="D49" s="651"/>
      <c r="E49" s="646" t="s">
        <v>2048</v>
      </c>
      <c r="F49" s="647">
        <f ca="1">F7</f>
        <v>9008.43</v>
      </c>
      <c r="G49" s="754"/>
      <c r="H49" s="755"/>
      <c r="I49" s="827" t="s">
        <v>2151</v>
      </c>
      <c r="J49" s="833"/>
      <c r="K49" s="834" t="s">
        <v>2152</v>
      </c>
      <c r="L49" s="835"/>
      <c r="O49" s="831" t="s">
        <v>2153</v>
      </c>
      <c r="P49" s="832" t="s">
        <v>2154</v>
      </c>
      <c r="Q49" s="865" t="str">
        <f ca="1">J60</f>
        <v>0</v>
      </c>
      <c r="R49" s="832" t="s">
        <v>2155</v>
      </c>
    </row>
    <row r="50" spans="1:18" s="612" customFormat="1" ht="18" customHeight="1">
      <c r="A50" s="654"/>
      <c r="B50" s="732"/>
      <c r="C50" s="650"/>
      <c r="D50" s="651"/>
      <c r="E50" s="646" t="s">
        <v>2049</v>
      </c>
      <c r="F50" s="647">
        <f ca="1">F8</f>
        <v>365</v>
      </c>
      <c r="G50" s="756"/>
      <c r="H50" s="755"/>
      <c r="I50" s="827" t="s">
        <v>2156</v>
      </c>
      <c r="J50" s="836">
        <f>SUMPRODUCT((I63:I65=J47)*(J62:L62=J48)*(J63:L65))</f>
        <v>60</v>
      </c>
      <c r="K50" s="834" t="s">
        <v>2157</v>
      </c>
      <c r="L50" s="835"/>
      <c r="O50" s="837" t="s">
        <v>2158</v>
      </c>
      <c r="P50" s="832" t="s">
        <v>2159</v>
      </c>
      <c r="Q50" s="865">
        <f ca="1">C29</f>
        <v>3430</v>
      </c>
      <c r="R50" s="832" t="s">
        <v>2150</v>
      </c>
    </row>
    <row r="51" spans="1:18" s="612" customFormat="1" ht="18" customHeight="1">
      <c r="A51" s="654"/>
      <c r="B51" s="732"/>
      <c r="C51" s="650"/>
      <c r="D51" s="651"/>
      <c r="E51" s="646" t="s">
        <v>2050</v>
      </c>
      <c r="F51" s="757"/>
      <c r="H51" s="755"/>
      <c r="I51" s="838" t="s">
        <v>2160</v>
      </c>
      <c r="J51" s="839">
        <f>IF(J49="",J50,J49+J50-YEAR('数据-取费表'!B2))</f>
        <v>60</v>
      </c>
      <c r="K51" s="827" t="s">
        <v>2161</v>
      </c>
      <c r="L51" s="840">
        <f ca="1">ROUND(-PV(INDIRECT("'数据-取费表'!h"&amp;$G$1),L48,(C39-C13*J36),0),0)</f>
        <v>-592</v>
      </c>
      <c r="O51" s="837" t="s">
        <v>2162</v>
      </c>
      <c r="P51" s="832" t="s">
        <v>2163</v>
      </c>
      <c r="Q51" s="866" t="e">
        <f ca="1">J58</f>
        <v>#VALUE!</v>
      </c>
      <c r="R51" s="867"/>
    </row>
    <row r="52" spans="1:18" s="612" customFormat="1" ht="18" customHeight="1">
      <c r="A52" s="637" t="s">
        <v>2393</v>
      </c>
      <c r="B52" s="657" t="s">
        <v>2051</v>
      </c>
      <c r="C52" s="120">
        <f ca="1">ROUND(IF(F52="押一",C48/12*F11,IF(F52="押二",C48/12*2*F11,IF(F52="押三",C48/12*3*F11,C53*F11))),0)</f>
        <v>0</v>
      </c>
      <c r="D52" s="658" t="s">
        <v>2052</v>
      </c>
      <c r="E52" s="659" t="s">
        <v>2053</v>
      </c>
      <c r="F52" s="660"/>
      <c r="I52" s="841" t="s">
        <v>2164</v>
      </c>
      <c r="J52" s="842">
        <v>0.09</v>
      </c>
      <c r="K52" s="841" t="s">
        <v>1322</v>
      </c>
      <c r="L52" s="842"/>
      <c r="O52" s="837" t="s">
        <v>2165</v>
      </c>
      <c r="P52" s="832" t="s">
        <v>2166</v>
      </c>
      <c r="Q52" s="866">
        <f>J52</f>
        <v>0.09</v>
      </c>
      <c r="R52" s="867"/>
    </row>
    <row r="53" spans="1:18" s="612" customFormat="1" ht="39.75" customHeight="1">
      <c r="A53" s="654"/>
      <c r="B53" s="663" t="s">
        <v>2054</v>
      </c>
      <c r="C53" s="664"/>
      <c r="D53" s="658"/>
      <c r="E53" s="659"/>
      <c r="F53" s="758"/>
      <c r="I53" s="843" t="s">
        <v>2167</v>
      </c>
      <c r="J53" s="844">
        <f ca="1">IF(M47="住宅",IF(D1="——",MAX(J51,L48),MAX(J51,L48-'数据-取费表'!B20)),IF(D1="——",MIN(J51,L48),MIN(J51,L48-'数据-取费表'!B20)))</f>
        <v>37.78</v>
      </c>
      <c r="K53" s="3471" t="s">
        <v>2394</v>
      </c>
      <c r="L53" s="3472"/>
      <c r="O53" s="837" t="s">
        <v>2168</v>
      </c>
      <c r="P53" s="832" t="s">
        <v>2169</v>
      </c>
      <c r="Q53" s="865">
        <f ca="1">J53</f>
        <v>37.78</v>
      </c>
      <c r="R53" s="832" t="s">
        <v>2170</v>
      </c>
    </row>
    <row r="54" spans="1:18" s="612" customFormat="1" ht="18" customHeight="1">
      <c r="A54" s="667" t="s">
        <v>1146</v>
      </c>
      <c r="B54" s="668" t="s">
        <v>2055</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2171</v>
      </c>
      <c r="P54" s="832" t="s">
        <v>2172</v>
      </c>
      <c r="Q54" s="865">
        <f ca="1">Q48+Q49</f>
        <v>5686</v>
      </c>
      <c r="R54" s="867" t="s">
        <v>2173</v>
      </c>
    </row>
    <row r="55" spans="1:18" s="612" customFormat="1" ht="18" customHeight="1">
      <c r="A55" s="759">
        <v>2</v>
      </c>
      <c r="B55" s="760" t="s">
        <v>2059</v>
      </c>
      <c r="C55" s="120">
        <f ca="1">C13</f>
        <v>3430</v>
      </c>
      <c r="D55" s="699"/>
      <c r="E55" s="699"/>
      <c r="F55" s="758"/>
      <c r="I55" s="845" t="s">
        <v>2174</v>
      </c>
      <c r="J55" s="846" t="e">
        <f ca="1">ROUND(IF(J47="钢混",J57/J50,1-(1-2%)*(J50-J57)/J50),3)</f>
        <v>#VALUE!</v>
      </c>
      <c r="K55" s="847" t="s">
        <v>2175</v>
      </c>
      <c r="L55" s="848"/>
      <c r="O55" s="849" t="s">
        <v>2176</v>
      </c>
      <c r="P55" s="636"/>
      <c r="Q55" s="824"/>
      <c r="R55" s="636"/>
    </row>
    <row r="56" spans="1:18" s="612" customFormat="1" ht="42.75" customHeight="1">
      <c r="A56" s="698"/>
      <c r="B56" s="761" t="s">
        <v>2120</v>
      </c>
      <c r="C56" s="121">
        <f ca="1">C29</f>
        <v>3430</v>
      </c>
      <c r="D56" s="713"/>
      <c r="E56" s="646"/>
      <c r="F56" s="688"/>
      <c r="I56" s="850" t="s">
        <v>2177</v>
      </c>
      <c r="J56" s="851" t="s">
        <v>484</v>
      </c>
      <c r="K56" s="827" t="s">
        <v>2178</v>
      </c>
      <c r="L56" s="830" t="str">
        <f ca="1">IF(L48&lt;J51,"——",L48-J51)</f>
        <v>——</v>
      </c>
      <c r="O56" s="825" t="s">
        <v>1453</v>
      </c>
      <c r="P56" s="826" t="s">
        <v>2143</v>
      </c>
      <c r="Q56" s="864" t="s">
        <v>2144</v>
      </c>
      <c r="R56" s="826" t="s">
        <v>2145</v>
      </c>
    </row>
    <row r="57" spans="1:18" s="612" customFormat="1" ht="28.5" customHeight="1">
      <c r="A57" s="759" t="s">
        <v>2123</v>
      </c>
      <c r="B57" s="760" t="s">
        <v>2064</v>
      </c>
      <c r="C57" s="120">
        <f ca="1">ROUND(C58+C63+C64+C65,0)</f>
        <v>58</v>
      </c>
      <c r="D57" s="762" t="s">
        <v>2065</v>
      </c>
      <c r="E57" s="123"/>
      <c r="F57" s="689"/>
      <c r="I57" s="852" t="s">
        <v>2179</v>
      </c>
      <c r="J57" s="853" t="str">
        <f ca="1">IF(OR(M47="住宅",J51&lt;L48,J56="是"),"——",J51-L48)</f>
        <v>——</v>
      </c>
      <c r="K57" s="827" t="s">
        <v>2180</v>
      </c>
      <c r="L57" s="830" t="str">
        <f ca="1">IF(L48&lt;J51,"——",IF(L55="比较法",L49,IF(L55="基准地价",L50,L51)))</f>
        <v>——</v>
      </c>
      <c r="O57" s="831" t="s">
        <v>2148</v>
      </c>
      <c r="P57" s="832" t="s">
        <v>2149</v>
      </c>
      <c r="Q57" s="865">
        <f ca="1">C40+J29</f>
        <v>5686</v>
      </c>
      <c r="R57" s="832" t="s">
        <v>2150</v>
      </c>
    </row>
    <row r="58" spans="1:18" s="612" customFormat="1" ht="28.5" customHeight="1">
      <c r="A58" s="684" t="s">
        <v>862</v>
      </c>
      <c r="B58" s="646" t="s">
        <v>2069</v>
      </c>
      <c r="C58" s="121">
        <f ca="1">ROUND(IF(项目基本情况!B11="自然人",C47*F58,C59+C60+C61),1)</f>
        <v>1.7</v>
      </c>
      <c r="D58" s="681" t="s">
        <v>2070</v>
      </c>
      <c r="E58" s="713" t="s">
        <v>2071</v>
      </c>
      <c r="F58" s="714" t="str">
        <f ca="1">IF(项目基本情况!B11="企业","",IF(INDIRECT("'数据-取费表'!c"&amp;$G$1)="住宅",5%,IF(F48*F49*F50/12/(1+'数据-取费表'!C42)&gt;20000,12%,7%)))</f>
        <v/>
      </c>
      <c r="I58" s="852" t="s">
        <v>2181</v>
      </c>
      <c r="J58" s="854" t="e">
        <f ca="1">IF(J55&lt;0.4,0.4,J55)</f>
        <v>#VALUE!</v>
      </c>
      <c r="K58" s="827" t="s">
        <v>2182</v>
      </c>
      <c r="L58" s="830" t="e">
        <f ca="1">ROUND(POWER(1+L52,L47-L48)*(POWER(1+L52,L48)-1)/(POWER(1+L52,L47)-1),4)</f>
        <v>#DIV/0!</v>
      </c>
      <c r="O58" s="831" t="s">
        <v>2153</v>
      </c>
      <c r="P58" s="832" t="s">
        <v>2183</v>
      </c>
      <c r="Q58" s="865">
        <f ca="1">L60</f>
        <v>0</v>
      </c>
      <c r="R58" s="867" t="s">
        <v>2184</v>
      </c>
    </row>
    <row r="59" spans="1:18" s="612" customFormat="1" ht="28.5" customHeight="1">
      <c r="A59" s="679" t="s">
        <v>886</v>
      </c>
      <c r="B59" s="646" t="s">
        <v>2072</v>
      </c>
      <c r="C59" s="121">
        <f ca="1">ROUND(C47*F59/1.05,1)</f>
        <v>0</v>
      </c>
      <c r="D59" s="713" t="s">
        <v>2073</v>
      </c>
      <c r="E59" s="646" t="s">
        <v>2063</v>
      </c>
      <c r="F59" s="688">
        <f t="shared" ref="F59:F65" si="0">F32</f>
        <v>5.5000000000000007E-2</v>
      </c>
      <c r="I59" s="852" t="s">
        <v>2185</v>
      </c>
      <c r="J59" s="853" t="str">
        <f ca="1">IF(OR(M47="住宅",J51&lt;L48,J56="是"),"——",ROUND(C29*J58,0))</f>
        <v>——</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2158</v>
      </c>
      <c r="P59" s="832" t="s">
        <v>2187</v>
      </c>
      <c r="Q59" s="865">
        <f>IF(L55="比较法",L49,IF(L55="基准地价",L50,0))</f>
        <v>0</v>
      </c>
      <c r="R59" s="832" t="s">
        <v>2150</v>
      </c>
    </row>
    <row r="60" spans="1:18" s="612" customFormat="1" ht="18" customHeight="1">
      <c r="A60" s="679" t="s">
        <v>891</v>
      </c>
      <c r="B60" s="646" t="s">
        <v>2076</v>
      </c>
      <c r="C60" s="121">
        <f ca="1">IF(D60="按租金收入计税",ROUND(C47*F60,1),IF(D60="按房产原值计税",ROUND(C56*F60*0.7,1),INDIRECT("'数据-取费表'!Aj"&amp;$G$1)))</f>
        <v>0</v>
      </c>
      <c r="D60" s="713" t="str">
        <f>D33</f>
        <v>按租金收入计税</v>
      </c>
      <c r="E60" s="646" t="s">
        <v>2063</v>
      </c>
      <c r="F60" s="688">
        <f t="shared" si="0"/>
        <v>0.12</v>
      </c>
      <c r="I60" s="855" t="s">
        <v>2188</v>
      </c>
      <c r="J60" s="856" t="str">
        <f ca="1">IF(OR(M47="住宅",J51&lt;L48,J56="是"),"0",ROUND(J59/(1+J52)^J53,0))</f>
        <v>0</v>
      </c>
      <c r="K60" s="857" t="s">
        <v>2189</v>
      </c>
      <c r="L60" s="856">
        <f ca="1">IF(OR(M47="住宅",L48&lt;J51),0,ROUND(L57*(L58/L59-1),0))</f>
        <v>0</v>
      </c>
      <c r="O60" s="837" t="s">
        <v>2162</v>
      </c>
      <c r="P60" s="832" t="s">
        <v>2190</v>
      </c>
      <c r="Q60" s="866">
        <f>L52</f>
        <v>0</v>
      </c>
      <c r="R60" s="867"/>
    </row>
    <row r="61" spans="1:18" s="612" customFormat="1" ht="18" customHeight="1">
      <c r="A61" s="692" t="s">
        <v>894</v>
      </c>
      <c r="B61" s="718" t="s">
        <v>2081</v>
      </c>
      <c r="C61" s="719">
        <f ca="1">ROUND(F61*F62/10000,1)</f>
        <v>1.7</v>
      </c>
      <c r="D61" s="720" t="s">
        <v>2082</v>
      </c>
      <c r="E61" s="646" t="s">
        <v>2083</v>
      </c>
      <c r="F61" s="696">
        <f t="shared" si="0"/>
        <v>5</v>
      </c>
      <c r="K61" s="814"/>
      <c r="O61" s="837" t="s">
        <v>2165</v>
      </c>
      <c r="P61" s="832" t="s">
        <v>2191</v>
      </c>
      <c r="Q61" s="865" t="e">
        <f ca="1">L58</f>
        <v>#DIV/0!</v>
      </c>
      <c r="R61" s="867" t="s">
        <v>2192</v>
      </c>
    </row>
    <row r="62" spans="1:18" s="612" customFormat="1">
      <c r="A62" s="721"/>
      <c r="B62" s="722"/>
      <c r="C62" s="723"/>
      <c r="D62" s="724"/>
      <c r="E62" s="646" t="s">
        <v>2088</v>
      </c>
      <c r="F62" s="647">
        <f t="shared" ca="1" si="0"/>
        <v>3392.2400000000002</v>
      </c>
      <c r="I62" s="858" t="s">
        <v>2193</v>
      </c>
      <c r="J62" s="859" t="s">
        <v>2194</v>
      </c>
      <c r="K62" s="859" t="s">
        <v>2195</v>
      </c>
      <c r="L62" s="859" t="s">
        <v>2196</v>
      </c>
      <c r="M62" s="860" t="s">
        <v>2197</v>
      </c>
      <c r="O62" s="837" t="s">
        <v>2168</v>
      </c>
      <c r="P62" s="832" t="str">
        <f>K59</f>
        <v>建设期及建筑物耐用年限下的土地年期修正系数Kn</v>
      </c>
      <c r="Q62" s="865" t="e">
        <f ca="1">L59</f>
        <v>#DIV/0!</v>
      </c>
      <c r="R62" s="867" t="s">
        <v>2199</v>
      </c>
    </row>
    <row r="63" spans="1:18" s="612" customFormat="1">
      <c r="A63" s="684" t="s">
        <v>864</v>
      </c>
      <c r="B63" s="646" t="s">
        <v>2091</v>
      </c>
      <c r="C63" s="121">
        <f ca="1">ROUND(C56*F63,1)</f>
        <v>51.5</v>
      </c>
      <c r="D63" s="713" t="s">
        <v>2126</v>
      </c>
      <c r="E63" s="646" t="s">
        <v>2063</v>
      </c>
      <c r="F63" s="725">
        <f t="shared" ca="1" si="0"/>
        <v>1.4999999999999999E-2</v>
      </c>
      <c r="I63" s="858" t="s">
        <v>2200</v>
      </c>
      <c r="J63" s="859">
        <v>70</v>
      </c>
      <c r="K63" s="859">
        <v>50</v>
      </c>
      <c r="L63" s="859">
        <v>80</v>
      </c>
      <c r="M63" s="861">
        <v>0.02</v>
      </c>
      <c r="O63" s="831" t="s">
        <v>2171</v>
      </c>
      <c r="P63" s="832" t="s">
        <v>2172</v>
      </c>
      <c r="Q63" s="865">
        <f ca="1">Q57+Q58</f>
        <v>5686</v>
      </c>
      <c r="R63" s="867" t="s">
        <v>2173</v>
      </c>
    </row>
    <row r="64" spans="1:18" s="612" customFormat="1" ht="15.75">
      <c r="A64" s="684" t="s">
        <v>1146</v>
      </c>
      <c r="B64" s="646" t="s">
        <v>2095</v>
      </c>
      <c r="C64" s="121">
        <f ca="1">ROUND(C55*F64,1)</f>
        <v>5.0999999999999996</v>
      </c>
      <c r="D64" s="713" t="s">
        <v>2096</v>
      </c>
      <c r="E64" s="646" t="s">
        <v>2063</v>
      </c>
      <c r="F64" s="726">
        <f t="shared" ca="1" si="0"/>
        <v>1.5E-3</v>
      </c>
      <c r="I64" s="858" t="s">
        <v>2201</v>
      </c>
      <c r="J64" s="859">
        <v>50</v>
      </c>
      <c r="K64" s="859">
        <v>35</v>
      </c>
      <c r="L64" s="859">
        <v>60</v>
      </c>
      <c r="M64" s="811">
        <v>0</v>
      </c>
      <c r="O64" s="849" t="s">
        <v>2202</v>
      </c>
      <c r="P64" s="636"/>
      <c r="Q64" s="824"/>
      <c r="R64" s="636"/>
    </row>
    <row r="65" spans="1:18" s="612" customFormat="1">
      <c r="A65" s="684" t="s">
        <v>2366</v>
      </c>
      <c r="B65" s="646" t="s">
        <v>2079</v>
      </c>
      <c r="C65" s="121">
        <f ca="1">ROUND(C47*F65,1)</f>
        <v>0</v>
      </c>
      <c r="D65" s="713" t="s">
        <v>2099</v>
      </c>
      <c r="E65" s="646" t="s">
        <v>2063</v>
      </c>
      <c r="F65" s="655">
        <f t="shared" ca="1" si="0"/>
        <v>1.4999999999999999E-2</v>
      </c>
      <c r="I65" s="858" t="s">
        <v>2203</v>
      </c>
      <c r="J65" s="859">
        <v>40</v>
      </c>
      <c r="K65" s="859">
        <v>30</v>
      </c>
      <c r="L65" s="859">
        <v>50</v>
      </c>
      <c r="M65" s="861">
        <v>0.02</v>
      </c>
      <c r="O65" s="825" t="s">
        <v>1453</v>
      </c>
      <c r="P65" s="826" t="s">
        <v>2143</v>
      </c>
      <c r="Q65" s="864" t="s">
        <v>2144</v>
      </c>
      <c r="R65" s="826" t="s">
        <v>2145</v>
      </c>
    </row>
    <row r="66" spans="1:18" s="612" customFormat="1" ht="24">
      <c r="A66" s="759" t="s">
        <v>2367</v>
      </c>
      <c r="B66" s="868" t="s">
        <v>2103</v>
      </c>
      <c r="C66" s="120">
        <f ca="1">C47-C57</f>
        <v>-58</v>
      </c>
      <c r="D66" s="681" t="s">
        <v>2104</v>
      </c>
      <c r="E66" s="869"/>
      <c r="F66" s="870"/>
      <c r="K66" s="814"/>
      <c r="O66" s="831" t="s">
        <v>2148</v>
      </c>
      <c r="P66" s="832" t="s">
        <v>2149</v>
      </c>
      <c r="Q66" s="865">
        <f ca="1">C40+J29</f>
        <v>5686</v>
      </c>
      <c r="R66" s="832" t="s">
        <v>2150</v>
      </c>
    </row>
    <row r="67" spans="1:18" s="612" customFormat="1" ht="19.5">
      <c r="A67" s="637" t="s">
        <v>2368</v>
      </c>
      <c r="B67" s="731" t="s">
        <v>2381</v>
      </c>
      <c r="C67" s="644">
        <f ca="1">ROUND(C66*(1-((1+F69)/(1+F67))^F68)/(F67-F69),0)</f>
        <v>-915</v>
      </c>
      <c r="D67" s="720" t="s">
        <v>2109</v>
      </c>
      <c r="E67" s="646" t="s">
        <v>2110</v>
      </c>
      <c r="F67" s="655">
        <f ca="1">F40</f>
        <v>5.5E-2</v>
      </c>
      <c r="K67" s="814"/>
      <c r="O67" s="831" t="s">
        <v>2153</v>
      </c>
      <c r="P67" s="832" t="s">
        <v>2183</v>
      </c>
      <c r="Q67" s="865">
        <f ca="1">L60</f>
        <v>0</v>
      </c>
      <c r="R67" s="867" t="s">
        <v>2184</v>
      </c>
    </row>
    <row r="68" spans="1:18" ht="21">
      <c r="A68" s="654"/>
      <c r="B68" s="732"/>
      <c r="C68" s="650"/>
      <c r="D68" s="733" t="s">
        <v>2113</v>
      </c>
      <c r="E68" s="646" t="s">
        <v>2114</v>
      </c>
      <c r="F68" s="734">
        <f ca="1">F41</f>
        <v>37.78</v>
      </c>
      <c r="O68" s="837" t="s">
        <v>2158</v>
      </c>
      <c r="P68" s="832" t="s">
        <v>2187</v>
      </c>
      <c r="Q68" s="872">
        <f ca="1">L51</f>
        <v>-592</v>
      </c>
      <c r="R68" s="873" t="s">
        <v>2204</v>
      </c>
    </row>
    <row r="69" spans="1:18" ht="19.5">
      <c r="A69" s="662"/>
      <c r="B69" s="736"/>
      <c r="C69" s="676"/>
      <c r="D69" s="724"/>
      <c r="E69" s="646" t="s">
        <v>2118</v>
      </c>
      <c r="F69" s="757"/>
      <c r="O69" s="837" t="s">
        <v>2162</v>
      </c>
      <c r="P69" s="871" t="s">
        <v>2205</v>
      </c>
      <c r="Q69" s="865">
        <f ca="1">ROUND(Q70-Q71*Q72,0)</f>
        <v>-35</v>
      </c>
      <c r="R69" s="867"/>
    </row>
    <row r="70" spans="1:18">
      <c r="A70" s="707" t="s">
        <v>2372</v>
      </c>
      <c r="B70" s="737" t="s">
        <v>2385</v>
      </c>
      <c r="C70" s="738">
        <f ca="1">ROUND(C67*10000/F70,0)</f>
        <v>-1016</v>
      </c>
      <c r="D70" s="739" t="s">
        <v>2386</v>
      </c>
      <c r="E70" s="740" t="s">
        <v>2387</v>
      </c>
      <c r="F70" s="741">
        <f ca="1">F43</f>
        <v>9008.43</v>
      </c>
      <c r="O70" s="837" t="s">
        <v>2206</v>
      </c>
      <c r="P70" s="871" t="s">
        <v>2207</v>
      </c>
      <c r="Q70" s="865">
        <f ca="1">C39</f>
        <v>257</v>
      </c>
      <c r="R70" s="832" t="s">
        <v>2150</v>
      </c>
    </row>
    <row r="71" spans="1:18">
      <c r="O71" s="837" t="s">
        <v>2208</v>
      </c>
      <c r="P71" s="871" t="s">
        <v>2209</v>
      </c>
      <c r="Q71" s="865">
        <f ca="1">C13</f>
        <v>3430</v>
      </c>
      <c r="R71" s="832" t="s">
        <v>2150</v>
      </c>
    </row>
    <row r="72" spans="1:18">
      <c r="O72" s="837" t="s">
        <v>2210</v>
      </c>
      <c r="P72" s="871" t="s">
        <v>2211</v>
      </c>
      <c r="Q72" s="866">
        <f ca="1">J36</f>
        <v>8.5000000000000006E-2</v>
      </c>
      <c r="R72" s="867"/>
    </row>
    <row r="73" spans="1:18">
      <c r="O73" s="837" t="s">
        <v>2165</v>
      </c>
      <c r="P73" s="832" t="s">
        <v>2190</v>
      </c>
      <c r="Q73" s="866">
        <f>L52</f>
        <v>0</v>
      </c>
      <c r="R73" s="867"/>
    </row>
    <row r="74" spans="1:18" ht="19.5">
      <c r="O74" s="837" t="s">
        <v>2168</v>
      </c>
      <c r="P74" s="832" t="s">
        <v>2191</v>
      </c>
      <c r="Q74" s="865" t="e">
        <f ca="1">L58</f>
        <v>#DIV/0!</v>
      </c>
      <c r="R74" s="867" t="s">
        <v>2192</v>
      </c>
    </row>
    <row r="75" spans="1:18">
      <c r="O75" s="837" t="s">
        <v>2212</v>
      </c>
      <c r="P75" s="832" t="str">
        <f>K59</f>
        <v>建设期及建筑物耐用年限下的土地年期修正系数Kn</v>
      </c>
      <c r="Q75" s="865" t="e">
        <f ca="1">L59</f>
        <v>#DIV/0!</v>
      </c>
      <c r="R75" s="867" t="s">
        <v>2199</v>
      </c>
    </row>
    <row r="76" spans="1:18">
      <c r="O76" s="831" t="s">
        <v>2171</v>
      </c>
      <c r="P76" s="832" t="s">
        <v>2172</v>
      </c>
      <c r="Q76" s="865">
        <f ca="1">Q66+Q67</f>
        <v>5686</v>
      </c>
      <c r="R76" s="867" t="s">
        <v>2173</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2395</v>
      </c>
      <c r="C1" s="200" t="s">
        <v>2302</v>
      </c>
      <c r="D1" s="598"/>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C49</f>
        <v>#DIV/0!</v>
      </c>
      <c r="C3" s="212" t="s">
        <v>2306</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86" t="s">
        <v>931</v>
      </c>
      <c r="D4" s="3387"/>
      <c r="E4" s="3397" t="s">
        <v>932</v>
      </c>
      <c r="F4" s="3398"/>
      <c r="G4" s="3386" t="s">
        <v>933</v>
      </c>
      <c r="H4" s="3387"/>
      <c r="I4" s="3386" t="s">
        <v>934</v>
      </c>
      <c r="J4" s="3387"/>
      <c r="K4" s="376" t="s">
        <v>935</v>
      </c>
      <c r="L4" s="377"/>
      <c r="M4" s="378"/>
      <c r="N4" s="378"/>
      <c r="O4" s="378"/>
      <c r="P4" s="3356" t="s">
        <v>936</v>
      </c>
      <c r="Q4" s="3357"/>
      <c r="R4" s="3362" t="s">
        <v>932</v>
      </c>
      <c r="S4" s="3363"/>
      <c r="T4" s="3362" t="s">
        <v>933</v>
      </c>
      <c r="U4" s="3363"/>
      <c r="V4" s="3368" t="s">
        <v>934</v>
      </c>
      <c r="W4" s="3368"/>
      <c r="X4" s="443"/>
      <c r="Y4" s="3362" t="s">
        <v>936</v>
      </c>
      <c r="Z4" s="3363"/>
      <c r="AA4" s="3349" t="s">
        <v>932</v>
      </c>
      <c r="AB4" s="3368" t="s">
        <v>933</v>
      </c>
      <c r="AC4" s="3349" t="s">
        <v>934</v>
      </c>
    </row>
    <row r="5" spans="1:29" ht="15">
      <c r="A5" s="216"/>
      <c r="B5" s="217"/>
      <c r="C5" s="3388" t="s">
        <v>937</v>
      </c>
      <c r="D5" s="3389"/>
      <c r="E5" s="3399" t="s">
        <v>1232</v>
      </c>
      <c r="F5" s="3400"/>
      <c r="G5" s="3388" t="s">
        <v>1233</v>
      </c>
      <c r="H5" s="3389"/>
      <c r="I5" s="3388" t="s">
        <v>1234</v>
      </c>
      <c r="J5" s="3389"/>
      <c r="K5" s="376"/>
      <c r="L5" s="377"/>
      <c r="M5" s="378"/>
      <c r="N5" s="378"/>
      <c r="O5" s="378"/>
      <c r="P5" s="3358"/>
      <c r="Q5" s="3359"/>
      <c r="R5" s="3364"/>
      <c r="S5" s="3365"/>
      <c r="T5" s="3364"/>
      <c r="U5" s="3365"/>
      <c r="V5" s="3368"/>
      <c r="W5" s="3368"/>
      <c r="X5" s="443"/>
      <c r="Y5" s="3364"/>
      <c r="Z5" s="3365"/>
      <c r="AA5" s="3350"/>
      <c r="AB5" s="3368"/>
      <c r="AC5" s="3350"/>
    </row>
    <row r="6" spans="1:29" ht="15">
      <c r="A6" s="218"/>
      <c r="B6" s="219"/>
      <c r="C6" s="3383" t="s">
        <v>939</v>
      </c>
      <c r="D6" s="3384"/>
      <c r="E6" s="3395" t="s">
        <v>939</v>
      </c>
      <c r="F6" s="3396"/>
      <c r="G6" s="3383" t="s">
        <v>939</v>
      </c>
      <c r="H6" s="3384"/>
      <c r="I6" s="3383" t="s">
        <v>939</v>
      </c>
      <c r="J6" s="3384"/>
      <c r="K6" s="376" t="s">
        <v>940</v>
      </c>
      <c r="L6" s="377"/>
      <c r="M6" s="378"/>
      <c r="N6" s="378"/>
      <c r="O6" s="378"/>
      <c r="P6" s="3360"/>
      <c r="Q6" s="3361"/>
      <c r="R6" s="3364"/>
      <c r="S6" s="3365"/>
      <c r="T6" s="3366"/>
      <c r="U6" s="3367"/>
      <c r="V6" s="3368"/>
      <c r="W6" s="3368"/>
      <c r="X6" s="443"/>
      <c r="Y6" s="3366"/>
      <c r="Z6" s="3367"/>
      <c r="AA6" s="3351"/>
      <c r="AB6" s="3368"/>
      <c r="AC6" s="3351"/>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69" t="s">
        <v>942</v>
      </c>
      <c r="Q7" s="3385"/>
      <c r="R7" s="444" t="s">
        <v>943</v>
      </c>
      <c r="S7" s="445">
        <f t="shared" ref="S7:S15" si="0">F7</f>
        <v>0</v>
      </c>
      <c r="T7" s="444" t="s">
        <v>943</v>
      </c>
      <c r="U7" s="445">
        <f t="shared" ref="U7:U15" si="1">H7</f>
        <v>0</v>
      </c>
      <c r="V7" s="444" t="s">
        <v>943</v>
      </c>
      <c r="W7" s="445">
        <f t="shared" ref="W7:W15" si="2">J7</f>
        <v>0</v>
      </c>
      <c r="X7" s="446"/>
      <c r="Y7" s="3369" t="s">
        <v>942</v>
      </c>
      <c r="Z7" s="3370"/>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9" t="s">
        <v>948</v>
      </c>
      <c r="Q8" s="3370"/>
      <c r="R8" s="444" t="s">
        <v>943</v>
      </c>
      <c r="S8" s="445">
        <f t="shared" si="0"/>
        <v>0</v>
      </c>
      <c r="T8" s="444" t="s">
        <v>943</v>
      </c>
      <c r="U8" s="445">
        <f t="shared" si="1"/>
        <v>0</v>
      </c>
      <c r="V8" s="444" t="s">
        <v>943</v>
      </c>
      <c r="W8" s="445">
        <f t="shared" si="2"/>
        <v>0</v>
      </c>
      <c r="X8" s="446"/>
      <c r="Y8" s="3369" t="s">
        <v>948</v>
      </c>
      <c r="Z8" s="3370"/>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72" t="s">
        <v>950</v>
      </c>
      <c r="Q9" s="447" t="str">
        <f t="shared" ref="Q9:Q15" si="6">B9</f>
        <v>用途</v>
      </c>
      <c r="R9" s="444" t="s">
        <v>943</v>
      </c>
      <c r="S9" s="445">
        <f t="shared" si="0"/>
        <v>100</v>
      </c>
      <c r="T9" s="444" t="s">
        <v>943</v>
      </c>
      <c r="U9" s="445">
        <f t="shared" si="1"/>
        <v>100</v>
      </c>
      <c r="V9" s="444" t="s">
        <v>943</v>
      </c>
      <c r="W9" s="445">
        <f t="shared" si="2"/>
        <v>100</v>
      </c>
      <c r="X9" s="446"/>
      <c r="Y9" s="3282"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72"/>
      <c r="Q11" s="447" t="str">
        <f t="shared" si="6"/>
        <v>容积率</v>
      </c>
      <c r="R11" s="444" t="s">
        <v>943</v>
      </c>
      <c r="S11" s="445" t="e">
        <f t="shared" si="0"/>
        <v>#N/A</v>
      </c>
      <c r="T11" s="444" t="s">
        <v>943</v>
      </c>
      <c r="U11" s="445" t="e">
        <f t="shared" si="1"/>
        <v>#N/A</v>
      </c>
      <c r="V11" s="444" t="s">
        <v>943</v>
      </c>
      <c r="W11" s="445" t="e">
        <f t="shared" si="2"/>
        <v>#N/A</v>
      </c>
      <c r="X11" s="446"/>
      <c r="Y11" s="328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72"/>
      <c r="Q14" s="447">
        <f t="shared" si="6"/>
        <v>111</v>
      </c>
      <c r="R14" s="444" t="s">
        <v>943</v>
      </c>
      <c r="S14" s="445">
        <f t="shared" si="0"/>
        <v>100</v>
      </c>
      <c r="T14" s="444" t="s">
        <v>943</v>
      </c>
      <c r="U14" s="445">
        <f t="shared" si="1"/>
        <v>100</v>
      </c>
      <c r="V14" s="444" t="s">
        <v>943</v>
      </c>
      <c r="W14" s="445">
        <f t="shared" si="2"/>
        <v>100</v>
      </c>
      <c r="X14" s="446"/>
      <c r="Y14" s="3282"/>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3" t="s">
        <v>957</v>
      </c>
      <c r="Q15" s="383" t="str">
        <f t="shared" si="6"/>
        <v>商业繁华度</v>
      </c>
      <c r="R15" s="448" t="s">
        <v>943</v>
      </c>
      <c r="S15" s="449">
        <f t="shared" si="0"/>
        <v>100</v>
      </c>
      <c r="T15" s="448" t="s">
        <v>943</v>
      </c>
      <c r="U15" s="449">
        <f t="shared" si="1"/>
        <v>100</v>
      </c>
      <c r="V15" s="448" t="s">
        <v>943</v>
      </c>
      <c r="W15" s="449">
        <f t="shared" si="2"/>
        <v>100</v>
      </c>
      <c r="X15" s="443"/>
      <c r="Y15" s="3373"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4"/>
      <c r="Q16" s="383"/>
      <c r="R16" s="448"/>
      <c r="S16" s="449"/>
      <c r="T16" s="448"/>
      <c r="U16" s="449"/>
      <c r="V16" s="448"/>
      <c r="W16" s="449"/>
      <c r="X16" s="443"/>
      <c r="Y16" s="3374"/>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4"/>
      <c r="Q17" s="383" t="str">
        <f>B17</f>
        <v>交通便捷度</v>
      </c>
      <c r="R17" s="448" t="s">
        <v>943</v>
      </c>
      <c r="S17" s="449">
        <f>F17</f>
        <v>100</v>
      </c>
      <c r="T17" s="448" t="s">
        <v>943</v>
      </c>
      <c r="U17" s="449">
        <f>H17</f>
        <v>100</v>
      </c>
      <c r="V17" s="448" t="s">
        <v>943</v>
      </c>
      <c r="W17" s="449">
        <f>J17</f>
        <v>100</v>
      </c>
      <c r="X17" s="443"/>
      <c r="Y17" s="3374"/>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4"/>
      <c r="Q18" s="383"/>
      <c r="R18" s="448"/>
      <c r="S18" s="449"/>
      <c r="T18" s="448"/>
      <c r="U18" s="449"/>
      <c r="V18" s="448"/>
      <c r="W18" s="449"/>
      <c r="X18" s="443"/>
      <c r="Y18" s="3374"/>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4"/>
      <c r="Q19" s="383" t="str">
        <f>B19</f>
        <v>公共配套设施</v>
      </c>
      <c r="R19" s="448" t="s">
        <v>943</v>
      </c>
      <c r="S19" s="449">
        <f>F19</f>
        <v>100</v>
      </c>
      <c r="T19" s="448" t="s">
        <v>943</v>
      </c>
      <c r="U19" s="449">
        <f>H19</f>
        <v>100</v>
      </c>
      <c r="V19" s="448" t="s">
        <v>943</v>
      </c>
      <c r="W19" s="449">
        <f>J19</f>
        <v>100</v>
      </c>
      <c r="X19" s="443"/>
      <c r="Y19" s="3374"/>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74"/>
      <c r="Q20" s="383"/>
      <c r="R20" s="448"/>
      <c r="S20" s="449"/>
      <c r="T20" s="448"/>
      <c r="U20" s="449"/>
      <c r="V20" s="448"/>
      <c r="W20" s="449"/>
      <c r="X20" s="443"/>
      <c r="Y20" s="3374"/>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4"/>
      <c r="Q21" s="383" t="str">
        <f>B21</f>
        <v>基础设施水平</v>
      </c>
      <c r="R21" s="448" t="s">
        <v>943</v>
      </c>
      <c r="S21" s="449">
        <f>F21</f>
        <v>100</v>
      </c>
      <c r="T21" s="448" t="s">
        <v>943</v>
      </c>
      <c r="U21" s="449">
        <f>H21</f>
        <v>100</v>
      </c>
      <c r="V21" s="448" t="s">
        <v>943</v>
      </c>
      <c r="W21" s="449">
        <f>J21</f>
        <v>100</v>
      </c>
      <c r="X21" s="443"/>
      <c r="Y21" s="3374"/>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74"/>
      <c r="Q22" s="383"/>
      <c r="R22" s="448"/>
      <c r="S22" s="449"/>
      <c r="T22" s="448"/>
      <c r="U22" s="449"/>
      <c r="V22" s="448"/>
      <c r="W22" s="449"/>
      <c r="X22" s="443"/>
      <c r="Y22" s="3374"/>
      <c r="Z22" s="442"/>
      <c r="AA22" s="454">
        <v>1</v>
      </c>
      <c r="AB22" s="454">
        <v>1</v>
      </c>
      <c r="AC22" s="454">
        <v>1</v>
      </c>
    </row>
    <row r="23" spans="1:29" ht="57">
      <c r="A23" s="255"/>
      <c r="B23" s="274" t="s">
        <v>2311</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4"/>
      <c r="Q23" s="383" t="str">
        <f>B23</f>
        <v>自然及人文环境</v>
      </c>
      <c r="R23" s="448" t="s">
        <v>943</v>
      </c>
      <c r="S23" s="449">
        <f>F23</f>
        <v>100</v>
      </c>
      <c r="T23" s="448" t="s">
        <v>943</v>
      </c>
      <c r="U23" s="449">
        <f>H23</f>
        <v>100</v>
      </c>
      <c r="V23" s="448" t="s">
        <v>943</v>
      </c>
      <c r="W23" s="449">
        <f>J23</f>
        <v>100</v>
      </c>
      <c r="X23" s="443"/>
      <c r="Y23" s="3374"/>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74"/>
      <c r="Q24" s="383"/>
      <c r="R24" s="448"/>
      <c r="S24" s="449"/>
      <c r="T24" s="448"/>
      <c r="U24" s="449"/>
      <c r="V24" s="448"/>
      <c r="W24" s="449"/>
      <c r="X24" s="443"/>
      <c r="Y24" s="3374"/>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4"/>
      <c r="Q25" s="383" t="str">
        <f t="shared" ref="Q25:Q46" si="11">B25</f>
        <v>临街状况</v>
      </c>
      <c r="R25" s="448" t="s">
        <v>943</v>
      </c>
      <c r="S25" s="449">
        <f>F25</f>
        <v>100</v>
      </c>
      <c r="T25" s="448" t="s">
        <v>943</v>
      </c>
      <c r="U25" s="449">
        <f>H25</f>
        <v>100</v>
      </c>
      <c r="V25" s="448" t="s">
        <v>943</v>
      </c>
      <c r="W25" s="449">
        <f>J25</f>
        <v>100</v>
      </c>
      <c r="X25" s="443"/>
      <c r="Y25" s="3374"/>
      <c r="Z25" s="442" t="str">
        <f>Q25</f>
        <v>临街状况</v>
      </c>
      <c r="AA25" s="454">
        <f t="shared" si="3"/>
        <v>1</v>
      </c>
      <c r="AB25" s="454">
        <f t="shared" si="4"/>
        <v>1</v>
      </c>
      <c r="AC25" s="454">
        <f t="shared" si="5"/>
        <v>1</v>
      </c>
    </row>
    <row r="26" spans="1:29" ht="15">
      <c r="A26" s="255"/>
      <c r="B26" s="540" t="s">
        <v>2396</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4"/>
      <c r="Q26" s="383" t="str">
        <f t="shared" si="11"/>
        <v>平面位置/可视性</v>
      </c>
      <c r="R26" s="448" t="s">
        <v>943</v>
      </c>
      <c r="S26" s="449">
        <f>F26</f>
        <v>100</v>
      </c>
      <c r="T26" s="448" t="s">
        <v>943</v>
      </c>
      <c r="U26" s="449">
        <f>H26</f>
        <v>100</v>
      </c>
      <c r="V26" s="448" t="s">
        <v>943</v>
      </c>
      <c r="W26" s="449">
        <f>J26</f>
        <v>100</v>
      </c>
      <c r="X26" s="443"/>
      <c r="Y26" s="3374"/>
      <c r="Z26" s="442" t="str">
        <f>Q26</f>
        <v>平面位置/可视性</v>
      </c>
      <c r="AA26" s="454">
        <f t="shared" si="3"/>
        <v>1</v>
      </c>
      <c r="AB26" s="454">
        <f t="shared" si="4"/>
        <v>1</v>
      </c>
      <c r="AC26" s="454">
        <f t="shared" si="5"/>
        <v>1</v>
      </c>
    </row>
    <row r="27" spans="1:29" s="190" customFormat="1" ht="15">
      <c r="A27" s="279"/>
      <c r="B27" s="274" t="s">
        <v>2397</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74"/>
      <c r="Q27" s="447" t="str">
        <f t="shared" si="11"/>
        <v>人流量</v>
      </c>
      <c r="R27" s="444" t="s">
        <v>943</v>
      </c>
      <c r="S27" s="445">
        <f>F27</f>
        <v>100</v>
      </c>
      <c r="T27" s="444" t="s">
        <v>943</v>
      </c>
      <c r="U27" s="445">
        <f>H27</f>
        <v>100</v>
      </c>
      <c r="V27" s="444" t="s">
        <v>943</v>
      </c>
      <c r="W27" s="445">
        <f>J27</f>
        <v>100</v>
      </c>
      <c r="X27" s="446"/>
      <c r="Y27" s="3374"/>
      <c r="Z27" s="464" t="str">
        <f>Q27</f>
        <v>人流量</v>
      </c>
      <c r="AA27" s="454">
        <f t="shared" si="3"/>
        <v>1</v>
      </c>
      <c r="AB27" s="454">
        <f t="shared" si="4"/>
        <v>1</v>
      </c>
      <c r="AC27" s="454">
        <f t="shared" si="5"/>
        <v>1</v>
      </c>
    </row>
    <row r="28" spans="1:29" ht="15">
      <c r="A28" s="255"/>
      <c r="B28" s="289" t="s">
        <v>2398</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4"/>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74"/>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4"/>
      <c r="Q29" s="383">
        <f t="shared" si="11"/>
        <v>111</v>
      </c>
      <c r="R29" s="448" t="s">
        <v>943</v>
      </c>
      <c r="S29" s="449">
        <f t="shared" si="12"/>
        <v>100</v>
      </c>
      <c r="T29" s="448" t="s">
        <v>943</v>
      </c>
      <c r="U29" s="449">
        <f t="shared" si="13"/>
        <v>100</v>
      </c>
      <c r="V29" s="448" t="s">
        <v>943</v>
      </c>
      <c r="W29" s="449">
        <f t="shared" si="14"/>
        <v>100</v>
      </c>
      <c r="X29" s="443"/>
      <c r="Y29" s="3374"/>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4"/>
      <c r="Q30" s="383">
        <f t="shared" si="11"/>
        <v>111</v>
      </c>
      <c r="R30" s="448" t="s">
        <v>943</v>
      </c>
      <c r="S30" s="449">
        <f t="shared" si="12"/>
        <v>100</v>
      </c>
      <c r="T30" s="448" t="s">
        <v>943</v>
      </c>
      <c r="U30" s="449">
        <f t="shared" si="13"/>
        <v>100</v>
      </c>
      <c r="V30" s="448" t="s">
        <v>943</v>
      </c>
      <c r="W30" s="449">
        <f t="shared" si="14"/>
        <v>100</v>
      </c>
      <c r="X30" s="443"/>
      <c r="Y30" s="3374"/>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4"/>
      <c r="Q31" s="383">
        <f t="shared" si="11"/>
        <v>111</v>
      </c>
      <c r="R31" s="448" t="s">
        <v>943</v>
      </c>
      <c r="S31" s="449">
        <f t="shared" si="12"/>
        <v>100</v>
      </c>
      <c r="T31" s="448" t="s">
        <v>943</v>
      </c>
      <c r="U31" s="449">
        <f t="shared" si="13"/>
        <v>100</v>
      </c>
      <c r="V31" s="448" t="s">
        <v>943</v>
      </c>
      <c r="W31" s="449">
        <f t="shared" si="14"/>
        <v>100</v>
      </c>
      <c r="X31" s="443"/>
      <c r="Y31" s="3374"/>
      <c r="Z31" s="442">
        <f t="shared" si="15"/>
        <v>111</v>
      </c>
      <c r="AA31" s="454">
        <f t="shared" si="3"/>
        <v>1</v>
      </c>
      <c r="AB31" s="454">
        <f t="shared" si="4"/>
        <v>1</v>
      </c>
      <c r="AC31" s="454">
        <f t="shared" si="5"/>
        <v>1</v>
      </c>
    </row>
    <row r="32" spans="1:29" ht="15">
      <c r="A32" s="283" t="s">
        <v>966</v>
      </c>
      <c r="B32" s="284" t="s">
        <v>2399</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75" t="s">
        <v>965</v>
      </c>
      <c r="Q32" s="383" t="str">
        <f t="shared" si="11"/>
        <v>商业类型</v>
      </c>
      <c r="R32" s="448" t="s">
        <v>943</v>
      </c>
      <c r="S32" s="449">
        <f t="shared" si="12"/>
        <v>100</v>
      </c>
      <c r="T32" s="448" t="s">
        <v>943</v>
      </c>
      <c r="U32" s="449">
        <f t="shared" si="13"/>
        <v>100</v>
      </c>
      <c r="V32" s="448" t="s">
        <v>943</v>
      </c>
      <c r="W32" s="449">
        <f t="shared" si="14"/>
        <v>100</v>
      </c>
      <c r="X32" s="443"/>
      <c r="Y32" s="3376" t="s">
        <v>965</v>
      </c>
      <c r="Z32" s="442" t="str">
        <f t="shared" si="15"/>
        <v>商业类型</v>
      </c>
      <c r="AA32" s="454">
        <f t="shared" si="3"/>
        <v>1</v>
      </c>
      <c r="AB32" s="454">
        <f t="shared" si="4"/>
        <v>1</v>
      </c>
      <c r="AC32" s="454">
        <f t="shared" si="5"/>
        <v>1</v>
      </c>
    </row>
    <row r="33" spans="1:29" s="192" customFormat="1" ht="15">
      <c r="A33" s="288"/>
      <c r="B33" s="289" t="s">
        <v>2317</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76"/>
      <c r="Q33" s="450" t="str">
        <f t="shared" si="11"/>
        <v>项目建筑规模</v>
      </c>
      <c r="R33" s="451" t="s">
        <v>943</v>
      </c>
      <c r="S33" s="452" t="e">
        <f t="shared" si="12"/>
        <v>#N/A</v>
      </c>
      <c r="T33" s="451" t="s">
        <v>943</v>
      </c>
      <c r="U33" s="452" t="e">
        <f t="shared" si="13"/>
        <v>#N/A</v>
      </c>
      <c r="V33" s="451" t="s">
        <v>943</v>
      </c>
      <c r="W33" s="452" t="e">
        <f t="shared" si="14"/>
        <v>#N/A</v>
      </c>
      <c r="X33" s="453"/>
      <c r="Y33" s="3376"/>
      <c r="Z33" s="465" t="str">
        <f t="shared" si="15"/>
        <v>项目建筑规模</v>
      </c>
      <c r="AA33" s="454" t="e">
        <f t="shared" si="3"/>
        <v>#N/A</v>
      </c>
      <c r="AB33" s="454" t="e">
        <f t="shared" si="4"/>
        <v>#N/A</v>
      </c>
      <c r="AC33" s="454" t="e">
        <f t="shared" si="5"/>
        <v>#N/A</v>
      </c>
    </row>
    <row r="34" spans="1:29" ht="15">
      <c r="A34" s="293"/>
      <c r="B34" s="289" t="s">
        <v>2318</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76"/>
      <c r="Q34" s="383" t="str">
        <f t="shared" si="11"/>
        <v>建筑结构</v>
      </c>
      <c r="R34" s="448" t="s">
        <v>943</v>
      </c>
      <c r="S34" s="449">
        <f t="shared" si="12"/>
        <v>100</v>
      </c>
      <c r="T34" s="448" t="s">
        <v>943</v>
      </c>
      <c r="U34" s="449">
        <f t="shared" si="13"/>
        <v>100</v>
      </c>
      <c r="V34" s="448" t="s">
        <v>943</v>
      </c>
      <c r="W34" s="449">
        <f t="shared" si="14"/>
        <v>100</v>
      </c>
      <c r="X34" s="443"/>
      <c r="Y34" s="3376"/>
      <c r="Z34" s="442" t="str">
        <f t="shared" si="15"/>
        <v>建筑结构</v>
      </c>
      <c r="AA34" s="454">
        <f t="shared" si="3"/>
        <v>1</v>
      </c>
      <c r="AB34" s="454">
        <f t="shared" si="4"/>
        <v>1</v>
      </c>
      <c r="AC34" s="454">
        <f t="shared" si="5"/>
        <v>1</v>
      </c>
    </row>
    <row r="35" spans="1:29" ht="15">
      <c r="A35" s="293"/>
      <c r="B35" s="289" t="s">
        <v>2320</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76"/>
      <c r="Q35" s="383" t="str">
        <f t="shared" si="11"/>
        <v>公共部分装修</v>
      </c>
      <c r="R35" s="448" t="s">
        <v>943</v>
      </c>
      <c r="S35" s="449">
        <f t="shared" si="12"/>
        <v>100</v>
      </c>
      <c r="T35" s="448" t="s">
        <v>943</v>
      </c>
      <c r="U35" s="449">
        <f t="shared" si="13"/>
        <v>100</v>
      </c>
      <c r="V35" s="448" t="s">
        <v>943</v>
      </c>
      <c r="W35" s="449">
        <f t="shared" si="14"/>
        <v>100</v>
      </c>
      <c r="X35" s="443"/>
      <c r="Y35" s="3376"/>
      <c r="Z35" s="442" t="str">
        <f t="shared" si="15"/>
        <v>公共部分装修</v>
      </c>
      <c r="AA35" s="454">
        <f t="shared" si="3"/>
        <v>1</v>
      </c>
      <c r="AB35" s="454">
        <f t="shared" si="4"/>
        <v>1</v>
      </c>
      <c r="AC35" s="454">
        <f t="shared" si="5"/>
        <v>1</v>
      </c>
    </row>
    <row r="36" spans="1:29" ht="15">
      <c r="A36" s="293"/>
      <c r="B36" s="289" t="s">
        <v>2321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6"/>
      <c r="Q36" s="383" t="str">
        <f t="shared" si="11"/>
        <v>成新度</v>
      </c>
      <c r="R36" s="448" t="s">
        <v>943</v>
      </c>
      <c r="S36" s="449" t="e">
        <f t="shared" si="12"/>
        <v>#N/A</v>
      </c>
      <c r="T36" s="448" t="s">
        <v>943</v>
      </c>
      <c r="U36" s="449" t="e">
        <f t="shared" si="13"/>
        <v>#N/A</v>
      </c>
      <c r="V36" s="448" t="s">
        <v>943</v>
      </c>
      <c r="W36" s="449" t="e">
        <f t="shared" si="14"/>
        <v>#N/A</v>
      </c>
      <c r="X36" s="443"/>
      <c r="Y36" s="3376"/>
      <c r="Z36" s="442" t="str">
        <f t="shared" si="15"/>
        <v>成新度</v>
      </c>
      <c r="AA36" s="454" t="e">
        <f t="shared" si="3"/>
        <v>#N/A</v>
      </c>
      <c r="AB36" s="454" t="e">
        <f t="shared" si="4"/>
        <v>#N/A</v>
      </c>
      <c r="AC36" s="454" t="e">
        <f t="shared" si="5"/>
        <v>#N/A</v>
      </c>
    </row>
    <row r="37" spans="1:29" s="190" customFormat="1" ht="15">
      <c r="A37" s="296"/>
      <c r="B37" s="545" t="s">
        <v>2323</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76"/>
      <c r="Q37" s="447" t="str">
        <f t="shared" si="11"/>
        <v>市政基础设施</v>
      </c>
      <c r="R37" s="444" t="s">
        <v>943</v>
      </c>
      <c r="S37" s="445">
        <f t="shared" si="12"/>
        <v>100</v>
      </c>
      <c r="T37" s="444" t="s">
        <v>943</v>
      </c>
      <c r="U37" s="445">
        <f t="shared" si="13"/>
        <v>100</v>
      </c>
      <c r="V37" s="444" t="s">
        <v>943</v>
      </c>
      <c r="W37" s="445">
        <f t="shared" si="14"/>
        <v>100</v>
      </c>
      <c r="X37" s="446"/>
      <c r="Y37" s="3376"/>
      <c r="Z37" s="464" t="str">
        <f t="shared" si="15"/>
        <v>市政基础设施</v>
      </c>
      <c r="AA37" s="463">
        <f t="shared" si="3"/>
        <v>1</v>
      </c>
      <c r="AB37" s="463">
        <f t="shared" si="4"/>
        <v>1</v>
      </c>
      <c r="AC37" s="463">
        <f t="shared" si="5"/>
        <v>1</v>
      </c>
    </row>
    <row r="38" spans="1:29" ht="15">
      <c r="A38" s="293"/>
      <c r="B38" s="289" t="s">
        <v>2400</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76" t="s">
        <v>965</v>
      </c>
      <c r="Q38" s="383" t="str">
        <f t="shared" si="11"/>
        <v>业态</v>
      </c>
      <c r="R38" s="448" t="s">
        <v>943</v>
      </c>
      <c r="S38" s="449">
        <f t="shared" si="12"/>
        <v>100</v>
      </c>
      <c r="T38" s="448" t="s">
        <v>943</v>
      </c>
      <c r="U38" s="449">
        <f t="shared" si="13"/>
        <v>100</v>
      </c>
      <c r="V38" s="448" t="s">
        <v>943</v>
      </c>
      <c r="W38" s="449">
        <f t="shared" si="14"/>
        <v>100</v>
      </c>
      <c r="X38" s="443"/>
      <c r="Y38" s="3376" t="s">
        <v>965</v>
      </c>
      <c r="Z38" s="442" t="str">
        <f t="shared" si="15"/>
        <v>业态</v>
      </c>
      <c r="AA38" s="454">
        <f t="shared" si="3"/>
        <v>1</v>
      </c>
      <c r="AB38" s="454">
        <f t="shared" si="4"/>
        <v>1</v>
      </c>
      <c r="AC38" s="454">
        <f t="shared" si="5"/>
        <v>1</v>
      </c>
    </row>
    <row r="39" spans="1:29" ht="15">
      <c r="A39" s="293"/>
      <c r="B39" s="289" t="s">
        <v>2401</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6"/>
      <c r="Q39" s="383" t="str">
        <f t="shared" si="11"/>
        <v>层高</v>
      </c>
      <c r="R39" s="448" t="s">
        <v>943</v>
      </c>
      <c r="S39" s="449">
        <f t="shared" si="12"/>
        <v>100</v>
      </c>
      <c r="T39" s="448" t="s">
        <v>943</v>
      </c>
      <c r="U39" s="449">
        <f t="shared" si="13"/>
        <v>100</v>
      </c>
      <c r="V39" s="448" t="s">
        <v>943</v>
      </c>
      <c r="W39" s="449">
        <f t="shared" si="14"/>
        <v>100</v>
      </c>
      <c r="X39" s="443"/>
      <c r="Y39" s="3376"/>
      <c r="Z39" s="442" t="str">
        <f t="shared" si="15"/>
        <v>层高</v>
      </c>
      <c r="AA39" s="454">
        <f t="shared" si="3"/>
        <v>1</v>
      </c>
      <c r="AB39" s="454">
        <f t="shared" si="4"/>
        <v>1</v>
      </c>
      <c r="AC39" s="454">
        <f t="shared" si="5"/>
        <v>1</v>
      </c>
    </row>
    <row r="40" spans="1:29" ht="15">
      <c r="A40" s="293"/>
      <c r="B40" s="289" t="s">
        <v>2402</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76"/>
      <c r="Q40" s="383" t="str">
        <f t="shared" si="11"/>
        <v>单套建筑面积</v>
      </c>
      <c r="R40" s="448" t="s">
        <v>943</v>
      </c>
      <c r="S40" s="449">
        <f t="shared" si="12"/>
        <v>100</v>
      </c>
      <c r="T40" s="448" t="s">
        <v>943</v>
      </c>
      <c r="U40" s="449">
        <f t="shared" si="13"/>
        <v>100</v>
      </c>
      <c r="V40" s="448" t="s">
        <v>943</v>
      </c>
      <c r="W40" s="449">
        <f t="shared" si="14"/>
        <v>100</v>
      </c>
      <c r="X40" s="443"/>
      <c r="Y40" s="3376"/>
      <c r="Z40" s="442" t="str">
        <f t="shared" si="15"/>
        <v>单套建筑面积</v>
      </c>
      <c r="AA40" s="454">
        <f t="shared" si="3"/>
        <v>1</v>
      </c>
      <c r="AB40" s="454">
        <f t="shared" si="4"/>
        <v>1</v>
      </c>
      <c r="AC40" s="454">
        <f t="shared" si="5"/>
        <v>1</v>
      </c>
    </row>
    <row r="41" spans="1:29" s="192" customFormat="1" ht="15">
      <c r="A41" s="288"/>
      <c r="B41" s="401" t="s">
        <v>2403</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6"/>
      <c r="Q41" s="450" t="str">
        <f t="shared" si="11"/>
        <v>进深比</v>
      </c>
      <c r="R41" s="451" t="s">
        <v>943</v>
      </c>
      <c r="S41" s="452">
        <f t="shared" si="12"/>
        <v>100</v>
      </c>
      <c r="T41" s="451" t="s">
        <v>943</v>
      </c>
      <c r="U41" s="452">
        <f t="shared" si="13"/>
        <v>100</v>
      </c>
      <c r="V41" s="451" t="s">
        <v>943</v>
      </c>
      <c r="W41" s="452">
        <f t="shared" si="14"/>
        <v>100</v>
      </c>
      <c r="X41" s="453"/>
      <c r="Y41" s="3376"/>
      <c r="Z41" s="465" t="str">
        <f t="shared" si="15"/>
        <v>进深比</v>
      </c>
      <c r="AA41" s="454">
        <f t="shared" si="3"/>
        <v>1</v>
      </c>
      <c r="AB41" s="454">
        <f t="shared" si="4"/>
        <v>1</v>
      </c>
      <c r="AC41" s="454">
        <f t="shared" si="5"/>
        <v>1</v>
      </c>
    </row>
    <row r="42" spans="1:29" ht="15">
      <c r="A42" s="293"/>
      <c r="B42" s="289" t="s">
        <v>2326</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76"/>
      <c r="Q42" s="383" t="str">
        <f t="shared" si="11"/>
        <v>内部装修</v>
      </c>
      <c r="R42" s="448" t="s">
        <v>943</v>
      </c>
      <c r="S42" s="449">
        <f t="shared" si="12"/>
        <v>100</v>
      </c>
      <c r="T42" s="448" t="s">
        <v>943</v>
      </c>
      <c r="U42" s="449">
        <f t="shared" si="13"/>
        <v>100</v>
      </c>
      <c r="V42" s="448" t="s">
        <v>943</v>
      </c>
      <c r="W42" s="449">
        <f t="shared" si="14"/>
        <v>100</v>
      </c>
      <c r="X42" s="443"/>
      <c r="Y42" s="3376"/>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76"/>
      <c r="Q43" s="383" t="str">
        <f t="shared" si="11"/>
        <v>内部装修维护情况</v>
      </c>
      <c r="R43" s="448" t="s">
        <v>943</v>
      </c>
      <c r="S43" s="449">
        <f t="shared" si="12"/>
        <v>100</v>
      </c>
      <c r="T43" s="448" t="s">
        <v>943</v>
      </c>
      <c r="U43" s="449">
        <f t="shared" si="13"/>
        <v>100</v>
      </c>
      <c r="V43" s="448" t="s">
        <v>943</v>
      </c>
      <c r="W43" s="449">
        <f t="shared" si="14"/>
        <v>100</v>
      </c>
      <c r="X43" s="443"/>
      <c r="Y43" s="3376"/>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6"/>
      <c r="Q44" s="447">
        <f t="shared" si="11"/>
        <v>111</v>
      </c>
      <c r="R44" s="444" t="s">
        <v>943</v>
      </c>
      <c r="S44" s="445">
        <f t="shared" si="12"/>
        <v>100</v>
      </c>
      <c r="T44" s="444" t="s">
        <v>943</v>
      </c>
      <c r="U44" s="445">
        <f t="shared" si="13"/>
        <v>100</v>
      </c>
      <c r="V44" s="444" t="s">
        <v>943</v>
      </c>
      <c r="W44" s="445">
        <f t="shared" si="14"/>
        <v>100</v>
      </c>
      <c r="X44" s="446"/>
      <c r="Y44" s="3376"/>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6"/>
      <c r="Q45" s="383">
        <f t="shared" si="11"/>
        <v>111</v>
      </c>
      <c r="R45" s="448" t="s">
        <v>943</v>
      </c>
      <c r="S45" s="449">
        <f t="shared" si="12"/>
        <v>100</v>
      </c>
      <c r="T45" s="448" t="s">
        <v>943</v>
      </c>
      <c r="U45" s="449">
        <f t="shared" si="13"/>
        <v>100</v>
      </c>
      <c r="V45" s="448" t="s">
        <v>943</v>
      </c>
      <c r="W45" s="449">
        <f t="shared" si="14"/>
        <v>100</v>
      </c>
      <c r="X45" s="443"/>
      <c r="Y45" s="3376"/>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68"/>
      <c r="Q46" s="383">
        <f t="shared" si="11"/>
        <v>111</v>
      </c>
      <c r="R46" s="448" t="s">
        <v>943</v>
      </c>
      <c r="S46" s="449">
        <f t="shared" si="12"/>
        <v>100</v>
      </c>
      <c r="T46" s="448" t="s">
        <v>943</v>
      </c>
      <c r="U46" s="449">
        <f t="shared" si="13"/>
        <v>100</v>
      </c>
      <c r="V46" s="448" t="s">
        <v>943</v>
      </c>
      <c r="W46" s="449">
        <f t="shared" si="14"/>
        <v>100</v>
      </c>
      <c r="X46" s="443"/>
      <c r="Y46" s="3468"/>
      <c r="Z46" s="442">
        <f t="shared" si="15"/>
        <v>111</v>
      </c>
      <c r="AA46" s="454">
        <f t="shared" si="3"/>
        <v>1</v>
      </c>
      <c r="AB46" s="454">
        <f t="shared" si="4"/>
        <v>1</v>
      </c>
      <c r="AC46" s="454">
        <f t="shared" si="5"/>
        <v>1</v>
      </c>
    </row>
    <row r="47" spans="1:29" ht="15">
      <c r="A47" s="303" t="s">
        <v>2329</v>
      </c>
      <c r="B47" s="304"/>
      <c r="C47" s="305" t="s">
        <v>138</v>
      </c>
      <c r="D47" s="306"/>
      <c r="E47" s="307"/>
      <c r="F47" s="308"/>
      <c r="G47" s="309"/>
      <c r="H47" s="310"/>
      <c r="I47" s="307"/>
      <c r="J47" s="310"/>
      <c r="K47" s="397"/>
      <c r="L47" s="398"/>
      <c r="M47" s="319"/>
      <c r="N47" s="378"/>
      <c r="O47" s="319"/>
      <c r="P47" s="3372" t="str">
        <f>A47</f>
        <v>成交单价（元/平方米）</v>
      </c>
      <c r="Q47" s="3372"/>
      <c r="R47" s="3466">
        <f>E47</f>
        <v>0</v>
      </c>
      <c r="S47" s="3466"/>
      <c r="T47" s="3466">
        <f>G47</f>
        <v>0</v>
      </c>
      <c r="U47" s="3466"/>
      <c r="V47" s="3466">
        <f>I47</f>
        <v>0</v>
      </c>
      <c r="W47" s="3466"/>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72" t="str">
        <f>A48</f>
        <v>比较价格（元/平方米）</v>
      </c>
      <c r="Q48" s="3372"/>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78" t="str">
        <f>A49</f>
        <v>估价对象XX用房的比较价格（楼面单价，元/平方米）</v>
      </c>
      <c r="Q49" s="3379"/>
      <c r="R49" s="3467" t="e">
        <f>IF(F1="售价",ROUND(AVERAGE(R48:V48),0),ROUND(AVERAGE(R48:V48),1))</f>
        <v>#DIV/0!</v>
      </c>
      <c r="S49" s="3467"/>
      <c r="T49" s="3467"/>
      <c r="U49" s="3467"/>
      <c r="V49" s="3467"/>
      <c r="W49" s="3467"/>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2399</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2317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2320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2321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2323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2400</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2401</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2402</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2404</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2405</v>
      </c>
      <c r="C1" s="200" t="s">
        <v>2302</v>
      </c>
      <c r="D1" s="201"/>
      <c r="E1" s="202"/>
      <c r="F1" s="203"/>
      <c r="G1" s="204" t="s">
        <v>2304</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2305</v>
      </c>
      <c r="B3" s="211" t="e">
        <f>C50</f>
        <v>#DIV/0!</v>
      </c>
      <c r="C3" s="212" t="s">
        <v>2306</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86" t="s">
        <v>931</v>
      </c>
      <c r="D4" s="3387"/>
      <c r="E4" s="3397" t="s">
        <v>932</v>
      </c>
      <c r="F4" s="3398"/>
      <c r="G4" s="3386" t="s">
        <v>933</v>
      </c>
      <c r="H4" s="3387"/>
      <c r="I4" s="3386" t="s">
        <v>934</v>
      </c>
      <c r="J4" s="3387"/>
      <c r="K4" s="376" t="s">
        <v>935</v>
      </c>
      <c r="L4" s="377"/>
      <c r="M4" s="378"/>
      <c r="N4" s="378"/>
      <c r="O4" s="378"/>
      <c r="P4" s="3473" t="s">
        <v>936</v>
      </c>
      <c r="Q4" s="3357"/>
      <c r="R4" s="3362" t="s">
        <v>932</v>
      </c>
      <c r="S4" s="3363"/>
      <c r="T4" s="3362" t="s">
        <v>933</v>
      </c>
      <c r="U4" s="3363"/>
      <c r="V4" s="3368" t="s">
        <v>934</v>
      </c>
      <c r="W4" s="3368"/>
      <c r="X4" s="443"/>
      <c r="Y4" s="3362" t="s">
        <v>936</v>
      </c>
      <c r="Z4" s="3363"/>
      <c r="AA4" s="3349" t="s">
        <v>932</v>
      </c>
      <c r="AB4" s="3349" t="s">
        <v>933</v>
      </c>
      <c r="AC4" s="3349" t="s">
        <v>934</v>
      </c>
    </row>
    <row r="5" spans="1:29" ht="15">
      <c r="A5" s="216"/>
      <c r="B5" s="217"/>
      <c r="C5" s="3388" t="s">
        <v>937</v>
      </c>
      <c r="D5" s="3389"/>
      <c r="E5" s="3399" t="s">
        <v>1232</v>
      </c>
      <c r="F5" s="3400"/>
      <c r="G5" s="3388" t="s">
        <v>1233</v>
      </c>
      <c r="H5" s="3389"/>
      <c r="I5" s="3388" t="s">
        <v>1234</v>
      </c>
      <c r="J5" s="3389"/>
      <c r="K5" s="376"/>
      <c r="L5" s="377"/>
      <c r="M5" s="378"/>
      <c r="N5" s="378"/>
      <c r="O5" s="378"/>
      <c r="P5" s="3474"/>
      <c r="Q5" s="3359"/>
      <c r="R5" s="3364"/>
      <c r="S5" s="3365"/>
      <c r="T5" s="3364"/>
      <c r="U5" s="3365"/>
      <c r="V5" s="3368"/>
      <c r="W5" s="3368"/>
      <c r="X5" s="443"/>
      <c r="Y5" s="3364"/>
      <c r="Z5" s="3365"/>
      <c r="AA5" s="3350"/>
      <c r="AB5" s="3350"/>
      <c r="AC5" s="3350"/>
    </row>
    <row r="6" spans="1:29" ht="15">
      <c r="A6" s="218"/>
      <c r="B6" s="219"/>
      <c r="C6" s="3383" t="s">
        <v>939</v>
      </c>
      <c r="D6" s="3384"/>
      <c r="E6" s="3395" t="s">
        <v>939</v>
      </c>
      <c r="F6" s="3396"/>
      <c r="G6" s="3383" t="s">
        <v>939</v>
      </c>
      <c r="H6" s="3384"/>
      <c r="I6" s="3383" t="s">
        <v>939</v>
      </c>
      <c r="J6" s="3384"/>
      <c r="K6" s="376" t="s">
        <v>940</v>
      </c>
      <c r="L6" s="377"/>
      <c r="M6" s="378"/>
      <c r="N6" s="378"/>
      <c r="O6" s="378"/>
      <c r="P6" s="3475"/>
      <c r="Q6" s="3361"/>
      <c r="R6" s="3364"/>
      <c r="S6" s="3365"/>
      <c r="T6" s="3366"/>
      <c r="U6" s="3367"/>
      <c r="V6" s="3368"/>
      <c r="W6" s="3368"/>
      <c r="X6" s="443"/>
      <c r="Y6" s="3366"/>
      <c r="Z6" s="3367"/>
      <c r="AA6" s="3351"/>
      <c r="AB6" s="3351"/>
      <c r="AC6" s="3351"/>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85" t="s">
        <v>942</v>
      </c>
      <c r="Q7" s="3385"/>
      <c r="R7" s="444" t="s">
        <v>943</v>
      </c>
      <c r="S7" s="445">
        <f t="shared" ref="S7:S15" si="0">F7</f>
        <v>0</v>
      </c>
      <c r="T7" s="444" t="s">
        <v>943</v>
      </c>
      <c r="U7" s="445">
        <f t="shared" ref="U7:U15" si="1">H7</f>
        <v>0</v>
      </c>
      <c r="V7" s="444" t="s">
        <v>943</v>
      </c>
      <c r="W7" s="445">
        <f t="shared" ref="W7:W15" si="2">J7</f>
        <v>0</v>
      </c>
      <c r="X7" s="446"/>
      <c r="Y7" s="3369" t="s">
        <v>942</v>
      </c>
      <c r="Z7" s="3370"/>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85" t="s">
        <v>948</v>
      </c>
      <c r="Q8" s="3370"/>
      <c r="R8" s="444" t="s">
        <v>943</v>
      </c>
      <c r="S8" s="445">
        <f t="shared" si="0"/>
        <v>0</v>
      </c>
      <c r="T8" s="444" t="s">
        <v>943</v>
      </c>
      <c r="U8" s="445">
        <f t="shared" si="1"/>
        <v>0</v>
      </c>
      <c r="V8" s="444" t="s">
        <v>943</v>
      </c>
      <c r="W8" s="445">
        <f t="shared" si="2"/>
        <v>0</v>
      </c>
      <c r="X8" s="446"/>
      <c r="Y8" s="3369" t="s">
        <v>948</v>
      </c>
      <c r="Z8" s="3370"/>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72" t="s">
        <v>950</v>
      </c>
      <c r="Q9" s="447" t="str">
        <f t="shared" ref="Q9:Q15" si="6">B9</f>
        <v>用途</v>
      </c>
      <c r="R9" s="444" t="s">
        <v>943</v>
      </c>
      <c r="S9" s="445">
        <f t="shared" si="0"/>
        <v>100</v>
      </c>
      <c r="T9" s="444" t="s">
        <v>943</v>
      </c>
      <c r="U9" s="445">
        <f t="shared" si="1"/>
        <v>100</v>
      </c>
      <c r="V9" s="444" t="s">
        <v>943</v>
      </c>
      <c r="W9" s="445">
        <f t="shared" si="2"/>
        <v>100</v>
      </c>
      <c r="X9" s="446"/>
      <c r="Y9" s="3282"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72"/>
      <c r="Q11" s="447" t="str">
        <f t="shared" si="6"/>
        <v>容积率</v>
      </c>
      <c r="R11" s="444" t="s">
        <v>943</v>
      </c>
      <c r="S11" s="445" t="e">
        <f t="shared" si="0"/>
        <v>#N/A</v>
      </c>
      <c r="T11" s="444" t="s">
        <v>943</v>
      </c>
      <c r="U11" s="445" t="e">
        <f t="shared" si="1"/>
        <v>#N/A</v>
      </c>
      <c r="V11" s="444" t="s">
        <v>943</v>
      </c>
      <c r="W11" s="445" t="e">
        <f t="shared" si="2"/>
        <v>#N/A</v>
      </c>
      <c r="X11" s="446"/>
      <c r="Y11" s="328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72"/>
      <c r="Q14" s="447">
        <f t="shared" si="6"/>
        <v>111</v>
      </c>
      <c r="R14" s="444" t="s">
        <v>943</v>
      </c>
      <c r="S14" s="445">
        <f t="shared" si="0"/>
        <v>100</v>
      </c>
      <c r="T14" s="444" t="s">
        <v>943</v>
      </c>
      <c r="U14" s="445">
        <f t="shared" si="1"/>
        <v>100</v>
      </c>
      <c r="V14" s="444" t="s">
        <v>943</v>
      </c>
      <c r="W14" s="445">
        <f t="shared" si="2"/>
        <v>100</v>
      </c>
      <c r="X14" s="446"/>
      <c r="Y14" s="3282"/>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3" t="s">
        <v>957</v>
      </c>
      <c r="Q15" s="383" t="str">
        <f t="shared" si="6"/>
        <v>办公集聚程度</v>
      </c>
      <c r="R15" s="448" t="s">
        <v>943</v>
      </c>
      <c r="S15" s="449">
        <f t="shared" si="0"/>
        <v>100</v>
      </c>
      <c r="T15" s="448" t="s">
        <v>943</v>
      </c>
      <c r="U15" s="449">
        <f t="shared" si="1"/>
        <v>100</v>
      </c>
      <c r="V15" s="448" t="s">
        <v>943</v>
      </c>
      <c r="W15" s="449">
        <f t="shared" si="2"/>
        <v>100</v>
      </c>
      <c r="X15" s="443"/>
      <c r="Y15" s="3373"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74"/>
      <c r="Q16" s="383"/>
      <c r="R16" s="448"/>
      <c r="S16" s="449"/>
      <c r="T16" s="448"/>
      <c r="U16" s="449"/>
      <c r="V16" s="448"/>
      <c r="W16" s="449"/>
      <c r="X16" s="443"/>
      <c r="Y16" s="3374"/>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4"/>
      <c r="Q17" s="383" t="str">
        <f>B17</f>
        <v>交通便捷度</v>
      </c>
      <c r="R17" s="448" t="s">
        <v>943</v>
      </c>
      <c r="S17" s="449">
        <f>F17</f>
        <v>100</v>
      </c>
      <c r="T17" s="448" t="s">
        <v>943</v>
      </c>
      <c r="U17" s="449">
        <f>H17</f>
        <v>100</v>
      </c>
      <c r="V17" s="448" t="s">
        <v>943</v>
      </c>
      <c r="W17" s="449">
        <f>J17</f>
        <v>100</v>
      </c>
      <c r="X17" s="443"/>
      <c r="Y17" s="3374"/>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74"/>
      <c r="Q18" s="383"/>
      <c r="R18" s="448"/>
      <c r="S18" s="449"/>
      <c r="T18" s="448"/>
      <c r="U18" s="449"/>
      <c r="V18" s="448"/>
      <c r="W18" s="449"/>
      <c r="X18" s="443"/>
      <c r="Y18" s="3374"/>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4"/>
      <c r="Q19" s="383" t="str">
        <f>B19</f>
        <v>公共配套设施</v>
      </c>
      <c r="R19" s="448" t="s">
        <v>943</v>
      </c>
      <c r="S19" s="449">
        <f>F19</f>
        <v>100</v>
      </c>
      <c r="T19" s="448" t="s">
        <v>943</v>
      </c>
      <c r="U19" s="449">
        <f>H19</f>
        <v>100</v>
      </c>
      <c r="V19" s="448" t="s">
        <v>943</v>
      </c>
      <c r="W19" s="449">
        <f>J19</f>
        <v>100</v>
      </c>
      <c r="X19" s="443"/>
      <c r="Y19" s="3374"/>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74"/>
      <c r="Q20" s="383"/>
      <c r="R20" s="448"/>
      <c r="S20" s="449"/>
      <c r="T20" s="448"/>
      <c r="U20" s="449"/>
      <c r="V20" s="448"/>
      <c r="W20" s="449"/>
      <c r="X20" s="443"/>
      <c r="Y20" s="3374"/>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4"/>
      <c r="Q21" s="383" t="str">
        <f>B21</f>
        <v>基础设施水平</v>
      </c>
      <c r="R21" s="448" t="s">
        <v>943</v>
      </c>
      <c r="S21" s="449">
        <f>F21</f>
        <v>100</v>
      </c>
      <c r="T21" s="448" t="s">
        <v>943</v>
      </c>
      <c r="U21" s="449">
        <f>H21</f>
        <v>100</v>
      </c>
      <c r="V21" s="448" t="s">
        <v>943</v>
      </c>
      <c r="W21" s="449">
        <f>J21</f>
        <v>100</v>
      </c>
      <c r="X21" s="443"/>
      <c r="Y21" s="3374"/>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74"/>
      <c r="Q22" s="383"/>
      <c r="R22" s="448"/>
      <c r="S22" s="449"/>
      <c r="T22" s="448"/>
      <c r="U22" s="449"/>
      <c r="V22" s="448"/>
      <c r="W22" s="449"/>
      <c r="X22" s="443"/>
      <c r="Y22" s="3374"/>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4"/>
      <c r="Q23" s="383" t="str">
        <f>B23</f>
        <v>环境质量</v>
      </c>
      <c r="R23" s="448" t="s">
        <v>943</v>
      </c>
      <c r="S23" s="449">
        <f>F23</f>
        <v>100</v>
      </c>
      <c r="T23" s="448" t="s">
        <v>943</v>
      </c>
      <c r="U23" s="449">
        <f>H23</f>
        <v>100</v>
      </c>
      <c r="V23" s="448" t="s">
        <v>943</v>
      </c>
      <c r="W23" s="449">
        <f>J23</f>
        <v>100</v>
      </c>
      <c r="X23" s="443"/>
      <c r="Y23" s="3374"/>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74"/>
      <c r="Q24" s="383"/>
      <c r="R24" s="448"/>
      <c r="S24" s="449"/>
      <c r="T24" s="448"/>
      <c r="U24" s="449"/>
      <c r="V24" s="448"/>
      <c r="W24" s="449"/>
      <c r="X24" s="443"/>
      <c r="Y24" s="3374"/>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74"/>
      <c r="Q25" s="383" t="str">
        <f>B25</f>
        <v>毗邻道路的类型与等级</v>
      </c>
      <c r="R25" s="448" t="s">
        <v>943</v>
      </c>
      <c r="S25" s="449">
        <f>F25</f>
        <v>100</v>
      </c>
      <c r="T25" s="448" t="s">
        <v>943</v>
      </c>
      <c r="U25" s="449">
        <f>H25</f>
        <v>100</v>
      </c>
      <c r="V25" s="448" t="s">
        <v>943</v>
      </c>
      <c r="W25" s="449">
        <f>J25</f>
        <v>100</v>
      </c>
      <c r="X25" s="443"/>
      <c r="Y25" s="3374"/>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74"/>
      <c r="Q26" s="383"/>
      <c r="R26" s="448"/>
      <c r="S26" s="449"/>
      <c r="T26" s="448"/>
      <c r="U26" s="449"/>
      <c r="V26" s="448"/>
      <c r="W26" s="449"/>
      <c r="X26" s="443"/>
      <c r="Y26" s="3374"/>
      <c r="Z26" s="442"/>
      <c r="AA26" s="454">
        <v>1</v>
      </c>
      <c r="AB26" s="454">
        <v>1</v>
      </c>
      <c r="AC26" s="454">
        <v>1</v>
      </c>
    </row>
    <row r="27" spans="1:29" ht="15">
      <c r="A27" s="255"/>
      <c r="B27" s="267" t="s">
        <v>2398</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74"/>
      <c r="Q27" s="383" t="str">
        <f t="shared" ref="Q27:Q47" si="11">B27</f>
        <v>楼层</v>
      </c>
      <c r="R27" s="448" t="s">
        <v>943</v>
      </c>
      <c r="S27" s="449">
        <f>F27</f>
        <v>100</v>
      </c>
      <c r="T27" s="448" t="s">
        <v>943</v>
      </c>
      <c r="U27" s="449">
        <f>H27</f>
        <v>100</v>
      </c>
      <c r="V27" s="448" t="s">
        <v>943</v>
      </c>
      <c r="W27" s="449">
        <f>J27</f>
        <v>100</v>
      </c>
      <c r="X27" s="443"/>
      <c r="Y27" s="3374"/>
      <c r="Z27" s="442" t="str">
        <f>Q27</f>
        <v>楼层</v>
      </c>
      <c r="AA27" s="454">
        <f t="shared" si="3"/>
        <v>1</v>
      </c>
      <c r="AB27" s="454">
        <f t="shared" si="4"/>
        <v>1</v>
      </c>
      <c r="AC27" s="454">
        <f t="shared" si="5"/>
        <v>1</v>
      </c>
    </row>
    <row r="28" spans="1:29" s="190" customFormat="1" ht="15">
      <c r="A28" s="279"/>
      <c r="B28" s="502" t="s">
        <v>2313</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74"/>
      <c r="Q28" s="447" t="str">
        <f t="shared" si="11"/>
        <v>朝向</v>
      </c>
      <c r="R28" s="444" t="s">
        <v>943</v>
      </c>
      <c r="S28" s="445">
        <f>F28</f>
        <v>100</v>
      </c>
      <c r="T28" s="444" t="s">
        <v>943</v>
      </c>
      <c r="U28" s="445">
        <f>H28</f>
        <v>100</v>
      </c>
      <c r="V28" s="444" t="s">
        <v>943</v>
      </c>
      <c r="W28" s="445">
        <f>J28</f>
        <v>100</v>
      </c>
      <c r="X28" s="446"/>
      <c r="Y28" s="3374"/>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74"/>
      <c r="Q29" s="383">
        <f t="shared" si="11"/>
        <v>111</v>
      </c>
      <c r="R29" s="448" t="s">
        <v>943</v>
      </c>
      <c r="S29" s="449">
        <f t="shared" ref="S29:S47" si="12">F29</f>
        <v>100</v>
      </c>
      <c r="T29" s="448" t="s">
        <v>943</v>
      </c>
      <c r="U29" s="449">
        <f t="shared" ref="U29:U47" si="13">H29</f>
        <v>100</v>
      </c>
      <c r="V29" s="448" t="s">
        <v>943</v>
      </c>
      <c r="W29" s="449">
        <f t="shared" ref="W29:W47" si="14">J29</f>
        <v>100</v>
      </c>
      <c r="X29" s="443"/>
      <c r="Y29" s="3374"/>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74"/>
      <c r="Q30" s="383">
        <f t="shared" si="11"/>
        <v>111</v>
      </c>
      <c r="R30" s="448" t="s">
        <v>943</v>
      </c>
      <c r="S30" s="449">
        <f t="shared" si="12"/>
        <v>100</v>
      </c>
      <c r="T30" s="448" t="s">
        <v>943</v>
      </c>
      <c r="U30" s="449">
        <f t="shared" si="13"/>
        <v>100</v>
      </c>
      <c r="V30" s="448" t="s">
        <v>943</v>
      </c>
      <c r="W30" s="449">
        <f t="shared" si="14"/>
        <v>100</v>
      </c>
      <c r="X30" s="443"/>
      <c r="Y30" s="3374"/>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74"/>
      <c r="Q31" s="383">
        <f t="shared" si="11"/>
        <v>111</v>
      </c>
      <c r="R31" s="448" t="s">
        <v>943</v>
      </c>
      <c r="S31" s="449">
        <f t="shared" si="12"/>
        <v>100</v>
      </c>
      <c r="T31" s="448" t="s">
        <v>943</v>
      </c>
      <c r="U31" s="449">
        <f t="shared" si="13"/>
        <v>100</v>
      </c>
      <c r="V31" s="448" t="s">
        <v>943</v>
      </c>
      <c r="W31" s="449">
        <f t="shared" si="14"/>
        <v>100</v>
      </c>
      <c r="X31" s="443"/>
      <c r="Y31" s="3374"/>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74"/>
      <c r="Q32" s="383">
        <f t="shared" si="11"/>
        <v>111</v>
      </c>
      <c r="R32" s="448" t="s">
        <v>943</v>
      </c>
      <c r="S32" s="449">
        <f t="shared" si="12"/>
        <v>100</v>
      </c>
      <c r="T32" s="448" t="s">
        <v>943</v>
      </c>
      <c r="U32" s="449">
        <f t="shared" si="13"/>
        <v>100</v>
      </c>
      <c r="V32" s="448" t="s">
        <v>943</v>
      </c>
      <c r="W32" s="449">
        <f t="shared" si="14"/>
        <v>100</v>
      </c>
      <c r="X32" s="443"/>
      <c r="Y32" s="3374"/>
      <c r="Z32" s="442">
        <f t="shared" si="15"/>
        <v>111</v>
      </c>
      <c r="AA32" s="454">
        <f t="shared" si="3"/>
        <v>1</v>
      </c>
      <c r="AB32" s="454">
        <f t="shared" si="4"/>
        <v>1</v>
      </c>
      <c r="AC32" s="454">
        <f t="shared" si="5"/>
        <v>1</v>
      </c>
    </row>
    <row r="33" spans="1:29" ht="15">
      <c r="A33" s="283" t="s">
        <v>966</v>
      </c>
      <c r="B33" s="284" t="s">
        <v>2315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5" t="s">
        <v>965</v>
      </c>
      <c r="Q33" s="383" t="str">
        <f t="shared" si="11"/>
        <v>建筑类型</v>
      </c>
      <c r="R33" s="448" t="s">
        <v>943</v>
      </c>
      <c r="S33" s="449">
        <f t="shared" si="12"/>
        <v>100</v>
      </c>
      <c r="T33" s="448" t="s">
        <v>943</v>
      </c>
      <c r="U33" s="449">
        <f t="shared" si="13"/>
        <v>100</v>
      </c>
      <c r="V33" s="448" t="s">
        <v>943</v>
      </c>
      <c r="W33" s="449">
        <f t="shared" si="14"/>
        <v>100</v>
      </c>
      <c r="X33" s="443"/>
      <c r="Y33" s="3376" t="s">
        <v>965</v>
      </c>
      <c r="Z33" s="442" t="str">
        <f t="shared" si="15"/>
        <v>建筑类型</v>
      </c>
      <c r="AA33" s="454">
        <f t="shared" si="3"/>
        <v>1</v>
      </c>
      <c r="AB33" s="454">
        <f t="shared" si="4"/>
        <v>1</v>
      </c>
      <c r="AC33" s="454">
        <f t="shared" si="5"/>
        <v>1</v>
      </c>
    </row>
    <row r="34" spans="1:29" s="192" customFormat="1" ht="15">
      <c r="A34" s="288"/>
      <c r="B34" s="289" t="s">
        <v>2317</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76"/>
      <c r="Q34" s="450" t="str">
        <f t="shared" si="11"/>
        <v>项目建筑规模</v>
      </c>
      <c r="R34" s="451" t="s">
        <v>943</v>
      </c>
      <c r="S34" s="452" t="e">
        <f t="shared" si="12"/>
        <v>#N/A</v>
      </c>
      <c r="T34" s="451" t="s">
        <v>943</v>
      </c>
      <c r="U34" s="452" t="e">
        <f t="shared" si="13"/>
        <v>#N/A</v>
      </c>
      <c r="V34" s="451" t="s">
        <v>943</v>
      </c>
      <c r="W34" s="452" t="e">
        <f t="shared" si="14"/>
        <v>#N/A</v>
      </c>
      <c r="X34" s="453"/>
      <c r="Y34" s="3376"/>
      <c r="Z34" s="465" t="str">
        <f t="shared" si="15"/>
        <v>项目建筑规模</v>
      </c>
      <c r="AA34" s="454" t="e">
        <f t="shared" si="3"/>
        <v>#N/A</v>
      </c>
      <c r="AB34" s="454" t="e">
        <f t="shared" si="4"/>
        <v>#N/A</v>
      </c>
      <c r="AC34" s="454" t="e">
        <f t="shared" si="5"/>
        <v>#N/A</v>
      </c>
    </row>
    <row r="35" spans="1:29" ht="15">
      <c r="A35" s="293"/>
      <c r="B35" s="289" t="s">
        <v>2318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6"/>
      <c r="Q35" s="383" t="str">
        <f t="shared" si="11"/>
        <v>建筑结构</v>
      </c>
      <c r="R35" s="448" t="s">
        <v>943</v>
      </c>
      <c r="S35" s="449">
        <f t="shared" si="12"/>
        <v>100</v>
      </c>
      <c r="T35" s="448" t="s">
        <v>943</v>
      </c>
      <c r="U35" s="449">
        <f t="shared" si="13"/>
        <v>100</v>
      </c>
      <c r="V35" s="448" t="s">
        <v>943</v>
      </c>
      <c r="W35" s="449">
        <f t="shared" si="14"/>
        <v>100</v>
      </c>
      <c r="X35" s="443"/>
      <c r="Y35" s="3376"/>
      <c r="Z35" s="442" t="str">
        <f t="shared" si="15"/>
        <v>建筑结构</v>
      </c>
      <c r="AA35" s="454">
        <f t="shared" si="3"/>
        <v>1</v>
      </c>
      <c r="AB35" s="454">
        <f t="shared" si="4"/>
        <v>1</v>
      </c>
      <c r="AC35" s="454">
        <f t="shared" si="5"/>
        <v>1</v>
      </c>
    </row>
    <row r="36" spans="1:29" ht="15">
      <c r="A36" s="293"/>
      <c r="B36" s="289" t="s">
        <v>2320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6"/>
      <c r="Q36" s="383" t="str">
        <f t="shared" si="11"/>
        <v>公共部分装修</v>
      </c>
      <c r="R36" s="448" t="s">
        <v>943</v>
      </c>
      <c r="S36" s="449">
        <f t="shared" si="12"/>
        <v>100</v>
      </c>
      <c r="T36" s="448" t="s">
        <v>943</v>
      </c>
      <c r="U36" s="449">
        <f t="shared" si="13"/>
        <v>100</v>
      </c>
      <c r="V36" s="448" t="s">
        <v>943</v>
      </c>
      <c r="W36" s="449">
        <f t="shared" si="14"/>
        <v>100</v>
      </c>
      <c r="X36" s="443"/>
      <c r="Y36" s="3376"/>
      <c r="Z36" s="442" t="str">
        <f t="shared" si="15"/>
        <v>公共部分装修</v>
      </c>
      <c r="AA36" s="454">
        <f t="shared" si="3"/>
        <v>1</v>
      </c>
      <c r="AB36" s="454">
        <f t="shared" si="4"/>
        <v>1</v>
      </c>
      <c r="AC36" s="454">
        <f t="shared" si="5"/>
        <v>1</v>
      </c>
    </row>
    <row r="37" spans="1:29" ht="15">
      <c r="A37" s="293"/>
      <c r="B37" s="289" t="s">
        <v>2321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6"/>
      <c r="Q37" s="383" t="str">
        <f t="shared" si="11"/>
        <v>成新度</v>
      </c>
      <c r="R37" s="448" t="s">
        <v>943</v>
      </c>
      <c r="S37" s="449" t="e">
        <f t="shared" si="12"/>
        <v>#N/A</v>
      </c>
      <c r="T37" s="448" t="s">
        <v>943</v>
      </c>
      <c r="U37" s="449" t="e">
        <f t="shared" si="13"/>
        <v>#N/A</v>
      </c>
      <c r="V37" s="448" t="s">
        <v>943</v>
      </c>
      <c r="W37" s="449" t="e">
        <f t="shared" si="14"/>
        <v>#N/A</v>
      </c>
      <c r="X37" s="443"/>
      <c r="Y37" s="3376"/>
      <c r="Z37" s="442" t="str">
        <f t="shared" si="15"/>
        <v>成新度</v>
      </c>
      <c r="AA37" s="454" t="e">
        <f t="shared" si="3"/>
        <v>#N/A</v>
      </c>
      <c r="AB37" s="454" t="e">
        <f t="shared" si="4"/>
        <v>#N/A</v>
      </c>
      <c r="AC37" s="454" t="e">
        <f t="shared" si="5"/>
        <v>#N/A</v>
      </c>
    </row>
    <row r="38" spans="1:29" s="190" customFormat="1" ht="15">
      <c r="A38" s="296"/>
      <c r="B38" s="289" t="s">
        <v>2406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6"/>
      <c r="Q38" s="447" t="str">
        <f t="shared" si="11"/>
        <v>写字楼等级</v>
      </c>
      <c r="R38" s="444" t="s">
        <v>943</v>
      </c>
      <c r="S38" s="445">
        <f t="shared" si="12"/>
        <v>100</v>
      </c>
      <c r="T38" s="444" t="s">
        <v>943</v>
      </c>
      <c r="U38" s="445">
        <f t="shared" si="13"/>
        <v>100</v>
      </c>
      <c r="V38" s="444" t="s">
        <v>943</v>
      </c>
      <c r="W38" s="445">
        <f t="shared" si="14"/>
        <v>100</v>
      </c>
      <c r="X38" s="446"/>
      <c r="Y38" s="3376"/>
      <c r="Z38" s="464" t="str">
        <f t="shared" si="15"/>
        <v>写字楼等级</v>
      </c>
      <c r="AA38" s="463">
        <f t="shared" si="3"/>
        <v>1</v>
      </c>
      <c r="AB38" s="463">
        <f t="shared" si="4"/>
        <v>1</v>
      </c>
      <c r="AC38" s="463">
        <f t="shared" si="5"/>
        <v>1</v>
      </c>
    </row>
    <row r="39" spans="1:29" ht="15">
      <c r="A39" s="293"/>
      <c r="B39" s="289" t="s">
        <v>2322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6" t="s">
        <v>965</v>
      </c>
      <c r="Q39" s="383" t="str">
        <f t="shared" si="11"/>
        <v>物业管理</v>
      </c>
      <c r="R39" s="448" t="s">
        <v>943</v>
      </c>
      <c r="S39" s="449">
        <f t="shared" si="12"/>
        <v>100</v>
      </c>
      <c r="T39" s="448" t="s">
        <v>943</v>
      </c>
      <c r="U39" s="449">
        <f t="shared" si="13"/>
        <v>100</v>
      </c>
      <c r="V39" s="448" t="s">
        <v>943</v>
      </c>
      <c r="W39" s="449">
        <f t="shared" si="14"/>
        <v>100</v>
      </c>
      <c r="X39" s="443"/>
      <c r="Y39" s="3376" t="s">
        <v>965</v>
      </c>
      <c r="Z39" s="442" t="str">
        <f t="shared" si="15"/>
        <v>物业管理</v>
      </c>
      <c r="AA39" s="454">
        <f t="shared" si="3"/>
        <v>1</v>
      </c>
      <c r="AB39" s="454">
        <f t="shared" si="4"/>
        <v>1</v>
      </c>
      <c r="AC39" s="454">
        <f t="shared" si="5"/>
        <v>1</v>
      </c>
    </row>
    <row r="40" spans="1:29" ht="15">
      <c r="A40" s="293"/>
      <c r="B40" s="545" t="s">
        <v>2323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6"/>
      <c r="Q40" s="383" t="str">
        <f t="shared" si="11"/>
        <v>市政基础设施</v>
      </c>
      <c r="R40" s="448" t="s">
        <v>943</v>
      </c>
      <c r="S40" s="449">
        <f t="shared" si="12"/>
        <v>100</v>
      </c>
      <c r="T40" s="448" t="s">
        <v>943</v>
      </c>
      <c r="U40" s="449">
        <f t="shared" si="13"/>
        <v>100</v>
      </c>
      <c r="V40" s="448" t="s">
        <v>943</v>
      </c>
      <c r="W40" s="449">
        <f t="shared" si="14"/>
        <v>100</v>
      </c>
      <c r="X40" s="443"/>
      <c r="Y40" s="3376"/>
      <c r="Z40" s="442" t="str">
        <f t="shared" si="15"/>
        <v>市政基础设施</v>
      </c>
      <c r="AA40" s="454">
        <f t="shared" si="3"/>
        <v>1</v>
      </c>
      <c r="AB40" s="454">
        <f t="shared" si="4"/>
        <v>1</v>
      </c>
      <c r="AC40" s="454">
        <f t="shared" si="5"/>
        <v>1</v>
      </c>
    </row>
    <row r="41" spans="1:29" ht="15">
      <c r="A41" s="293"/>
      <c r="B41" s="289" t="s">
        <v>2401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6"/>
      <c r="Q41" s="383" t="str">
        <f t="shared" si="11"/>
        <v>层高</v>
      </c>
      <c r="R41" s="448" t="s">
        <v>943</v>
      </c>
      <c r="S41" s="449">
        <f t="shared" si="12"/>
        <v>100</v>
      </c>
      <c r="T41" s="448" t="s">
        <v>943</v>
      </c>
      <c r="U41" s="449">
        <f t="shared" si="13"/>
        <v>100</v>
      </c>
      <c r="V41" s="448" t="s">
        <v>943</v>
      </c>
      <c r="W41" s="449">
        <f t="shared" si="14"/>
        <v>100</v>
      </c>
      <c r="X41" s="443"/>
      <c r="Y41" s="3376"/>
      <c r="Z41" s="442" t="str">
        <f t="shared" si="15"/>
        <v>层高</v>
      </c>
      <c r="AA41" s="454">
        <f t="shared" si="3"/>
        <v>1</v>
      </c>
      <c r="AB41" s="454">
        <f t="shared" si="4"/>
        <v>1</v>
      </c>
      <c r="AC41" s="454">
        <f t="shared" si="5"/>
        <v>1</v>
      </c>
    </row>
    <row r="42" spans="1:29" s="192" customFormat="1" ht="15">
      <c r="A42" s="288"/>
      <c r="B42" s="401" t="s">
        <v>2407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6"/>
      <c r="Q42" s="450" t="str">
        <f t="shared" si="11"/>
        <v>单套建筑面积</v>
      </c>
      <c r="R42" s="451" t="s">
        <v>943</v>
      </c>
      <c r="S42" s="452">
        <f t="shared" si="12"/>
        <v>100</v>
      </c>
      <c r="T42" s="451" t="s">
        <v>943</v>
      </c>
      <c r="U42" s="452">
        <f t="shared" si="13"/>
        <v>100</v>
      </c>
      <c r="V42" s="451" t="s">
        <v>943</v>
      </c>
      <c r="W42" s="452">
        <f t="shared" si="14"/>
        <v>100</v>
      </c>
      <c r="X42" s="453"/>
      <c r="Y42" s="3376"/>
      <c r="Z42" s="465" t="str">
        <f t="shared" si="15"/>
        <v>单套建筑面积</v>
      </c>
      <c r="AA42" s="454">
        <f t="shared" si="3"/>
        <v>1</v>
      </c>
      <c r="AB42" s="454">
        <f t="shared" si="4"/>
        <v>1</v>
      </c>
      <c r="AC42" s="454">
        <f t="shared" si="5"/>
        <v>1</v>
      </c>
    </row>
    <row r="43" spans="1:29" ht="15">
      <c r="A43" s="293"/>
      <c r="B43" s="289" t="s">
        <v>2326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6"/>
      <c r="Q43" s="383" t="str">
        <f t="shared" si="11"/>
        <v>内部装修</v>
      </c>
      <c r="R43" s="448" t="s">
        <v>943</v>
      </c>
      <c r="S43" s="449">
        <f t="shared" si="12"/>
        <v>100</v>
      </c>
      <c r="T43" s="448" t="s">
        <v>943</v>
      </c>
      <c r="U43" s="449">
        <f t="shared" si="13"/>
        <v>100</v>
      </c>
      <c r="V43" s="448" t="s">
        <v>943</v>
      </c>
      <c r="W43" s="449">
        <f t="shared" si="14"/>
        <v>100</v>
      </c>
      <c r="X43" s="443"/>
      <c r="Y43" s="3376"/>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76"/>
      <c r="Q44" s="383" t="str">
        <f t="shared" si="11"/>
        <v>内部装修维护情况</v>
      </c>
      <c r="R44" s="448" t="s">
        <v>943</v>
      </c>
      <c r="S44" s="449">
        <f t="shared" si="12"/>
        <v>100</v>
      </c>
      <c r="T44" s="448" t="s">
        <v>943</v>
      </c>
      <c r="U44" s="449">
        <f t="shared" si="13"/>
        <v>100</v>
      </c>
      <c r="V44" s="448" t="s">
        <v>943</v>
      </c>
      <c r="W44" s="449">
        <f t="shared" si="14"/>
        <v>100</v>
      </c>
      <c r="X44" s="443"/>
      <c r="Y44" s="3376"/>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6"/>
      <c r="Q45" s="447">
        <f t="shared" si="11"/>
        <v>111</v>
      </c>
      <c r="R45" s="444" t="s">
        <v>943</v>
      </c>
      <c r="S45" s="445">
        <f t="shared" si="12"/>
        <v>100</v>
      </c>
      <c r="T45" s="444" t="s">
        <v>943</v>
      </c>
      <c r="U45" s="445">
        <f t="shared" si="13"/>
        <v>100</v>
      </c>
      <c r="V45" s="444" t="s">
        <v>943</v>
      </c>
      <c r="W45" s="445">
        <f t="shared" si="14"/>
        <v>100</v>
      </c>
      <c r="X45" s="446"/>
      <c r="Y45" s="3376"/>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6"/>
      <c r="Q46" s="383">
        <f t="shared" si="11"/>
        <v>111</v>
      </c>
      <c r="R46" s="448" t="s">
        <v>943</v>
      </c>
      <c r="S46" s="449">
        <f t="shared" si="12"/>
        <v>100</v>
      </c>
      <c r="T46" s="448" t="s">
        <v>943</v>
      </c>
      <c r="U46" s="449">
        <f t="shared" si="13"/>
        <v>100</v>
      </c>
      <c r="V46" s="448" t="s">
        <v>943</v>
      </c>
      <c r="W46" s="449">
        <f t="shared" si="14"/>
        <v>100</v>
      </c>
      <c r="X46" s="443"/>
      <c r="Y46" s="3376"/>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68"/>
      <c r="Q47" s="383">
        <f t="shared" si="11"/>
        <v>111</v>
      </c>
      <c r="R47" s="448" t="s">
        <v>943</v>
      </c>
      <c r="S47" s="449">
        <f t="shared" si="12"/>
        <v>100</v>
      </c>
      <c r="T47" s="448" t="s">
        <v>943</v>
      </c>
      <c r="U47" s="449">
        <f t="shared" si="13"/>
        <v>100</v>
      </c>
      <c r="V47" s="448" t="s">
        <v>943</v>
      </c>
      <c r="W47" s="449">
        <f t="shared" si="14"/>
        <v>100</v>
      </c>
      <c r="X47" s="443"/>
      <c r="Y47" s="3468"/>
      <c r="Z47" s="442">
        <f t="shared" si="15"/>
        <v>111</v>
      </c>
      <c r="AA47" s="454">
        <f t="shared" si="3"/>
        <v>1</v>
      </c>
      <c r="AB47" s="454">
        <f t="shared" si="4"/>
        <v>1</v>
      </c>
      <c r="AC47" s="454">
        <f t="shared" si="5"/>
        <v>1</v>
      </c>
    </row>
    <row r="48" spans="1:29" ht="15">
      <c r="A48" s="303" t="s">
        <v>2329</v>
      </c>
      <c r="B48" s="304"/>
      <c r="C48" s="305" t="s">
        <v>138</v>
      </c>
      <c r="D48" s="306"/>
      <c r="E48" s="307"/>
      <c r="F48" s="308"/>
      <c r="G48" s="309"/>
      <c r="H48" s="310"/>
      <c r="I48" s="307"/>
      <c r="J48" s="310"/>
      <c r="K48" s="397"/>
      <c r="L48" s="398"/>
      <c r="M48" s="378"/>
      <c r="N48" s="378"/>
      <c r="O48" s="378"/>
      <c r="P48" s="3379" t="str">
        <f>A48</f>
        <v>成交单价（元/平方米）</v>
      </c>
      <c r="Q48" s="3372"/>
      <c r="R48" s="3466">
        <f>E48</f>
        <v>0</v>
      </c>
      <c r="S48" s="3466"/>
      <c r="T48" s="3466">
        <f>G48</f>
        <v>0</v>
      </c>
      <c r="U48" s="3466"/>
      <c r="V48" s="3466">
        <f>I48</f>
        <v>0</v>
      </c>
      <c r="W48" s="3466"/>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79" t="str">
        <f>A49</f>
        <v>比较价格（元/平方米）</v>
      </c>
      <c r="Q49" s="3372"/>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76" t="str">
        <f>A50</f>
        <v>估价对象XX用房的比较价格（楼面单价，元/平方米）</v>
      </c>
      <c r="Q50" s="3379"/>
      <c r="R50" s="3467" t="e">
        <f>IF(F1="售价",ROUND(AVERAGE(R49:V49),0),ROUND(AVERAGE(R49:V49),1))</f>
        <v>#DIV/0!</v>
      </c>
      <c r="S50" s="3467"/>
      <c r="T50" s="3467"/>
      <c r="U50" s="3467"/>
      <c r="V50" s="3467"/>
      <c r="W50" s="3467"/>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1238</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2330</v>
      </c>
      <c r="D66" s="356" t="s">
        <v>2331</v>
      </c>
      <c r="E66" s="356" t="s">
        <v>2332</v>
      </c>
      <c r="F66" s="356" t="s">
        <v>2333</v>
      </c>
      <c r="G66" s="356" t="s">
        <v>2334</v>
      </c>
      <c r="H66" s="356" t="s">
        <v>2335</v>
      </c>
      <c r="I66" s="356" t="s">
        <v>2336</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2315</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2317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2318</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2320</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2321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2406</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2322</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2323</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2408</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2402</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2326</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1231</v>
      </c>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2305</v>
      </c>
      <c r="B3" s="211" t="e">
        <f>C43</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86" t="s">
        <v>931</v>
      </c>
      <c r="D4" s="3387"/>
      <c r="E4" s="3397" t="s">
        <v>932</v>
      </c>
      <c r="F4" s="3398"/>
      <c r="G4" s="3386" t="s">
        <v>933</v>
      </c>
      <c r="H4" s="3387"/>
      <c r="I4" s="3386" t="s">
        <v>934</v>
      </c>
      <c r="J4" s="3387"/>
      <c r="K4" s="376" t="s">
        <v>935</v>
      </c>
      <c r="L4" s="377"/>
      <c r="M4" s="378"/>
      <c r="N4" s="378"/>
      <c r="O4" s="378"/>
      <c r="P4" s="3356" t="s">
        <v>936</v>
      </c>
      <c r="Q4" s="3357"/>
      <c r="R4" s="3362" t="s">
        <v>932</v>
      </c>
      <c r="S4" s="3363"/>
      <c r="T4" s="3362" t="s">
        <v>933</v>
      </c>
      <c r="U4" s="3363"/>
      <c r="V4" s="3368" t="s">
        <v>934</v>
      </c>
      <c r="W4" s="3368"/>
      <c r="X4" s="443"/>
      <c r="Y4" s="3362" t="s">
        <v>936</v>
      </c>
      <c r="Z4" s="3363"/>
      <c r="AA4" s="3349" t="s">
        <v>932</v>
      </c>
      <c r="AB4" s="3350" t="s">
        <v>933</v>
      </c>
      <c r="AC4" s="3349" t="s">
        <v>934</v>
      </c>
    </row>
    <row r="5" spans="1:29" ht="15">
      <c r="A5" s="216"/>
      <c r="B5" s="217"/>
      <c r="C5" s="3388" t="s">
        <v>937</v>
      </c>
      <c r="D5" s="3389"/>
      <c r="E5" s="3399" t="s">
        <v>1232</v>
      </c>
      <c r="F5" s="3400"/>
      <c r="G5" s="3388" t="s">
        <v>1233</v>
      </c>
      <c r="H5" s="3389"/>
      <c r="I5" s="3388" t="s">
        <v>1234</v>
      </c>
      <c r="J5" s="3389"/>
      <c r="K5" s="376"/>
      <c r="L5" s="377"/>
      <c r="M5" s="378"/>
      <c r="N5" s="378"/>
      <c r="O5" s="378"/>
      <c r="P5" s="3358"/>
      <c r="Q5" s="3359"/>
      <c r="R5" s="3364"/>
      <c r="S5" s="3365"/>
      <c r="T5" s="3364"/>
      <c r="U5" s="3365"/>
      <c r="V5" s="3368"/>
      <c r="W5" s="3368"/>
      <c r="X5" s="443"/>
      <c r="Y5" s="3364"/>
      <c r="Z5" s="3365"/>
      <c r="AA5" s="3350"/>
      <c r="AB5" s="3350"/>
      <c r="AC5" s="3350"/>
    </row>
    <row r="6" spans="1:29" ht="15">
      <c r="A6" s="218"/>
      <c r="B6" s="219"/>
      <c r="C6" s="3383" t="s">
        <v>939</v>
      </c>
      <c r="D6" s="3384"/>
      <c r="E6" s="3395" t="s">
        <v>939</v>
      </c>
      <c r="F6" s="3396"/>
      <c r="G6" s="3383" t="s">
        <v>939</v>
      </c>
      <c r="H6" s="3384"/>
      <c r="I6" s="3383" t="s">
        <v>939</v>
      </c>
      <c r="J6" s="3384"/>
      <c r="K6" s="376" t="s">
        <v>940</v>
      </c>
      <c r="L6" s="377"/>
      <c r="M6" s="378"/>
      <c r="N6" s="378"/>
      <c r="O6" s="378"/>
      <c r="P6" s="3360"/>
      <c r="Q6" s="3361"/>
      <c r="R6" s="3364"/>
      <c r="S6" s="3365"/>
      <c r="T6" s="3366"/>
      <c r="U6" s="3367"/>
      <c r="V6" s="3368"/>
      <c r="W6" s="3368"/>
      <c r="X6" s="443"/>
      <c r="Y6" s="3366"/>
      <c r="Z6" s="3367"/>
      <c r="AA6" s="3351"/>
      <c r="AB6" s="3351"/>
      <c r="AC6" s="3351"/>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69" t="s">
        <v>942</v>
      </c>
      <c r="Q7" s="3385"/>
      <c r="R7" s="444" t="s">
        <v>943</v>
      </c>
      <c r="S7" s="445">
        <f t="shared" ref="S7:S15" si="0">F7</f>
        <v>0</v>
      </c>
      <c r="T7" s="444" t="s">
        <v>943</v>
      </c>
      <c r="U7" s="445">
        <f t="shared" ref="U7:U15" si="1">H7</f>
        <v>0</v>
      </c>
      <c r="V7" s="444" t="s">
        <v>943</v>
      </c>
      <c r="W7" s="445">
        <f t="shared" ref="W7:W15" si="2">J7</f>
        <v>0</v>
      </c>
      <c r="X7" s="446"/>
      <c r="Y7" s="3369" t="s">
        <v>942</v>
      </c>
      <c r="Z7" s="3370"/>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9" t="s">
        <v>948</v>
      </c>
      <c r="Q8" s="3370"/>
      <c r="R8" s="444" t="s">
        <v>943</v>
      </c>
      <c r="S8" s="445">
        <f t="shared" si="0"/>
        <v>0</v>
      </c>
      <c r="T8" s="444" t="s">
        <v>943</v>
      </c>
      <c r="U8" s="445">
        <f t="shared" si="1"/>
        <v>0</v>
      </c>
      <c r="V8" s="444" t="s">
        <v>943</v>
      </c>
      <c r="W8" s="445">
        <f t="shared" si="2"/>
        <v>0</v>
      </c>
      <c r="X8" s="446"/>
      <c r="Y8" s="3369" t="s">
        <v>948</v>
      </c>
      <c r="Z8" s="3370"/>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72" t="s">
        <v>950</v>
      </c>
      <c r="Q9" s="447" t="str">
        <f t="shared" ref="Q9:Q15" si="6">B9</f>
        <v>用途</v>
      </c>
      <c r="R9" s="444" t="s">
        <v>943</v>
      </c>
      <c r="S9" s="445">
        <f t="shared" si="0"/>
        <v>100</v>
      </c>
      <c r="T9" s="444" t="s">
        <v>943</v>
      </c>
      <c r="U9" s="445">
        <f t="shared" si="1"/>
        <v>100</v>
      </c>
      <c r="V9" s="444" t="s">
        <v>943</v>
      </c>
      <c r="W9" s="445">
        <f t="shared" si="2"/>
        <v>100</v>
      </c>
      <c r="X9" s="446"/>
      <c r="Y9" s="3282"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72"/>
      <c r="Q11" s="447" t="str">
        <f t="shared" si="6"/>
        <v>容积率</v>
      </c>
      <c r="R11" s="444" t="s">
        <v>943</v>
      </c>
      <c r="S11" s="445" t="e">
        <f t="shared" si="0"/>
        <v>#N/A</v>
      </c>
      <c r="T11" s="444" t="s">
        <v>943</v>
      </c>
      <c r="U11" s="445" t="e">
        <f t="shared" si="1"/>
        <v>#N/A</v>
      </c>
      <c r="V11" s="444" t="s">
        <v>943</v>
      </c>
      <c r="W11" s="445" t="e">
        <f t="shared" si="2"/>
        <v>#N/A</v>
      </c>
      <c r="X11" s="446"/>
      <c r="Y11" s="328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72"/>
      <c r="Q14" s="447">
        <f t="shared" si="6"/>
        <v>111</v>
      </c>
      <c r="R14" s="444" t="s">
        <v>943</v>
      </c>
      <c r="S14" s="445">
        <f t="shared" si="0"/>
        <v>100</v>
      </c>
      <c r="T14" s="444" t="s">
        <v>943</v>
      </c>
      <c r="U14" s="445">
        <f t="shared" si="1"/>
        <v>100</v>
      </c>
      <c r="V14" s="444" t="s">
        <v>943</v>
      </c>
      <c r="W14" s="445">
        <f t="shared" si="2"/>
        <v>100</v>
      </c>
      <c r="X14" s="446"/>
      <c r="Y14" s="3282"/>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3" t="s">
        <v>957</v>
      </c>
      <c r="Q15" s="383" t="str">
        <f t="shared" si="6"/>
        <v>产业集聚程度</v>
      </c>
      <c r="R15" s="448" t="s">
        <v>943</v>
      </c>
      <c r="S15" s="449">
        <f t="shared" si="0"/>
        <v>100</v>
      </c>
      <c r="T15" s="448" t="s">
        <v>943</v>
      </c>
      <c r="U15" s="449">
        <f t="shared" si="1"/>
        <v>100</v>
      </c>
      <c r="V15" s="448" t="s">
        <v>943</v>
      </c>
      <c r="W15" s="449">
        <f t="shared" si="2"/>
        <v>100</v>
      </c>
      <c r="X15" s="443"/>
      <c r="Y15" s="3373"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4"/>
      <c r="Q16" s="383"/>
      <c r="R16" s="448"/>
      <c r="S16" s="449"/>
      <c r="T16" s="448"/>
      <c r="U16" s="449"/>
      <c r="V16" s="448"/>
      <c r="W16" s="449"/>
      <c r="X16" s="443"/>
      <c r="Y16" s="3374"/>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4"/>
      <c r="Q17" s="383" t="str">
        <f>B17</f>
        <v>交通便捷度</v>
      </c>
      <c r="R17" s="448" t="s">
        <v>943</v>
      </c>
      <c r="S17" s="449">
        <f>F17</f>
        <v>100</v>
      </c>
      <c r="T17" s="448" t="s">
        <v>943</v>
      </c>
      <c r="U17" s="449">
        <f>H17</f>
        <v>100</v>
      </c>
      <c r="V17" s="448" t="s">
        <v>943</v>
      </c>
      <c r="W17" s="449">
        <f>J17</f>
        <v>100</v>
      </c>
      <c r="X17" s="443"/>
      <c r="Y17" s="3374"/>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4"/>
      <c r="Q18" s="383"/>
      <c r="R18" s="448"/>
      <c r="S18" s="449"/>
      <c r="T18" s="448"/>
      <c r="U18" s="449"/>
      <c r="V18" s="448"/>
      <c r="W18" s="449"/>
      <c r="X18" s="443"/>
      <c r="Y18" s="3374"/>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4"/>
      <c r="Q19" s="383" t="str">
        <f>B19</f>
        <v>公共配套设施</v>
      </c>
      <c r="R19" s="448" t="s">
        <v>943</v>
      </c>
      <c r="S19" s="449">
        <f>F19</f>
        <v>100</v>
      </c>
      <c r="T19" s="448" t="s">
        <v>943</v>
      </c>
      <c r="U19" s="449">
        <f>H19</f>
        <v>100</v>
      </c>
      <c r="V19" s="448" t="s">
        <v>943</v>
      </c>
      <c r="W19" s="449">
        <f>J19</f>
        <v>100</v>
      </c>
      <c r="X19" s="443"/>
      <c r="Y19" s="3374"/>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74"/>
      <c r="Q20" s="383"/>
      <c r="R20" s="448"/>
      <c r="S20" s="449"/>
      <c r="T20" s="448"/>
      <c r="U20" s="449"/>
      <c r="V20" s="448"/>
      <c r="W20" s="449"/>
      <c r="X20" s="443"/>
      <c r="Y20" s="3374"/>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4"/>
      <c r="Q21" s="383" t="str">
        <f>B21</f>
        <v>基础设施水平</v>
      </c>
      <c r="R21" s="448" t="s">
        <v>943</v>
      </c>
      <c r="S21" s="449">
        <f>F21</f>
        <v>100</v>
      </c>
      <c r="T21" s="448" t="s">
        <v>943</v>
      </c>
      <c r="U21" s="449">
        <f>H21</f>
        <v>100</v>
      </c>
      <c r="V21" s="448" t="s">
        <v>943</v>
      </c>
      <c r="W21" s="449">
        <f>J21</f>
        <v>100</v>
      </c>
      <c r="X21" s="443"/>
      <c r="Y21" s="3374"/>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4"/>
      <c r="Q22" s="383"/>
      <c r="R22" s="448"/>
      <c r="S22" s="449"/>
      <c r="T22" s="448"/>
      <c r="U22" s="449"/>
      <c r="V22" s="448"/>
      <c r="W22" s="449"/>
      <c r="X22" s="443"/>
      <c r="Y22" s="3374"/>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4"/>
      <c r="Q23" s="383" t="str">
        <f>B23</f>
        <v>环境质量</v>
      </c>
      <c r="R23" s="448" t="s">
        <v>943</v>
      </c>
      <c r="S23" s="449">
        <f>F23</f>
        <v>100</v>
      </c>
      <c r="T23" s="448" t="s">
        <v>943</v>
      </c>
      <c r="U23" s="449">
        <f>H23</f>
        <v>100</v>
      </c>
      <c r="V23" s="448" t="s">
        <v>943</v>
      </c>
      <c r="W23" s="449">
        <f>J23</f>
        <v>100</v>
      </c>
      <c r="X23" s="443"/>
      <c r="Y23" s="3374"/>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74"/>
      <c r="Q24" s="383"/>
      <c r="R24" s="448"/>
      <c r="S24" s="449"/>
      <c r="T24" s="448"/>
      <c r="U24" s="449"/>
      <c r="V24" s="448"/>
      <c r="W24" s="449"/>
      <c r="X24" s="443"/>
      <c r="Y24" s="3374"/>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4"/>
      <c r="Q25" s="383">
        <f>B25</f>
        <v>111</v>
      </c>
      <c r="R25" s="448" t="s">
        <v>943</v>
      </c>
      <c r="S25" s="449">
        <f>F25</f>
        <v>100</v>
      </c>
      <c r="T25" s="448" t="s">
        <v>943</v>
      </c>
      <c r="U25" s="449">
        <f>H25</f>
        <v>100</v>
      </c>
      <c r="V25" s="448" t="s">
        <v>943</v>
      </c>
      <c r="W25" s="449">
        <f>J25</f>
        <v>100</v>
      </c>
      <c r="X25" s="443"/>
      <c r="Y25" s="3374"/>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4"/>
      <c r="Q26" s="383">
        <f t="shared" ref="Q26:Q40" si="11">B26</f>
        <v>111</v>
      </c>
      <c r="R26" s="448" t="s">
        <v>943</v>
      </c>
      <c r="S26" s="449">
        <f>F26</f>
        <v>100</v>
      </c>
      <c r="T26" s="448" t="s">
        <v>943</v>
      </c>
      <c r="U26" s="449">
        <f>H26</f>
        <v>100</v>
      </c>
      <c r="V26" s="448" t="s">
        <v>943</v>
      </c>
      <c r="W26" s="449">
        <f>J26</f>
        <v>100</v>
      </c>
      <c r="X26" s="443"/>
      <c r="Y26" s="3374"/>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74"/>
      <c r="Q27" s="447">
        <f t="shared" si="11"/>
        <v>111</v>
      </c>
      <c r="R27" s="444" t="s">
        <v>943</v>
      </c>
      <c r="S27" s="445">
        <f>F27</f>
        <v>100</v>
      </c>
      <c r="T27" s="444" t="s">
        <v>943</v>
      </c>
      <c r="U27" s="445">
        <f>H27</f>
        <v>100</v>
      </c>
      <c r="V27" s="444" t="s">
        <v>943</v>
      </c>
      <c r="W27" s="445">
        <f>J27</f>
        <v>100</v>
      </c>
      <c r="X27" s="446"/>
      <c r="Y27" s="3374"/>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4"/>
      <c r="Q28" s="383">
        <f t="shared" si="11"/>
        <v>111</v>
      </c>
      <c r="R28" s="448" t="s">
        <v>943</v>
      </c>
      <c r="S28" s="449">
        <f t="shared" ref="S28:S40" si="12">F28</f>
        <v>100</v>
      </c>
      <c r="T28" s="448" t="s">
        <v>943</v>
      </c>
      <c r="U28" s="449">
        <f t="shared" ref="U28:U40" si="13">H28</f>
        <v>100</v>
      </c>
      <c r="V28" s="448" t="s">
        <v>943</v>
      </c>
      <c r="W28" s="449">
        <f t="shared" ref="W28:W40" si="14">J28</f>
        <v>100</v>
      </c>
      <c r="X28" s="443"/>
      <c r="Y28" s="3374"/>
      <c r="Z28" s="442">
        <f t="shared" ref="Z28:Z40" si="15">Q28</f>
        <v>111</v>
      </c>
      <c r="AA28" s="454">
        <f t="shared" si="3"/>
        <v>1</v>
      </c>
      <c r="AB28" s="454">
        <f t="shared" si="4"/>
        <v>1</v>
      </c>
      <c r="AC28" s="454">
        <f t="shared" si="5"/>
        <v>1</v>
      </c>
    </row>
    <row r="29" spans="1:29" ht="15">
      <c r="A29" s="283" t="s">
        <v>966</v>
      </c>
      <c r="B29" s="284" t="s">
        <v>2315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5" t="s">
        <v>965</v>
      </c>
      <c r="Q29" s="383" t="str">
        <f t="shared" si="11"/>
        <v>建筑类型</v>
      </c>
      <c r="R29" s="448" t="s">
        <v>943</v>
      </c>
      <c r="S29" s="449">
        <f t="shared" si="12"/>
        <v>100</v>
      </c>
      <c r="T29" s="448" t="s">
        <v>943</v>
      </c>
      <c r="U29" s="449">
        <f t="shared" si="13"/>
        <v>100</v>
      </c>
      <c r="V29" s="448" t="s">
        <v>943</v>
      </c>
      <c r="W29" s="449">
        <f t="shared" si="14"/>
        <v>100</v>
      </c>
      <c r="X29" s="443"/>
      <c r="Y29" s="3376" t="s">
        <v>965</v>
      </c>
      <c r="Z29" s="442" t="str">
        <f t="shared" si="15"/>
        <v>建筑类型</v>
      </c>
      <c r="AA29" s="454">
        <f t="shared" si="3"/>
        <v>1</v>
      </c>
      <c r="AB29" s="454">
        <f t="shared" si="4"/>
        <v>1</v>
      </c>
      <c r="AC29" s="454">
        <f t="shared" si="5"/>
        <v>1</v>
      </c>
    </row>
    <row r="30" spans="1:29" s="192" customFormat="1" ht="15">
      <c r="A30" s="288"/>
      <c r="B30" s="289" t="s">
        <v>2317</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76"/>
      <c r="Q30" s="450" t="str">
        <f t="shared" si="11"/>
        <v>项目建筑规模</v>
      </c>
      <c r="R30" s="451" t="s">
        <v>943</v>
      </c>
      <c r="S30" s="452" t="e">
        <f t="shared" si="12"/>
        <v>#N/A</v>
      </c>
      <c r="T30" s="451" t="s">
        <v>943</v>
      </c>
      <c r="U30" s="452" t="e">
        <f t="shared" si="13"/>
        <v>#N/A</v>
      </c>
      <c r="V30" s="451" t="s">
        <v>943</v>
      </c>
      <c r="W30" s="452" t="e">
        <f t="shared" si="14"/>
        <v>#N/A</v>
      </c>
      <c r="X30" s="453"/>
      <c r="Y30" s="3376"/>
      <c r="Z30" s="465" t="str">
        <f t="shared" si="15"/>
        <v>项目建筑规模</v>
      </c>
      <c r="AA30" s="454" t="e">
        <f t="shared" si="3"/>
        <v>#N/A</v>
      </c>
      <c r="AB30" s="454" t="e">
        <f t="shared" si="4"/>
        <v>#N/A</v>
      </c>
      <c r="AC30" s="454" t="e">
        <f t="shared" si="5"/>
        <v>#N/A</v>
      </c>
    </row>
    <row r="31" spans="1:29" ht="15">
      <c r="A31" s="293"/>
      <c r="B31" s="289" t="s">
        <v>2318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6"/>
      <c r="Q31" s="383" t="str">
        <f t="shared" si="11"/>
        <v>建筑结构</v>
      </c>
      <c r="R31" s="448" t="s">
        <v>943</v>
      </c>
      <c r="S31" s="449">
        <f t="shared" si="12"/>
        <v>100</v>
      </c>
      <c r="T31" s="448" t="s">
        <v>943</v>
      </c>
      <c r="U31" s="449">
        <f t="shared" si="13"/>
        <v>100</v>
      </c>
      <c r="V31" s="448" t="s">
        <v>943</v>
      </c>
      <c r="W31" s="449">
        <f t="shared" si="14"/>
        <v>100</v>
      </c>
      <c r="X31" s="443"/>
      <c r="Y31" s="3376"/>
      <c r="Z31" s="442" t="str">
        <f t="shared" si="15"/>
        <v>建筑结构</v>
      </c>
      <c r="AA31" s="454">
        <f t="shared" si="3"/>
        <v>1</v>
      </c>
      <c r="AB31" s="454">
        <f t="shared" si="4"/>
        <v>1</v>
      </c>
      <c r="AC31" s="454">
        <f t="shared" si="5"/>
        <v>1</v>
      </c>
    </row>
    <row r="32" spans="1:29" ht="15">
      <c r="A32" s="293"/>
      <c r="B32" s="289" t="s">
        <v>2320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6"/>
      <c r="Q32" s="383" t="str">
        <f t="shared" si="11"/>
        <v>公共部分装修</v>
      </c>
      <c r="R32" s="448" t="s">
        <v>943</v>
      </c>
      <c r="S32" s="449">
        <f t="shared" si="12"/>
        <v>100</v>
      </c>
      <c r="T32" s="448" t="s">
        <v>943</v>
      </c>
      <c r="U32" s="449">
        <f t="shared" si="13"/>
        <v>100</v>
      </c>
      <c r="V32" s="448" t="s">
        <v>943</v>
      </c>
      <c r="W32" s="449">
        <f t="shared" si="14"/>
        <v>100</v>
      </c>
      <c r="X32" s="443"/>
      <c r="Y32" s="3376"/>
      <c r="Z32" s="442" t="str">
        <f t="shared" si="15"/>
        <v>公共部分装修</v>
      </c>
      <c r="AA32" s="454">
        <f t="shared" si="3"/>
        <v>1</v>
      </c>
      <c r="AB32" s="454">
        <f t="shared" si="4"/>
        <v>1</v>
      </c>
      <c r="AC32" s="454">
        <f t="shared" si="5"/>
        <v>1</v>
      </c>
    </row>
    <row r="33" spans="1:29" ht="15">
      <c r="A33" s="293"/>
      <c r="B33" s="289" t="s">
        <v>2321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6"/>
      <c r="Q33" s="383" t="str">
        <f t="shared" si="11"/>
        <v>成新度</v>
      </c>
      <c r="R33" s="448" t="s">
        <v>943</v>
      </c>
      <c r="S33" s="449" t="e">
        <f t="shared" si="12"/>
        <v>#N/A</v>
      </c>
      <c r="T33" s="448" t="s">
        <v>943</v>
      </c>
      <c r="U33" s="449" t="e">
        <f t="shared" si="13"/>
        <v>#N/A</v>
      </c>
      <c r="V33" s="448" t="s">
        <v>943</v>
      </c>
      <c r="W33" s="449" t="e">
        <f t="shared" si="14"/>
        <v>#N/A</v>
      </c>
      <c r="X33" s="443"/>
      <c r="Y33" s="3376"/>
      <c r="Z33" s="442" t="str">
        <f t="shared" si="15"/>
        <v>成新度</v>
      </c>
      <c r="AA33" s="454" t="e">
        <f t="shared" si="3"/>
        <v>#N/A</v>
      </c>
      <c r="AB33" s="454" t="e">
        <f t="shared" si="4"/>
        <v>#N/A</v>
      </c>
      <c r="AC33" s="454" t="e">
        <f t="shared" si="5"/>
        <v>#N/A</v>
      </c>
    </row>
    <row r="34" spans="1:29" s="190" customFormat="1" ht="15">
      <c r="A34" s="296"/>
      <c r="B34" s="289" t="s">
        <v>2322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6"/>
      <c r="Q34" s="447" t="str">
        <f t="shared" si="11"/>
        <v>物业管理</v>
      </c>
      <c r="R34" s="444" t="s">
        <v>943</v>
      </c>
      <c r="S34" s="445">
        <f t="shared" si="12"/>
        <v>100</v>
      </c>
      <c r="T34" s="444" t="s">
        <v>943</v>
      </c>
      <c r="U34" s="445">
        <f t="shared" si="13"/>
        <v>100</v>
      </c>
      <c r="V34" s="444" t="s">
        <v>943</v>
      </c>
      <c r="W34" s="445">
        <f t="shared" si="14"/>
        <v>100</v>
      </c>
      <c r="X34" s="446"/>
      <c r="Y34" s="3376"/>
      <c r="Z34" s="464" t="str">
        <f t="shared" si="15"/>
        <v>物业管理</v>
      </c>
      <c r="AA34" s="463">
        <f t="shared" si="3"/>
        <v>1</v>
      </c>
      <c r="AB34" s="463">
        <f t="shared" si="4"/>
        <v>1</v>
      </c>
      <c r="AC34" s="463">
        <f t="shared" si="5"/>
        <v>1</v>
      </c>
    </row>
    <row r="35" spans="1:29" ht="15">
      <c r="A35" s="293"/>
      <c r="B35" s="545" t="s">
        <v>2323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6" t="s">
        <v>965</v>
      </c>
      <c r="Q35" s="383" t="str">
        <f t="shared" si="11"/>
        <v>市政基础设施</v>
      </c>
      <c r="R35" s="448" t="s">
        <v>943</v>
      </c>
      <c r="S35" s="449">
        <f t="shared" si="12"/>
        <v>100</v>
      </c>
      <c r="T35" s="448" t="s">
        <v>943</v>
      </c>
      <c r="U35" s="449">
        <f t="shared" si="13"/>
        <v>100</v>
      </c>
      <c r="V35" s="448" t="s">
        <v>943</v>
      </c>
      <c r="W35" s="449">
        <f t="shared" si="14"/>
        <v>100</v>
      </c>
      <c r="X35" s="443"/>
      <c r="Y35" s="3376" t="s">
        <v>965</v>
      </c>
      <c r="Z35" s="442" t="str">
        <f t="shared" si="15"/>
        <v>市政基础设施</v>
      </c>
      <c r="AA35" s="454">
        <f t="shared" si="3"/>
        <v>1</v>
      </c>
      <c r="AB35" s="454">
        <f t="shared" si="4"/>
        <v>1</v>
      </c>
      <c r="AC35" s="454">
        <f t="shared" si="5"/>
        <v>1</v>
      </c>
    </row>
    <row r="36" spans="1:29" ht="15">
      <c r="A36" s="293"/>
      <c r="B36" s="289" t="s">
        <v>2326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6"/>
      <c r="Q36" s="383" t="str">
        <f t="shared" si="11"/>
        <v>内部装修</v>
      </c>
      <c r="R36" s="448" t="s">
        <v>943</v>
      </c>
      <c r="S36" s="449">
        <f t="shared" si="12"/>
        <v>100</v>
      </c>
      <c r="T36" s="448" t="s">
        <v>943</v>
      </c>
      <c r="U36" s="449">
        <f t="shared" si="13"/>
        <v>100</v>
      </c>
      <c r="V36" s="448" t="s">
        <v>943</v>
      </c>
      <c r="W36" s="449">
        <f t="shared" si="14"/>
        <v>100</v>
      </c>
      <c r="X36" s="443"/>
      <c r="Y36" s="3376"/>
      <c r="Z36" s="442" t="str">
        <f t="shared" si="15"/>
        <v>内部装修</v>
      </c>
      <c r="AA36" s="454">
        <f t="shared" si="3"/>
        <v>1</v>
      </c>
      <c r="AB36" s="454">
        <f t="shared" si="4"/>
        <v>1</v>
      </c>
      <c r="AC36" s="454">
        <f t="shared" si="5"/>
        <v>1</v>
      </c>
    </row>
    <row r="37" spans="1:29" ht="15">
      <c r="A37" s="293"/>
      <c r="B37" s="289" t="s">
        <v>2409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6"/>
      <c r="Q37" s="383" t="str">
        <f t="shared" si="11"/>
        <v>内部装修状况</v>
      </c>
      <c r="R37" s="448" t="s">
        <v>943</v>
      </c>
      <c r="S37" s="449">
        <f t="shared" si="12"/>
        <v>100</v>
      </c>
      <c r="T37" s="448" t="s">
        <v>943</v>
      </c>
      <c r="U37" s="449">
        <f t="shared" si="13"/>
        <v>100</v>
      </c>
      <c r="V37" s="448" t="s">
        <v>943</v>
      </c>
      <c r="W37" s="449">
        <f t="shared" si="14"/>
        <v>100</v>
      </c>
      <c r="X37" s="443"/>
      <c r="Y37" s="3376"/>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6"/>
      <c r="Q38" s="450">
        <f t="shared" si="11"/>
        <v>111</v>
      </c>
      <c r="R38" s="451" t="s">
        <v>943</v>
      </c>
      <c r="S38" s="452">
        <f t="shared" si="12"/>
        <v>100</v>
      </c>
      <c r="T38" s="451" t="s">
        <v>943</v>
      </c>
      <c r="U38" s="452">
        <f t="shared" si="13"/>
        <v>100</v>
      </c>
      <c r="V38" s="451" t="s">
        <v>943</v>
      </c>
      <c r="W38" s="452">
        <f t="shared" si="14"/>
        <v>100</v>
      </c>
      <c r="X38" s="453"/>
      <c r="Y38" s="3376"/>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6"/>
      <c r="Q39" s="383">
        <f t="shared" si="11"/>
        <v>111</v>
      </c>
      <c r="R39" s="448" t="s">
        <v>943</v>
      </c>
      <c r="S39" s="449">
        <f t="shared" si="12"/>
        <v>100</v>
      </c>
      <c r="T39" s="448" t="s">
        <v>943</v>
      </c>
      <c r="U39" s="449">
        <f t="shared" si="13"/>
        <v>100</v>
      </c>
      <c r="V39" s="448" t="s">
        <v>943</v>
      </c>
      <c r="W39" s="449">
        <f t="shared" si="14"/>
        <v>100</v>
      </c>
      <c r="X39" s="443"/>
      <c r="Y39" s="3376"/>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68"/>
      <c r="Q40" s="383">
        <f t="shared" si="11"/>
        <v>111</v>
      </c>
      <c r="R40" s="448" t="s">
        <v>943</v>
      </c>
      <c r="S40" s="449">
        <f t="shared" si="12"/>
        <v>100</v>
      </c>
      <c r="T40" s="448" t="s">
        <v>943</v>
      </c>
      <c r="U40" s="449">
        <f t="shared" si="13"/>
        <v>100</v>
      </c>
      <c r="V40" s="448" t="s">
        <v>943</v>
      </c>
      <c r="W40" s="449">
        <f t="shared" si="14"/>
        <v>100</v>
      </c>
      <c r="X40" s="443"/>
      <c r="Y40" s="3468"/>
      <c r="Z40" s="442">
        <f t="shared" si="15"/>
        <v>111</v>
      </c>
      <c r="AA40" s="454">
        <f t="shared" si="3"/>
        <v>1</v>
      </c>
      <c r="AB40" s="454">
        <f t="shared" si="4"/>
        <v>1</v>
      </c>
      <c r="AC40" s="454">
        <f t="shared" si="5"/>
        <v>1</v>
      </c>
    </row>
    <row r="41" spans="1:29" ht="15">
      <c r="A41" s="303" t="s">
        <v>2329</v>
      </c>
      <c r="B41" s="304"/>
      <c r="C41" s="305" t="s">
        <v>138</v>
      </c>
      <c r="D41" s="306"/>
      <c r="E41" s="307"/>
      <c r="F41" s="308"/>
      <c r="G41" s="309"/>
      <c r="H41" s="310"/>
      <c r="I41" s="307"/>
      <c r="J41" s="310"/>
      <c r="K41" s="397"/>
      <c r="L41" s="398"/>
      <c r="M41" s="319"/>
      <c r="N41" s="378"/>
      <c r="O41" s="319"/>
      <c r="P41" s="3372" t="str">
        <f>A41</f>
        <v>成交单价（元/平方米）</v>
      </c>
      <c r="Q41" s="3372"/>
      <c r="R41" s="3466">
        <f>E41</f>
        <v>0</v>
      </c>
      <c r="S41" s="3466"/>
      <c r="T41" s="3466">
        <f>G41</f>
        <v>0</v>
      </c>
      <c r="U41" s="3466"/>
      <c r="V41" s="3466">
        <f>I41</f>
        <v>0</v>
      </c>
      <c r="W41" s="3466"/>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72" t="str">
        <f>A42</f>
        <v>比较价格（元/平方米）</v>
      </c>
      <c r="Q42" s="3372"/>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78" t="str">
        <f>A43</f>
        <v>估价对象XX用房的比较价格（楼面单价，元/平方米）</v>
      </c>
      <c r="Q43" s="3379"/>
      <c r="R43" s="3467" t="e">
        <f>IF(F1="售价",ROUND(AVERAGE(R42:V42),0),ROUND(AVERAGE(R42:V42),1))</f>
        <v>#DIV/0!</v>
      </c>
      <c r="S43" s="3467"/>
      <c r="T43" s="3467"/>
      <c r="U43" s="3467"/>
      <c r="V43" s="3467"/>
      <c r="W43" s="3467"/>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1238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2330</v>
      </c>
      <c r="D59" s="356" t="s">
        <v>2331</v>
      </c>
      <c r="E59" s="356" t="s">
        <v>2332</v>
      </c>
      <c r="F59" s="356" t="s">
        <v>2333</v>
      </c>
      <c r="G59" s="356" t="s">
        <v>2334</v>
      </c>
      <c r="H59" s="356" t="s">
        <v>2335</v>
      </c>
      <c r="I59" s="356" t="s">
        <v>2336</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2315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2317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2318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2320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2321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2322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2323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2326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93.75">
      <c r="A7" s="3119" t="s">
        <v>95</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6" zoomScale="80" zoomScaleNormal="80" workbookViewId="0">
      <selection activeCell="B2" sqref="B2"/>
    </sheetView>
  </sheetViews>
  <sheetFormatPr defaultColWidth="9" defaultRowHeight="14.25"/>
  <cols>
    <col min="1" max="1" width="10.5" style="195" customWidth="1"/>
    <col min="2" max="2" width="15.75" style="195" customWidth="1"/>
    <col min="3" max="3" width="16" style="195" customWidth="1"/>
    <col min="4" max="4" width="12.25" style="195" customWidth="1"/>
    <col min="5" max="5" width="16.125" style="195" customWidth="1"/>
    <col min="6" max="6" width="12.25" style="195" customWidth="1"/>
    <col min="7" max="7" width="16" style="195" customWidth="1"/>
    <col min="8" max="8" width="12.25" style="195" customWidth="1"/>
    <col min="9" max="9" width="1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t="s">
        <v>375</v>
      </c>
      <c r="C1" s="200" t="s">
        <v>2302</v>
      </c>
      <c r="D1" s="201" t="s">
        <v>2412</v>
      </c>
      <c r="E1" s="202"/>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1428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f>IF(B37="元/平方米",C39,ROUND(B2*10000/D3,0))</f>
        <v>2066</v>
      </c>
      <c r="C3" s="212" t="s">
        <v>2306</v>
      </c>
      <c r="D3" s="213">
        <f>SUMIF('数据-汇总表'!$C19:$C33,D1,'数据-汇总表'!$E19:$E33)</f>
        <v>6911.06</v>
      </c>
      <c r="E3" s="496" t="s">
        <v>2411</v>
      </c>
      <c r="F3" s="213">
        <f>SUMIF('数据-取费表'!A5:A15,D1,'数据-取费表'!AH5:AH15)</f>
        <v>204</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86" t="s">
        <v>931</v>
      </c>
      <c r="D4" s="3387"/>
      <c r="E4" s="3386" t="s">
        <v>932</v>
      </c>
      <c r="F4" s="3387"/>
      <c r="G4" s="3386" t="s">
        <v>933</v>
      </c>
      <c r="H4" s="3387"/>
      <c r="I4" s="3386" t="s">
        <v>934</v>
      </c>
      <c r="J4" s="3387"/>
      <c r="K4" s="376" t="s">
        <v>935</v>
      </c>
      <c r="L4" s="377"/>
      <c r="M4" s="378"/>
      <c r="N4" s="378"/>
      <c r="O4" s="378"/>
      <c r="P4" s="3356" t="s">
        <v>936</v>
      </c>
      <c r="Q4" s="3357"/>
      <c r="R4" s="3362" t="s">
        <v>932</v>
      </c>
      <c r="S4" s="3363"/>
      <c r="T4" s="3362" t="s">
        <v>933</v>
      </c>
      <c r="U4" s="3363"/>
      <c r="V4" s="3368" t="s">
        <v>934</v>
      </c>
      <c r="W4" s="3368"/>
      <c r="X4" s="443"/>
      <c r="Y4" s="3362" t="s">
        <v>936</v>
      </c>
      <c r="Z4" s="3363"/>
      <c r="AA4" s="3349" t="s">
        <v>932</v>
      </c>
      <c r="AB4" s="3350" t="s">
        <v>933</v>
      </c>
      <c r="AC4" s="3349" t="s">
        <v>934</v>
      </c>
    </row>
    <row r="5" spans="1:29" ht="15">
      <c r="A5" s="216"/>
      <c r="B5" s="217"/>
      <c r="C5" s="3388" t="s">
        <v>937</v>
      </c>
      <c r="D5" s="3389"/>
      <c r="E5" s="3469" t="s">
        <v>2307</v>
      </c>
      <c r="F5" s="3400"/>
      <c r="G5" s="3470" t="s">
        <v>2308</v>
      </c>
      <c r="H5" s="3389"/>
      <c r="I5" s="3470" t="s">
        <v>2309</v>
      </c>
      <c r="J5" s="3389"/>
      <c r="K5" s="376"/>
      <c r="L5" s="377"/>
      <c r="M5" s="378"/>
      <c r="N5" s="378"/>
      <c r="O5" s="378"/>
      <c r="P5" s="3358"/>
      <c r="Q5" s="3359"/>
      <c r="R5" s="3364"/>
      <c r="S5" s="3365"/>
      <c r="T5" s="3364"/>
      <c r="U5" s="3365"/>
      <c r="V5" s="3368"/>
      <c r="W5" s="3368"/>
      <c r="X5" s="443"/>
      <c r="Y5" s="3364"/>
      <c r="Z5" s="3365"/>
      <c r="AA5" s="3350"/>
      <c r="AB5" s="3350"/>
      <c r="AC5" s="3350"/>
    </row>
    <row r="6" spans="1:29" ht="15">
      <c r="A6" s="218"/>
      <c r="B6" s="219"/>
      <c r="C6" s="3383" t="s">
        <v>939</v>
      </c>
      <c r="D6" s="3384"/>
      <c r="E6" s="3395" t="s">
        <v>939</v>
      </c>
      <c r="F6" s="3396"/>
      <c r="G6" s="3383" t="s">
        <v>939</v>
      </c>
      <c r="H6" s="3384"/>
      <c r="I6" s="3383" t="s">
        <v>939</v>
      </c>
      <c r="J6" s="3384"/>
      <c r="K6" s="376" t="s">
        <v>940</v>
      </c>
      <c r="L6" s="377"/>
      <c r="M6" s="378"/>
      <c r="N6" s="378"/>
      <c r="O6" s="378"/>
      <c r="P6" s="3360"/>
      <c r="Q6" s="3361"/>
      <c r="R6" s="3364"/>
      <c r="S6" s="3365"/>
      <c r="T6" s="3366"/>
      <c r="U6" s="3367"/>
      <c r="V6" s="3368"/>
      <c r="W6" s="3368"/>
      <c r="X6" s="443"/>
      <c r="Y6" s="3366"/>
      <c r="Z6" s="3367"/>
      <c r="AA6" s="3351"/>
      <c r="AB6" s="3351"/>
      <c r="AC6" s="3351"/>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69" t="s">
        <v>942</v>
      </c>
      <c r="Q7" s="3385"/>
      <c r="R7" s="444" t="s">
        <v>943</v>
      </c>
      <c r="S7" s="445">
        <f t="shared" ref="S7:S14" si="0">F7</f>
        <v>100</v>
      </c>
      <c r="T7" s="444" t="s">
        <v>943</v>
      </c>
      <c r="U7" s="445">
        <f t="shared" ref="U7:U14" si="1">H7</f>
        <v>100</v>
      </c>
      <c r="V7" s="444" t="s">
        <v>943</v>
      </c>
      <c r="W7" s="445">
        <f t="shared" ref="W7:W14" si="2">J7</f>
        <v>100</v>
      </c>
      <c r="X7" s="446"/>
      <c r="Y7" s="3369" t="s">
        <v>942</v>
      </c>
      <c r="Z7" s="3370"/>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69" t="s">
        <v>948</v>
      </c>
      <c r="Q8" s="3370"/>
      <c r="R8" s="444" t="s">
        <v>943</v>
      </c>
      <c r="S8" s="445">
        <f t="shared" si="0"/>
        <v>100</v>
      </c>
      <c r="T8" s="444" t="s">
        <v>943</v>
      </c>
      <c r="U8" s="445">
        <f t="shared" si="1"/>
        <v>100</v>
      </c>
      <c r="V8" s="444" t="s">
        <v>943</v>
      </c>
      <c r="W8" s="445">
        <f t="shared" si="2"/>
        <v>100</v>
      </c>
      <c r="X8" s="446"/>
      <c r="Y8" s="3369" t="s">
        <v>948</v>
      </c>
      <c r="Z8" s="3370"/>
      <c r="AA8" s="463">
        <f t="shared" ref="AA8:AA36" si="3">D8/F8</f>
        <v>1</v>
      </c>
      <c r="AB8" s="463">
        <f t="shared" ref="AB8:AB36" si="4">D8/H8</f>
        <v>1</v>
      </c>
      <c r="AC8" s="463">
        <f t="shared" ref="AC8:AC36" si="5">D8/J8</f>
        <v>1</v>
      </c>
    </row>
    <row r="9" spans="1:29" s="190" customFormat="1" ht="15">
      <c r="A9" s="230"/>
      <c r="B9" s="231" t="s">
        <v>949</v>
      </c>
      <c r="C9" s="497" t="s">
        <v>2412</v>
      </c>
      <c r="D9" s="233">
        <v>100</v>
      </c>
      <c r="E9" s="234" t="s">
        <v>2412</v>
      </c>
      <c r="F9" s="233">
        <f>SUMIF(53:53,E9,54:54)-SUMIF(53:53,C9,54:54)+100</f>
        <v>100</v>
      </c>
      <c r="G9" s="498" t="s">
        <v>2412</v>
      </c>
      <c r="H9" s="233">
        <f>SUMIF(53:53,G9,54:54)-SUMIF(53:53,C9,54:54)+100</f>
        <v>100</v>
      </c>
      <c r="I9" s="498" t="s">
        <v>2412</v>
      </c>
      <c r="J9" s="233">
        <f>SUMIF(53:53,I9,54:54)-SUMIF(53:53,C9,54:54)+100</f>
        <v>100</v>
      </c>
      <c r="K9" s="379"/>
      <c r="L9" s="380"/>
      <c r="M9" s="381"/>
      <c r="N9" s="381"/>
      <c r="O9" s="382"/>
      <c r="P9" s="3372" t="s">
        <v>950</v>
      </c>
      <c r="Q9" s="447" t="str">
        <f t="shared" ref="Q9:Q14" si="6">B9</f>
        <v>用途</v>
      </c>
      <c r="R9" s="444" t="s">
        <v>943</v>
      </c>
      <c r="S9" s="445">
        <f t="shared" si="0"/>
        <v>100</v>
      </c>
      <c r="T9" s="444" t="s">
        <v>943</v>
      </c>
      <c r="U9" s="445">
        <f t="shared" si="1"/>
        <v>100</v>
      </c>
      <c r="V9" s="444" t="s">
        <v>943</v>
      </c>
      <c r="W9" s="445">
        <f t="shared" si="2"/>
        <v>100</v>
      </c>
      <c r="X9" s="446"/>
      <c r="Y9" s="3282" t="s">
        <v>951</v>
      </c>
      <c r="Z9" s="464" t="str">
        <f t="shared" ref="Z9:Z14" si="7">Q9</f>
        <v>用途</v>
      </c>
      <c r="AA9" s="463">
        <f t="shared" si="3"/>
        <v>1</v>
      </c>
      <c r="AB9" s="463">
        <f t="shared" si="4"/>
        <v>1</v>
      </c>
      <c r="AC9" s="463">
        <f t="shared" si="5"/>
        <v>1</v>
      </c>
    </row>
    <row r="10" spans="1:29" s="191" customFormat="1" ht="27">
      <c r="A10" s="235"/>
      <c r="B10" s="228" t="s">
        <v>952</v>
      </c>
      <c r="C10" s="236" t="s">
        <v>2413</v>
      </c>
      <c r="D10" s="237">
        <v>100</v>
      </c>
      <c r="E10" s="236" t="s">
        <v>2413</v>
      </c>
      <c r="F10" s="237">
        <f>SUMIF(55:55,E10,56:56)-SUMIF(55:55,C10,56:56)+100</f>
        <v>100</v>
      </c>
      <c r="G10" s="238" t="s">
        <v>2413</v>
      </c>
      <c r="H10" s="237">
        <f>SUMIF(55:55,G10,56:56)-SUMIF(55:55,C10,56:56)+100</f>
        <v>100</v>
      </c>
      <c r="I10" s="236" t="s">
        <v>2413</v>
      </c>
      <c r="J10" s="237">
        <f>SUMIF(55:55,I10,56:56)-SUMIF(55:55,C10,56:56)+100</f>
        <v>100</v>
      </c>
      <c r="K10" s="384"/>
      <c r="L10" s="385"/>
      <c r="M10" s="386"/>
      <c r="N10" s="386"/>
      <c r="O10" s="387"/>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72"/>
      <c r="Q11" s="447">
        <f t="shared" si="6"/>
        <v>111</v>
      </c>
      <c r="R11" s="444" t="s">
        <v>943</v>
      </c>
      <c r="S11" s="445">
        <f t="shared" si="0"/>
        <v>100</v>
      </c>
      <c r="T11" s="444" t="s">
        <v>943</v>
      </c>
      <c r="U11" s="445">
        <f t="shared" si="1"/>
        <v>100</v>
      </c>
      <c r="V11" s="444" t="s">
        <v>943</v>
      </c>
      <c r="W11" s="445">
        <f t="shared" si="2"/>
        <v>100</v>
      </c>
      <c r="X11" s="446"/>
      <c r="Y11" s="328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71.2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3" t="s">
        <v>957</v>
      </c>
      <c r="Q14" s="383" t="str">
        <f t="shared" si="6"/>
        <v>交通便捷度</v>
      </c>
      <c r="R14" s="448" t="s">
        <v>943</v>
      </c>
      <c r="S14" s="449">
        <f t="shared" si="0"/>
        <v>100</v>
      </c>
      <c r="T14" s="448" t="s">
        <v>943</v>
      </c>
      <c r="U14" s="449">
        <f t="shared" si="1"/>
        <v>100</v>
      </c>
      <c r="V14" s="448" t="s">
        <v>943</v>
      </c>
      <c r="W14" s="449">
        <f t="shared" si="2"/>
        <v>100</v>
      </c>
      <c r="X14" s="443"/>
      <c r="Y14" s="3373"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74"/>
      <c r="Q15" s="383"/>
      <c r="R15" s="448"/>
      <c r="S15" s="449"/>
      <c r="T15" s="448"/>
      <c r="U15" s="449"/>
      <c r="V15" s="448"/>
      <c r="W15" s="449"/>
      <c r="X15" s="443"/>
      <c r="Y15" s="3374"/>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4"/>
      <c r="Q16" s="383" t="str">
        <f>B16</f>
        <v>公共配套设施</v>
      </c>
      <c r="R16" s="448" t="s">
        <v>943</v>
      </c>
      <c r="S16" s="449">
        <f>F16</f>
        <v>100</v>
      </c>
      <c r="T16" s="448" t="s">
        <v>943</v>
      </c>
      <c r="U16" s="449">
        <f>H16</f>
        <v>100</v>
      </c>
      <c r="V16" s="448" t="s">
        <v>943</v>
      </c>
      <c r="W16" s="449">
        <f>J16</f>
        <v>100</v>
      </c>
      <c r="X16" s="443"/>
      <c r="Y16" s="3374"/>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74"/>
      <c r="Q17" s="383"/>
      <c r="R17" s="448"/>
      <c r="S17" s="449"/>
      <c r="T17" s="448"/>
      <c r="U17" s="449"/>
      <c r="V17" s="448"/>
      <c r="W17" s="449"/>
      <c r="X17" s="443"/>
      <c r="Y17" s="3374"/>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4"/>
      <c r="Q18" s="383" t="str">
        <f>B18</f>
        <v>基础设施水平</v>
      </c>
      <c r="R18" s="448" t="s">
        <v>943</v>
      </c>
      <c r="S18" s="449">
        <f>F18</f>
        <v>100</v>
      </c>
      <c r="T18" s="448" t="s">
        <v>943</v>
      </c>
      <c r="U18" s="449">
        <f>H18</f>
        <v>100</v>
      </c>
      <c r="V18" s="448" t="s">
        <v>943</v>
      </c>
      <c r="W18" s="449">
        <f>J18</f>
        <v>100</v>
      </c>
      <c r="X18" s="443"/>
      <c r="Y18" s="3374"/>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74"/>
      <c r="Q19" s="383"/>
      <c r="R19" s="448"/>
      <c r="S19" s="449"/>
      <c r="T19" s="448"/>
      <c r="U19" s="449"/>
      <c r="V19" s="448"/>
      <c r="W19" s="449"/>
      <c r="X19" s="443"/>
      <c r="Y19" s="3374"/>
      <c r="Z19" s="442"/>
      <c r="AA19" s="454">
        <v>1</v>
      </c>
      <c r="AB19" s="454">
        <v>1</v>
      </c>
      <c r="AC19" s="454">
        <v>1</v>
      </c>
    </row>
    <row r="20" spans="1:29" ht="42.75">
      <c r="A20" s="216"/>
      <c r="B20" s="502" t="s">
        <v>2311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4"/>
      <c r="Q20" s="383" t="str">
        <f>B20</f>
        <v>自然及人文环境</v>
      </c>
      <c r="R20" s="448" t="s">
        <v>943</v>
      </c>
      <c r="S20" s="449">
        <f>F20</f>
        <v>100</v>
      </c>
      <c r="T20" s="448" t="s">
        <v>943</v>
      </c>
      <c r="U20" s="449">
        <f>H20</f>
        <v>100</v>
      </c>
      <c r="V20" s="448" t="s">
        <v>943</v>
      </c>
      <c r="W20" s="449">
        <f>J20</f>
        <v>100</v>
      </c>
      <c r="X20" s="443"/>
      <c r="Y20" s="3374"/>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74"/>
      <c r="Q21" s="383"/>
      <c r="R21" s="448"/>
      <c r="S21" s="449"/>
      <c r="T21" s="448"/>
      <c r="U21" s="449"/>
      <c r="V21" s="448"/>
      <c r="W21" s="449"/>
      <c r="X21" s="443"/>
      <c r="Y21" s="3374"/>
      <c r="Z21" s="442"/>
      <c r="AA21" s="454">
        <v>1</v>
      </c>
      <c r="AB21" s="454">
        <v>1</v>
      </c>
      <c r="AC21" s="454">
        <v>1</v>
      </c>
    </row>
    <row r="22" spans="1:29" ht="15">
      <c r="A22" s="216"/>
      <c r="B22" s="502" t="s">
        <v>2398</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4"/>
      <c r="Q22" s="383" t="str">
        <f>B22</f>
        <v>楼层</v>
      </c>
      <c r="R22" s="448" t="s">
        <v>943</v>
      </c>
      <c r="S22" s="449">
        <f>F22</f>
        <v>100</v>
      </c>
      <c r="T22" s="448" t="s">
        <v>943</v>
      </c>
      <c r="U22" s="449">
        <f>H22</f>
        <v>100</v>
      </c>
      <c r="V22" s="448" t="s">
        <v>943</v>
      </c>
      <c r="W22" s="449">
        <f>J22</f>
        <v>100</v>
      </c>
      <c r="X22" s="443"/>
      <c r="Y22" s="3374"/>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4"/>
      <c r="Q23" s="383">
        <f>B23</f>
        <v>111</v>
      </c>
      <c r="R23" s="448" t="s">
        <v>943</v>
      </c>
      <c r="S23" s="449">
        <f>F23</f>
        <v>100</v>
      </c>
      <c r="T23" s="448" t="s">
        <v>943</v>
      </c>
      <c r="U23" s="449">
        <f>H23</f>
        <v>100</v>
      </c>
      <c r="V23" s="448" t="s">
        <v>943</v>
      </c>
      <c r="W23" s="449">
        <f>J23</f>
        <v>100</v>
      </c>
      <c r="X23" s="443"/>
      <c r="Y23" s="3374"/>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4"/>
      <c r="Q24" s="383">
        <f t="shared" ref="Q24:Q36" si="11">B24</f>
        <v>111</v>
      </c>
      <c r="R24" s="448" t="s">
        <v>943</v>
      </c>
      <c r="S24" s="449">
        <f>F24</f>
        <v>100</v>
      </c>
      <c r="T24" s="448" t="s">
        <v>943</v>
      </c>
      <c r="U24" s="449">
        <f>H24</f>
        <v>100</v>
      </c>
      <c r="V24" s="448" t="s">
        <v>943</v>
      </c>
      <c r="W24" s="449">
        <f>J24</f>
        <v>100</v>
      </c>
      <c r="X24" s="443"/>
      <c r="Y24" s="3374"/>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74"/>
      <c r="Q25" s="447">
        <f t="shared" si="11"/>
        <v>111</v>
      </c>
      <c r="R25" s="444" t="s">
        <v>943</v>
      </c>
      <c r="S25" s="445">
        <f>F25</f>
        <v>100</v>
      </c>
      <c r="T25" s="444" t="s">
        <v>943</v>
      </c>
      <c r="U25" s="445">
        <f>H25</f>
        <v>100</v>
      </c>
      <c r="V25" s="444" t="s">
        <v>943</v>
      </c>
      <c r="W25" s="445">
        <f>J25</f>
        <v>100</v>
      </c>
      <c r="X25" s="446"/>
      <c r="Y25" s="3374"/>
      <c r="Z25" s="464">
        <f>Q25</f>
        <v>111</v>
      </c>
      <c r="AA25" s="454">
        <f t="shared" si="3"/>
        <v>1</v>
      </c>
      <c r="AB25" s="454">
        <f t="shared" si="4"/>
        <v>1</v>
      </c>
      <c r="AC25" s="454">
        <f t="shared" si="5"/>
        <v>1</v>
      </c>
    </row>
    <row r="26" spans="1:29" ht="15">
      <c r="A26" s="283" t="s">
        <v>966</v>
      </c>
      <c r="B26" s="509" t="s">
        <v>2414</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75"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76" t="s">
        <v>965</v>
      </c>
      <c r="Z26" s="442" t="str">
        <f t="shared" ref="Z26:Z36" si="15">Q26</f>
        <v>配套类型</v>
      </c>
      <c r="AA26" s="454">
        <f t="shared" si="3"/>
        <v>1</v>
      </c>
      <c r="AB26" s="454">
        <f t="shared" si="4"/>
        <v>1</v>
      </c>
      <c r="AC26" s="454">
        <f t="shared" si="5"/>
        <v>1</v>
      </c>
    </row>
    <row r="27" spans="1:29" s="192" customFormat="1" ht="15">
      <c r="A27" s="511"/>
      <c r="B27" s="512" t="s">
        <v>2415</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76"/>
      <c r="Q27" s="450" t="str">
        <f t="shared" si="11"/>
        <v>项目停车位配比</v>
      </c>
      <c r="R27" s="451" t="s">
        <v>943</v>
      </c>
      <c r="S27" s="452">
        <f t="shared" si="12"/>
        <v>100</v>
      </c>
      <c r="T27" s="451" t="s">
        <v>943</v>
      </c>
      <c r="U27" s="452">
        <f t="shared" si="13"/>
        <v>100</v>
      </c>
      <c r="V27" s="451" t="s">
        <v>943</v>
      </c>
      <c r="W27" s="452">
        <f t="shared" si="14"/>
        <v>100</v>
      </c>
      <c r="X27" s="453"/>
      <c r="Y27" s="3376"/>
      <c r="Z27" s="465" t="str">
        <f t="shared" si="15"/>
        <v>项目停车位配比</v>
      </c>
      <c r="AA27" s="454">
        <f t="shared" si="3"/>
        <v>1</v>
      </c>
      <c r="AB27" s="454">
        <f t="shared" si="4"/>
        <v>1</v>
      </c>
      <c r="AC27" s="454">
        <f t="shared" si="5"/>
        <v>1</v>
      </c>
    </row>
    <row r="28" spans="1:29" ht="15">
      <c r="A28" s="514"/>
      <c r="B28" s="512" t="s">
        <v>2320</v>
      </c>
      <c r="C28" s="294" t="s">
        <v>2337</v>
      </c>
      <c r="D28" s="247">
        <v>100</v>
      </c>
      <c r="E28" s="294" t="s">
        <v>2337</v>
      </c>
      <c r="F28" s="277">
        <f>SUMIF(83:83,E28,84:84)-SUMIF(83:83,C28,84:84)+100</f>
        <v>100</v>
      </c>
      <c r="G28" s="294" t="s">
        <v>2337</v>
      </c>
      <c r="H28" s="247">
        <f>SUMIF(83:83,G28,84:84)-SUMIF(83:83,C28,84:84)+100</f>
        <v>100</v>
      </c>
      <c r="I28" s="294" t="s">
        <v>2337</v>
      </c>
      <c r="J28" s="247">
        <f>SUMIF(83:83,I28,84:84)-SUMIF(83:83,C28,84:84)+100</f>
        <v>100</v>
      </c>
      <c r="K28" s="384"/>
      <c r="L28" s="391"/>
      <c r="M28" s="378"/>
      <c r="N28" s="378"/>
      <c r="O28" s="390"/>
      <c r="P28" s="3376"/>
      <c r="Q28" s="383" t="str">
        <f t="shared" si="11"/>
        <v>公共部分装修</v>
      </c>
      <c r="R28" s="448" t="s">
        <v>943</v>
      </c>
      <c r="S28" s="449">
        <f t="shared" si="12"/>
        <v>100</v>
      </c>
      <c r="T28" s="448" t="s">
        <v>943</v>
      </c>
      <c r="U28" s="449">
        <f t="shared" si="13"/>
        <v>100</v>
      </c>
      <c r="V28" s="448" t="s">
        <v>943</v>
      </c>
      <c r="W28" s="449">
        <f t="shared" si="14"/>
        <v>100</v>
      </c>
      <c r="X28" s="443"/>
      <c r="Y28" s="3376"/>
      <c r="Z28" s="442" t="str">
        <f t="shared" si="15"/>
        <v>公共部分装修</v>
      </c>
      <c r="AA28" s="454">
        <f t="shared" si="3"/>
        <v>1</v>
      </c>
      <c r="AB28" s="454">
        <f t="shared" si="4"/>
        <v>1</v>
      </c>
      <c r="AC28" s="454">
        <f t="shared" si="5"/>
        <v>1</v>
      </c>
    </row>
    <row r="29" spans="1:29" ht="15">
      <c r="A29" s="514"/>
      <c r="B29" s="512" t="s">
        <v>2416</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76"/>
      <c r="Q29" s="383" t="str">
        <f t="shared" si="11"/>
        <v>成新率</v>
      </c>
      <c r="R29" s="448" t="s">
        <v>943</v>
      </c>
      <c r="S29" s="449">
        <f t="shared" si="12"/>
        <v>100</v>
      </c>
      <c r="T29" s="448" t="s">
        <v>943</v>
      </c>
      <c r="U29" s="449">
        <f t="shared" si="13"/>
        <v>100</v>
      </c>
      <c r="V29" s="448" t="s">
        <v>943</v>
      </c>
      <c r="W29" s="449">
        <f t="shared" si="14"/>
        <v>100</v>
      </c>
      <c r="X29" s="443"/>
      <c r="Y29" s="3376"/>
      <c r="Z29" s="442" t="str">
        <f t="shared" si="15"/>
        <v>成新率</v>
      </c>
      <c r="AA29" s="454">
        <f t="shared" si="3"/>
        <v>1</v>
      </c>
      <c r="AB29" s="454">
        <f t="shared" si="4"/>
        <v>1</v>
      </c>
      <c r="AC29" s="454">
        <f t="shared" si="5"/>
        <v>1</v>
      </c>
    </row>
    <row r="30" spans="1:29" ht="15">
      <c r="A30" s="514"/>
      <c r="B30" s="512" t="s">
        <v>2417</v>
      </c>
      <c r="C30" s="295" t="s">
        <v>2476</v>
      </c>
      <c r="D30" s="247">
        <v>100</v>
      </c>
      <c r="E30" s="295" t="s">
        <v>2476</v>
      </c>
      <c r="F30" s="277">
        <f>SUMIF(88:88,E30,89:89)-SUMIF(88:88,C30,89:89)+100</f>
        <v>100</v>
      </c>
      <c r="G30" s="295" t="s">
        <v>2476</v>
      </c>
      <c r="H30" s="247">
        <f>SUMIF(88:88,E30,89:89)-SUMIF(88:88,C30,89:89)+100</f>
        <v>100</v>
      </c>
      <c r="I30" s="295" t="s">
        <v>2476</v>
      </c>
      <c r="J30" s="247">
        <f>SUMIF(88:88,E30,89:89)-SUMIF(88:88,C30,89:89)+100</f>
        <v>100</v>
      </c>
      <c r="K30" s="384"/>
      <c r="L30" s="391"/>
      <c r="M30" s="378"/>
      <c r="N30" s="378"/>
      <c r="O30" s="390"/>
      <c r="P30" s="3376"/>
      <c r="Q30" s="383" t="str">
        <f t="shared" si="11"/>
        <v>物业等级</v>
      </c>
      <c r="R30" s="448" t="s">
        <v>943</v>
      </c>
      <c r="S30" s="449">
        <f t="shared" si="12"/>
        <v>100</v>
      </c>
      <c r="T30" s="448" t="s">
        <v>943</v>
      </c>
      <c r="U30" s="449">
        <f t="shared" si="13"/>
        <v>100</v>
      </c>
      <c r="V30" s="448" t="s">
        <v>943</v>
      </c>
      <c r="W30" s="449">
        <f t="shared" si="14"/>
        <v>100</v>
      </c>
      <c r="X30" s="443"/>
      <c r="Y30" s="3376"/>
      <c r="Z30" s="442" t="str">
        <f t="shared" si="15"/>
        <v>物业等级</v>
      </c>
      <c r="AA30" s="454">
        <f t="shared" si="3"/>
        <v>1</v>
      </c>
      <c r="AB30" s="454">
        <f t="shared" si="4"/>
        <v>1</v>
      </c>
      <c r="AC30" s="454">
        <f t="shared" si="5"/>
        <v>1</v>
      </c>
    </row>
    <row r="31" spans="1:29" s="190" customFormat="1" ht="15">
      <c r="A31" s="515"/>
      <c r="B31" s="512" t="s">
        <v>2418</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76"/>
      <c r="Q31" s="447" t="str">
        <f t="shared" si="11"/>
        <v>停车位面积</v>
      </c>
      <c r="R31" s="444" t="s">
        <v>943</v>
      </c>
      <c r="S31" s="445">
        <f t="shared" si="12"/>
        <v>100</v>
      </c>
      <c r="T31" s="444" t="s">
        <v>943</v>
      </c>
      <c r="U31" s="445">
        <f t="shared" si="13"/>
        <v>100</v>
      </c>
      <c r="V31" s="444" t="s">
        <v>943</v>
      </c>
      <c r="W31" s="445">
        <f t="shared" si="14"/>
        <v>100</v>
      </c>
      <c r="X31" s="446"/>
      <c r="Y31" s="3376"/>
      <c r="Z31" s="464" t="str">
        <f t="shared" si="15"/>
        <v>停车位面积</v>
      </c>
      <c r="AA31" s="463">
        <f t="shared" si="3"/>
        <v>1</v>
      </c>
      <c r="AB31" s="463">
        <f t="shared" si="4"/>
        <v>1</v>
      </c>
      <c r="AC31" s="463">
        <f t="shared" si="5"/>
        <v>1</v>
      </c>
    </row>
    <row r="32" spans="1:29" ht="15">
      <c r="A32" s="514"/>
      <c r="B32" s="512" t="s">
        <v>2419</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6" t="s">
        <v>965</v>
      </c>
      <c r="Q32" s="383" t="str">
        <f t="shared" si="11"/>
        <v>车位类型</v>
      </c>
      <c r="R32" s="448" t="s">
        <v>943</v>
      </c>
      <c r="S32" s="449">
        <f t="shared" si="12"/>
        <v>100</v>
      </c>
      <c r="T32" s="448" t="s">
        <v>943</v>
      </c>
      <c r="U32" s="449">
        <f t="shared" si="13"/>
        <v>100</v>
      </c>
      <c r="V32" s="448" t="s">
        <v>943</v>
      </c>
      <c r="W32" s="449">
        <f t="shared" si="14"/>
        <v>100</v>
      </c>
      <c r="X32" s="443"/>
      <c r="Y32" s="3376" t="s">
        <v>965</v>
      </c>
      <c r="Z32" s="442" t="str">
        <f t="shared" si="15"/>
        <v>车位类型</v>
      </c>
      <c r="AA32" s="454">
        <f t="shared" si="3"/>
        <v>1</v>
      </c>
      <c r="AB32" s="454">
        <f t="shared" si="4"/>
        <v>1</v>
      </c>
      <c r="AC32" s="454">
        <f t="shared" si="5"/>
        <v>1</v>
      </c>
    </row>
    <row r="33" spans="1:29" ht="15">
      <c r="A33" s="514"/>
      <c r="B33" s="512" t="s">
        <v>2420</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6"/>
      <c r="Q33" s="383" t="str">
        <f t="shared" si="11"/>
        <v>是否直接入户</v>
      </c>
      <c r="R33" s="448" t="s">
        <v>943</v>
      </c>
      <c r="S33" s="449">
        <f t="shared" si="12"/>
        <v>100</v>
      </c>
      <c r="T33" s="448" t="s">
        <v>943</v>
      </c>
      <c r="U33" s="449">
        <f t="shared" si="13"/>
        <v>100</v>
      </c>
      <c r="V33" s="448" t="s">
        <v>943</v>
      </c>
      <c r="W33" s="449">
        <f t="shared" si="14"/>
        <v>100</v>
      </c>
      <c r="X33" s="443"/>
      <c r="Y33" s="3376"/>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6"/>
      <c r="Q34" s="383">
        <f t="shared" si="11"/>
        <v>111</v>
      </c>
      <c r="R34" s="448" t="s">
        <v>943</v>
      </c>
      <c r="S34" s="449">
        <f t="shared" si="12"/>
        <v>100</v>
      </c>
      <c r="T34" s="448" t="s">
        <v>943</v>
      </c>
      <c r="U34" s="449">
        <f t="shared" si="13"/>
        <v>100</v>
      </c>
      <c r="V34" s="448" t="s">
        <v>943</v>
      </c>
      <c r="W34" s="449">
        <f t="shared" si="14"/>
        <v>100</v>
      </c>
      <c r="X34" s="443"/>
      <c r="Y34" s="3376"/>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6"/>
      <c r="Q35" s="450">
        <f t="shared" si="11"/>
        <v>111</v>
      </c>
      <c r="R35" s="451" t="s">
        <v>943</v>
      </c>
      <c r="S35" s="452">
        <f t="shared" si="12"/>
        <v>100</v>
      </c>
      <c r="T35" s="451" t="s">
        <v>943</v>
      </c>
      <c r="U35" s="452">
        <f t="shared" si="13"/>
        <v>100</v>
      </c>
      <c r="V35" s="451" t="s">
        <v>943</v>
      </c>
      <c r="W35" s="452">
        <f t="shared" si="14"/>
        <v>100</v>
      </c>
      <c r="X35" s="453"/>
      <c r="Y35" s="3376"/>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6"/>
      <c r="Q36" s="383">
        <f t="shared" si="11"/>
        <v>111</v>
      </c>
      <c r="R36" s="448" t="s">
        <v>943</v>
      </c>
      <c r="S36" s="449">
        <f t="shared" si="12"/>
        <v>100</v>
      </c>
      <c r="T36" s="448" t="s">
        <v>943</v>
      </c>
      <c r="U36" s="449">
        <f t="shared" si="13"/>
        <v>100</v>
      </c>
      <c r="V36" s="448" t="s">
        <v>943</v>
      </c>
      <c r="W36" s="449">
        <f t="shared" si="14"/>
        <v>100</v>
      </c>
      <c r="X36" s="443"/>
      <c r="Y36" s="3376"/>
      <c r="Z36" s="442">
        <f t="shared" si="15"/>
        <v>111</v>
      </c>
      <c r="AA36" s="454">
        <f t="shared" si="3"/>
        <v>1</v>
      </c>
      <c r="AB36" s="454">
        <f t="shared" si="4"/>
        <v>1</v>
      </c>
      <c r="AC36" s="454">
        <f t="shared" si="5"/>
        <v>1</v>
      </c>
    </row>
    <row r="37" spans="1:29" ht="15">
      <c r="A37" s="517" t="s">
        <v>2421</v>
      </c>
      <c r="B37" s="518" t="s">
        <v>2422</v>
      </c>
      <c r="C37" s="305" t="s">
        <v>138</v>
      </c>
      <c r="D37" s="306"/>
      <c r="E37" s="307">
        <v>70000</v>
      </c>
      <c r="F37" s="308"/>
      <c r="G37" s="309">
        <v>80000</v>
      </c>
      <c r="H37" s="310"/>
      <c r="I37" s="307">
        <v>60000</v>
      </c>
      <c r="J37" s="310"/>
      <c r="K37" s="397"/>
      <c r="L37" s="398"/>
      <c r="M37" s="319"/>
      <c r="N37" s="378"/>
      <c r="O37" s="319"/>
      <c r="P37" s="3372" t="str">
        <f>A37</f>
        <v>成交单价</v>
      </c>
      <c r="Q37" s="3372"/>
      <c r="R37" s="3466">
        <f>E37</f>
        <v>70000</v>
      </c>
      <c r="S37" s="3466"/>
      <c r="T37" s="3466">
        <f>G37</f>
        <v>80000</v>
      </c>
      <c r="U37" s="3466"/>
      <c r="V37" s="3466">
        <f>I37</f>
        <v>60000</v>
      </c>
      <c r="W37" s="3466"/>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72" t="str">
        <f>A38</f>
        <v>比较价格（元/平方米）</v>
      </c>
      <c r="Q38" s="3372"/>
      <c r="R38" s="3466">
        <f>IF(F1="售价",ROUND(PRODUCT(R37,AA7:AA36),0),ROUND(PRODUCT(R37,AA7:AA36),1))</f>
        <v>70000</v>
      </c>
      <c r="S38" s="3466"/>
      <c r="T38" s="3466">
        <f>IF(F1="售价",ROUND(PRODUCT(T37,AB7:AB36),0),ROUND(PRODUCT(T37,AB7:AB36),1))</f>
        <v>80000</v>
      </c>
      <c r="U38" s="3466"/>
      <c r="V38" s="3466">
        <f>IF(F1="售价",ROUND(PRODUCT(V37,AC7:AC36),0),ROUND(PRODUCT(V37,AC7:AC36),1))</f>
        <v>60000</v>
      </c>
      <c r="W38" s="3466"/>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78" t="str">
        <f>A39</f>
        <v>估价对象XX用房的比较价格（楼面单价，元/平方米）</v>
      </c>
      <c r="Q39" s="3379"/>
      <c r="R39" s="3467">
        <f>IF(F1="售价",ROUND(AVERAGE(R38:V38),0),ROUND(AVERAGE(R38:V38),1))</f>
        <v>70000</v>
      </c>
      <c r="S39" s="3467"/>
      <c r="T39" s="3467"/>
      <c r="U39" s="3467"/>
      <c r="V39" s="3467"/>
      <c r="W39" s="3467"/>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0.14285714285714279</v>
      </c>
      <c r="F43" s="324" t="str">
        <f>IF(OR(E43&gt;=0.2,E43&lt;=-0.2),"超过20%","")</f>
        <v/>
      </c>
      <c r="G43" s="323">
        <f>IF(G38&lt;I38,I38/G38-1,G38/I38-1)</f>
        <v>0.33333333333333326</v>
      </c>
      <c r="H43" s="324" t="str">
        <f>IF(OR(G43&gt;=0.2,G43&lt;=-0.2),"超过20%","")</f>
        <v>超过20%</v>
      </c>
      <c r="I43" s="323">
        <f>IF(I38&lt;E38,E38/I38-1,I38/E38-1)</f>
        <v>0.16666666666666674</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0.14285714285714279</v>
      </c>
      <c r="F44" s="324" t="str">
        <f>IF(OR(E44&gt;=0.3,E44&lt;=-0.3),"超过30%","")</f>
        <v/>
      </c>
      <c r="G44" s="323">
        <f>IF(G37&lt;I37,I37/G37-1,G37/I37-1)</f>
        <v>0.33333333333333326</v>
      </c>
      <c r="H44" s="324" t="str">
        <f>IF(OR(G44&gt;=0.3,G44&lt;=-0.3),"超过30%","")</f>
        <v>超过30%</v>
      </c>
      <c r="I44" s="323">
        <f>IF(I37&lt;E37,E37/I37-1,I37/E37-1)</f>
        <v>0.16666666666666674</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1238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2330</v>
      </c>
      <c r="D55" s="356" t="s">
        <v>2331</v>
      </c>
      <c r="E55" s="356" t="s">
        <v>2332</v>
      </c>
      <c r="F55" s="356" t="s">
        <v>2333</v>
      </c>
      <c r="G55" s="356" t="s">
        <v>2334</v>
      </c>
      <c r="H55" s="356" t="s">
        <v>2335</v>
      </c>
      <c r="I55" s="356" t="s">
        <v>2336</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2311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2398</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2423</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2415</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2320</v>
      </c>
      <c r="C83" s="907" t="s">
        <v>2475</v>
      </c>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2416</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2417</v>
      </c>
      <c r="C88" s="906" t="s">
        <v>2477</v>
      </c>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2418</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2419</v>
      </c>
      <c r="C93" s="907" t="s">
        <v>2478</v>
      </c>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2420</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C37</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86" t="s">
        <v>931</v>
      </c>
      <c r="D4" s="3387"/>
      <c r="E4" s="3397" t="s">
        <v>932</v>
      </c>
      <c r="F4" s="3398"/>
      <c r="G4" s="3386" t="s">
        <v>933</v>
      </c>
      <c r="H4" s="3387"/>
      <c r="I4" s="3386" t="s">
        <v>934</v>
      </c>
      <c r="J4" s="3387"/>
      <c r="K4" s="376" t="s">
        <v>935</v>
      </c>
      <c r="L4" s="377"/>
      <c r="M4" s="378"/>
      <c r="N4" s="378"/>
      <c r="O4" s="378"/>
      <c r="P4" s="3356" t="s">
        <v>936</v>
      </c>
      <c r="Q4" s="3357"/>
      <c r="R4" s="3362" t="s">
        <v>932</v>
      </c>
      <c r="S4" s="3363"/>
      <c r="T4" s="3362" t="s">
        <v>933</v>
      </c>
      <c r="U4" s="3363"/>
      <c r="V4" s="3368" t="s">
        <v>934</v>
      </c>
      <c r="W4" s="3368"/>
      <c r="X4" s="443"/>
      <c r="Y4" s="3362" t="s">
        <v>936</v>
      </c>
      <c r="Z4" s="3363"/>
      <c r="AA4" s="3349" t="s">
        <v>932</v>
      </c>
      <c r="AB4" s="3350" t="s">
        <v>933</v>
      </c>
      <c r="AC4" s="3349" t="s">
        <v>934</v>
      </c>
    </row>
    <row r="5" spans="1:29" ht="15">
      <c r="A5" s="216"/>
      <c r="B5" s="217"/>
      <c r="C5" s="3388" t="s">
        <v>937</v>
      </c>
      <c r="D5" s="3389"/>
      <c r="E5" s="3399" t="s">
        <v>1232</v>
      </c>
      <c r="F5" s="3400"/>
      <c r="G5" s="3388" t="s">
        <v>1233</v>
      </c>
      <c r="H5" s="3389"/>
      <c r="I5" s="3388" t="s">
        <v>1234</v>
      </c>
      <c r="J5" s="3389"/>
      <c r="K5" s="376"/>
      <c r="L5" s="377"/>
      <c r="M5" s="378"/>
      <c r="N5" s="378"/>
      <c r="O5" s="378"/>
      <c r="P5" s="3358"/>
      <c r="Q5" s="3359"/>
      <c r="R5" s="3364"/>
      <c r="S5" s="3365"/>
      <c r="T5" s="3364"/>
      <c r="U5" s="3365"/>
      <c r="V5" s="3368"/>
      <c r="W5" s="3368"/>
      <c r="X5" s="443"/>
      <c r="Y5" s="3364"/>
      <c r="Z5" s="3365"/>
      <c r="AA5" s="3350"/>
      <c r="AB5" s="3350"/>
      <c r="AC5" s="3350"/>
    </row>
    <row r="6" spans="1:29" ht="15">
      <c r="A6" s="218"/>
      <c r="B6" s="219"/>
      <c r="C6" s="3383" t="s">
        <v>939</v>
      </c>
      <c r="D6" s="3384"/>
      <c r="E6" s="3395" t="s">
        <v>939</v>
      </c>
      <c r="F6" s="3396"/>
      <c r="G6" s="3383" t="s">
        <v>939</v>
      </c>
      <c r="H6" s="3384"/>
      <c r="I6" s="3383" t="s">
        <v>939</v>
      </c>
      <c r="J6" s="3384"/>
      <c r="K6" s="376" t="s">
        <v>940</v>
      </c>
      <c r="L6" s="377"/>
      <c r="M6" s="378"/>
      <c r="N6" s="378"/>
      <c r="O6" s="378"/>
      <c r="P6" s="3360"/>
      <c r="Q6" s="3361"/>
      <c r="R6" s="3364"/>
      <c r="S6" s="3365"/>
      <c r="T6" s="3366"/>
      <c r="U6" s="3367"/>
      <c r="V6" s="3368"/>
      <c r="W6" s="3368"/>
      <c r="X6" s="443"/>
      <c r="Y6" s="3366"/>
      <c r="Z6" s="3367"/>
      <c r="AA6" s="3351"/>
      <c r="AB6" s="3351"/>
      <c r="AC6" s="3351"/>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69" t="s">
        <v>942</v>
      </c>
      <c r="Q7" s="3385"/>
      <c r="R7" s="444" t="s">
        <v>943</v>
      </c>
      <c r="S7" s="445">
        <f t="shared" ref="S7:S14" si="0">F7</f>
        <v>0</v>
      </c>
      <c r="T7" s="444" t="s">
        <v>943</v>
      </c>
      <c r="U7" s="445">
        <f t="shared" ref="U7:U14" si="1">H7</f>
        <v>0</v>
      </c>
      <c r="V7" s="444" t="s">
        <v>943</v>
      </c>
      <c r="W7" s="445">
        <f t="shared" ref="W7:W14" si="2">J7</f>
        <v>0</v>
      </c>
      <c r="X7" s="446"/>
      <c r="Y7" s="3369" t="s">
        <v>942</v>
      </c>
      <c r="Z7" s="3370"/>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9" t="s">
        <v>948</v>
      </c>
      <c r="Q8" s="3370"/>
      <c r="R8" s="444" t="s">
        <v>943</v>
      </c>
      <c r="S8" s="445">
        <f t="shared" si="0"/>
        <v>0</v>
      </c>
      <c r="T8" s="444" t="s">
        <v>943</v>
      </c>
      <c r="U8" s="445">
        <f t="shared" si="1"/>
        <v>0</v>
      </c>
      <c r="V8" s="444" t="s">
        <v>943</v>
      </c>
      <c r="W8" s="445">
        <f t="shared" si="2"/>
        <v>0</v>
      </c>
      <c r="X8" s="446"/>
      <c r="Y8" s="3369" t="s">
        <v>948</v>
      </c>
      <c r="Z8" s="3370"/>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72" t="s">
        <v>950</v>
      </c>
      <c r="Q9" s="447" t="str">
        <f t="shared" ref="Q9:Q14" si="6">B9</f>
        <v>用途</v>
      </c>
      <c r="R9" s="444" t="s">
        <v>943</v>
      </c>
      <c r="S9" s="445">
        <f t="shared" si="0"/>
        <v>100</v>
      </c>
      <c r="T9" s="444" t="s">
        <v>943</v>
      </c>
      <c r="U9" s="445">
        <f t="shared" si="1"/>
        <v>100</v>
      </c>
      <c r="V9" s="444" t="s">
        <v>943</v>
      </c>
      <c r="W9" s="445">
        <f t="shared" si="2"/>
        <v>100</v>
      </c>
      <c r="X9" s="446"/>
      <c r="Y9" s="3282"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72"/>
      <c r="Q10" s="447" t="str">
        <f t="shared" si="6"/>
        <v>土地使用年限（年）</v>
      </c>
      <c r="R10" s="444" t="s">
        <v>943</v>
      </c>
      <c r="S10" s="445">
        <f t="shared" si="0"/>
        <v>100</v>
      </c>
      <c r="T10" s="444" t="s">
        <v>943</v>
      </c>
      <c r="U10" s="445">
        <f t="shared" si="1"/>
        <v>100</v>
      </c>
      <c r="V10" s="444" t="s">
        <v>943</v>
      </c>
      <c r="W10" s="445">
        <f t="shared" si="2"/>
        <v>100</v>
      </c>
      <c r="X10" s="446"/>
      <c r="Y10" s="328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72"/>
      <c r="Q11" s="447">
        <f t="shared" si="6"/>
        <v>111</v>
      </c>
      <c r="R11" s="444" t="s">
        <v>943</v>
      </c>
      <c r="S11" s="445">
        <f t="shared" si="0"/>
        <v>100</v>
      </c>
      <c r="T11" s="444" t="s">
        <v>943</v>
      </c>
      <c r="U11" s="445">
        <f t="shared" si="1"/>
        <v>100</v>
      </c>
      <c r="V11" s="444" t="s">
        <v>943</v>
      </c>
      <c r="W11" s="445">
        <f t="shared" si="2"/>
        <v>100</v>
      </c>
      <c r="X11" s="446"/>
      <c r="Y11" s="328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72"/>
      <c r="Q12" s="447">
        <f t="shared" si="6"/>
        <v>111</v>
      </c>
      <c r="R12" s="444" t="s">
        <v>943</v>
      </c>
      <c r="S12" s="445">
        <f t="shared" si="0"/>
        <v>100</v>
      </c>
      <c r="T12" s="444" t="s">
        <v>943</v>
      </c>
      <c r="U12" s="445">
        <f t="shared" si="1"/>
        <v>100</v>
      </c>
      <c r="V12" s="444" t="s">
        <v>943</v>
      </c>
      <c r="W12" s="445">
        <f t="shared" si="2"/>
        <v>100</v>
      </c>
      <c r="X12" s="446"/>
      <c r="Y12" s="328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72"/>
      <c r="Q13" s="447">
        <f t="shared" si="6"/>
        <v>111</v>
      </c>
      <c r="R13" s="444" t="s">
        <v>943</v>
      </c>
      <c r="S13" s="445">
        <f t="shared" si="0"/>
        <v>100</v>
      </c>
      <c r="T13" s="444" t="s">
        <v>943</v>
      </c>
      <c r="U13" s="445">
        <f t="shared" si="1"/>
        <v>100</v>
      </c>
      <c r="V13" s="444" t="s">
        <v>943</v>
      </c>
      <c r="W13" s="445">
        <f t="shared" si="2"/>
        <v>100</v>
      </c>
      <c r="X13" s="446"/>
      <c r="Y13" s="3282"/>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3" t="s">
        <v>957</v>
      </c>
      <c r="Q14" s="383" t="str">
        <f t="shared" si="6"/>
        <v>交通便捷度</v>
      </c>
      <c r="R14" s="448" t="s">
        <v>943</v>
      </c>
      <c r="S14" s="449">
        <f t="shared" si="0"/>
        <v>100</v>
      </c>
      <c r="T14" s="448" t="s">
        <v>943</v>
      </c>
      <c r="U14" s="449">
        <f t="shared" si="1"/>
        <v>100</v>
      </c>
      <c r="V14" s="448" t="s">
        <v>943</v>
      </c>
      <c r="W14" s="449">
        <f t="shared" si="2"/>
        <v>100</v>
      </c>
      <c r="X14" s="443"/>
      <c r="Y14" s="3373"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4"/>
      <c r="Q15" s="383"/>
      <c r="R15" s="448"/>
      <c r="S15" s="449"/>
      <c r="T15" s="448"/>
      <c r="U15" s="449"/>
      <c r="V15" s="448"/>
      <c r="W15" s="449"/>
      <c r="X15" s="443"/>
      <c r="Y15" s="3374"/>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4"/>
      <c r="Q16" s="383" t="str">
        <f>B16</f>
        <v>公共配套设施</v>
      </c>
      <c r="R16" s="448" t="s">
        <v>943</v>
      </c>
      <c r="S16" s="449">
        <f>F16</f>
        <v>100</v>
      </c>
      <c r="T16" s="448" t="s">
        <v>943</v>
      </c>
      <c r="U16" s="449">
        <f>H16</f>
        <v>100</v>
      </c>
      <c r="V16" s="448" t="s">
        <v>943</v>
      </c>
      <c r="W16" s="449">
        <f>J16</f>
        <v>100</v>
      </c>
      <c r="X16" s="443"/>
      <c r="Y16" s="3374"/>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4"/>
      <c r="Q17" s="383"/>
      <c r="R17" s="448"/>
      <c r="S17" s="449"/>
      <c r="T17" s="448"/>
      <c r="U17" s="449"/>
      <c r="V17" s="448"/>
      <c r="W17" s="449"/>
      <c r="X17" s="443"/>
      <c r="Y17" s="3374"/>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4"/>
      <c r="Q18" s="383" t="str">
        <f>B18</f>
        <v>基础设施水平</v>
      </c>
      <c r="R18" s="448" t="s">
        <v>943</v>
      </c>
      <c r="S18" s="449">
        <f>F18</f>
        <v>100</v>
      </c>
      <c r="T18" s="448" t="s">
        <v>943</v>
      </c>
      <c r="U18" s="449">
        <f>H18</f>
        <v>100</v>
      </c>
      <c r="V18" s="448" t="s">
        <v>943</v>
      </c>
      <c r="W18" s="449">
        <f>J18</f>
        <v>100</v>
      </c>
      <c r="X18" s="443"/>
      <c r="Y18" s="3374"/>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4"/>
      <c r="Q19" s="383"/>
      <c r="R19" s="448"/>
      <c r="S19" s="449"/>
      <c r="T19" s="448"/>
      <c r="U19" s="449"/>
      <c r="V19" s="448"/>
      <c r="W19" s="449"/>
      <c r="X19" s="443"/>
      <c r="Y19" s="3374"/>
      <c r="Z19" s="442"/>
      <c r="AA19" s="454">
        <v>1</v>
      </c>
      <c r="AB19" s="454">
        <v>1</v>
      </c>
      <c r="AC19" s="454">
        <v>1</v>
      </c>
    </row>
    <row r="20" spans="1:29" ht="57">
      <c r="A20" s="255"/>
      <c r="B20" s="274" t="s">
        <v>2311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4"/>
      <c r="Q20" s="383" t="str">
        <f>B20</f>
        <v>自然及人文环境</v>
      </c>
      <c r="R20" s="448" t="s">
        <v>943</v>
      </c>
      <c r="S20" s="449">
        <f>F20</f>
        <v>100</v>
      </c>
      <c r="T20" s="448" t="s">
        <v>943</v>
      </c>
      <c r="U20" s="449">
        <f>H20</f>
        <v>100</v>
      </c>
      <c r="V20" s="448" t="s">
        <v>943</v>
      </c>
      <c r="W20" s="449">
        <f>J20</f>
        <v>100</v>
      </c>
      <c r="X20" s="443"/>
      <c r="Y20" s="3374"/>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4"/>
      <c r="Q21" s="383"/>
      <c r="R21" s="448"/>
      <c r="S21" s="449"/>
      <c r="T21" s="448"/>
      <c r="U21" s="449"/>
      <c r="V21" s="448"/>
      <c r="W21" s="449"/>
      <c r="X21" s="443"/>
      <c r="Y21" s="3374"/>
      <c r="Z21" s="442"/>
      <c r="AA21" s="454">
        <v>1</v>
      </c>
      <c r="AB21" s="454">
        <v>1</v>
      </c>
      <c r="AC21" s="454">
        <v>1</v>
      </c>
    </row>
    <row r="22" spans="1:29" ht="15">
      <c r="A22" s="255"/>
      <c r="B22" s="274" t="s">
        <v>2398</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4"/>
      <c r="Q22" s="383" t="str">
        <f>B22</f>
        <v>楼层</v>
      </c>
      <c r="R22" s="448" t="s">
        <v>943</v>
      </c>
      <c r="S22" s="449">
        <f>F22</f>
        <v>100</v>
      </c>
      <c r="T22" s="448" t="s">
        <v>943</v>
      </c>
      <c r="U22" s="449">
        <f>H22</f>
        <v>100</v>
      </c>
      <c r="V22" s="448" t="s">
        <v>943</v>
      </c>
      <c r="W22" s="449">
        <f>J22</f>
        <v>100</v>
      </c>
      <c r="X22" s="443"/>
      <c r="Y22" s="3374"/>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4"/>
      <c r="Q23" s="383">
        <f>B23</f>
        <v>111</v>
      </c>
      <c r="R23" s="448" t="s">
        <v>943</v>
      </c>
      <c r="S23" s="449">
        <f>F23</f>
        <v>100</v>
      </c>
      <c r="T23" s="448" t="s">
        <v>943</v>
      </c>
      <c r="U23" s="449">
        <f>H23</f>
        <v>100</v>
      </c>
      <c r="V23" s="448" t="s">
        <v>943</v>
      </c>
      <c r="W23" s="449">
        <f>J23</f>
        <v>100</v>
      </c>
      <c r="X23" s="443"/>
      <c r="Y23" s="3374"/>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4"/>
      <c r="Q24" s="383">
        <f t="shared" ref="Q24:Q34" si="11">B24</f>
        <v>111</v>
      </c>
      <c r="R24" s="448" t="s">
        <v>943</v>
      </c>
      <c r="S24" s="449">
        <f>F24</f>
        <v>100</v>
      </c>
      <c r="T24" s="448" t="s">
        <v>943</v>
      </c>
      <c r="U24" s="449">
        <f>H24</f>
        <v>100</v>
      </c>
      <c r="V24" s="448" t="s">
        <v>943</v>
      </c>
      <c r="W24" s="449">
        <f>J24</f>
        <v>100</v>
      </c>
      <c r="X24" s="443"/>
      <c r="Y24" s="3374"/>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4"/>
      <c r="Q25" s="447">
        <f t="shared" si="11"/>
        <v>111</v>
      </c>
      <c r="R25" s="444" t="s">
        <v>943</v>
      </c>
      <c r="S25" s="445">
        <f>F25</f>
        <v>100</v>
      </c>
      <c r="T25" s="444" t="s">
        <v>943</v>
      </c>
      <c r="U25" s="445">
        <f>H25</f>
        <v>100</v>
      </c>
      <c r="V25" s="444" t="s">
        <v>943</v>
      </c>
      <c r="W25" s="445">
        <f>J25</f>
        <v>100</v>
      </c>
      <c r="X25" s="446"/>
      <c r="Y25" s="3374"/>
      <c r="Z25" s="464">
        <f>Q25</f>
        <v>111</v>
      </c>
      <c r="AA25" s="454">
        <f t="shared" si="3"/>
        <v>1</v>
      </c>
      <c r="AB25" s="454">
        <f t="shared" si="4"/>
        <v>1</v>
      </c>
      <c r="AC25" s="454">
        <f t="shared" si="5"/>
        <v>1</v>
      </c>
    </row>
    <row r="26" spans="1:29" ht="15">
      <c r="A26" s="283" t="s">
        <v>966</v>
      </c>
      <c r="B26" s="284" t="s">
        <v>2320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5"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76" t="s">
        <v>965</v>
      </c>
      <c r="Z26" s="442" t="str">
        <f t="shared" ref="Z26:Z34" si="15">Q26</f>
        <v>公共部分装修</v>
      </c>
      <c r="AA26" s="454">
        <f t="shared" si="3"/>
        <v>1</v>
      </c>
      <c r="AB26" s="454">
        <f t="shared" si="4"/>
        <v>1</v>
      </c>
      <c r="AC26" s="454">
        <f t="shared" si="5"/>
        <v>1</v>
      </c>
    </row>
    <row r="27" spans="1:29" s="192" customFormat="1" ht="15">
      <c r="A27" s="288"/>
      <c r="B27" s="289" t="s">
        <v>2416</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6"/>
      <c r="Q27" s="450" t="str">
        <f t="shared" si="11"/>
        <v>成新率</v>
      </c>
      <c r="R27" s="451" t="s">
        <v>943</v>
      </c>
      <c r="S27" s="452" t="e">
        <f t="shared" si="12"/>
        <v>#N/A</v>
      </c>
      <c r="T27" s="451" t="s">
        <v>943</v>
      </c>
      <c r="U27" s="452" t="e">
        <f t="shared" si="13"/>
        <v>#N/A</v>
      </c>
      <c r="V27" s="451" t="s">
        <v>943</v>
      </c>
      <c r="W27" s="452" t="e">
        <f t="shared" si="14"/>
        <v>#N/A</v>
      </c>
      <c r="X27" s="453"/>
      <c r="Y27" s="3376"/>
      <c r="Z27" s="465" t="str">
        <f t="shared" si="15"/>
        <v>成新率</v>
      </c>
      <c r="AA27" s="454" t="e">
        <f t="shared" si="3"/>
        <v>#N/A</v>
      </c>
      <c r="AB27" s="454" t="e">
        <f t="shared" si="4"/>
        <v>#N/A</v>
      </c>
      <c r="AC27" s="454" t="e">
        <f t="shared" si="5"/>
        <v>#N/A</v>
      </c>
    </row>
    <row r="28" spans="1:29" ht="15">
      <c r="A28" s="293"/>
      <c r="B28" s="289" t="s">
        <v>2417</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6"/>
      <c r="Q28" s="383" t="str">
        <f t="shared" si="11"/>
        <v>物业等级</v>
      </c>
      <c r="R28" s="448" t="s">
        <v>943</v>
      </c>
      <c r="S28" s="449">
        <f t="shared" si="12"/>
        <v>100</v>
      </c>
      <c r="T28" s="448" t="s">
        <v>943</v>
      </c>
      <c r="U28" s="449">
        <f t="shared" si="13"/>
        <v>100</v>
      </c>
      <c r="V28" s="448" t="s">
        <v>943</v>
      </c>
      <c r="W28" s="449">
        <f t="shared" si="14"/>
        <v>100</v>
      </c>
      <c r="X28" s="443"/>
      <c r="Y28" s="3376"/>
      <c r="Z28" s="442" t="str">
        <f t="shared" si="15"/>
        <v>物业等级</v>
      </c>
      <c r="AA28" s="454">
        <f t="shared" si="3"/>
        <v>1</v>
      </c>
      <c r="AB28" s="454">
        <f t="shared" si="4"/>
        <v>1</v>
      </c>
      <c r="AC28" s="454">
        <f t="shared" si="5"/>
        <v>1</v>
      </c>
    </row>
    <row r="29" spans="1:29" ht="15">
      <c r="A29" s="293"/>
      <c r="B29" s="289" t="s">
        <v>2424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6"/>
      <c r="Q29" s="383" t="str">
        <f t="shared" si="11"/>
        <v>有无电梯</v>
      </c>
      <c r="R29" s="448" t="s">
        <v>943</v>
      </c>
      <c r="S29" s="449">
        <f t="shared" si="12"/>
        <v>100</v>
      </c>
      <c r="T29" s="448" t="s">
        <v>943</v>
      </c>
      <c r="U29" s="449">
        <f t="shared" si="13"/>
        <v>100</v>
      </c>
      <c r="V29" s="448" t="s">
        <v>943</v>
      </c>
      <c r="W29" s="449">
        <f t="shared" si="14"/>
        <v>100</v>
      </c>
      <c r="X29" s="443"/>
      <c r="Y29" s="3376"/>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6"/>
      <c r="Q30" s="383" t="str">
        <f t="shared" si="11"/>
        <v>建筑面积</v>
      </c>
      <c r="R30" s="448" t="s">
        <v>943</v>
      </c>
      <c r="S30" s="449" t="e">
        <f t="shared" si="12"/>
        <v>#N/A</v>
      </c>
      <c r="T30" s="448" t="s">
        <v>943</v>
      </c>
      <c r="U30" s="449" t="e">
        <f t="shared" si="13"/>
        <v>#N/A</v>
      </c>
      <c r="V30" s="448" t="s">
        <v>943</v>
      </c>
      <c r="W30" s="449" t="e">
        <f t="shared" si="14"/>
        <v>#N/A</v>
      </c>
      <c r="X30" s="443"/>
      <c r="Y30" s="3376"/>
      <c r="Z30" s="442" t="str">
        <f t="shared" si="15"/>
        <v>建筑面积</v>
      </c>
      <c r="AA30" s="454" t="e">
        <f t="shared" si="3"/>
        <v>#N/A</v>
      </c>
      <c r="AB30" s="454" t="e">
        <f t="shared" si="4"/>
        <v>#N/A</v>
      </c>
      <c r="AC30" s="454" t="e">
        <f t="shared" si="5"/>
        <v>#N/A</v>
      </c>
    </row>
    <row r="31" spans="1:29" s="190" customFormat="1" ht="15">
      <c r="A31" s="296"/>
      <c r="B31" s="289" t="s">
        <v>2425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6"/>
      <c r="Q31" s="447" t="str">
        <f t="shared" si="11"/>
        <v>是否封闭</v>
      </c>
      <c r="R31" s="444" t="s">
        <v>943</v>
      </c>
      <c r="S31" s="445">
        <f t="shared" si="12"/>
        <v>100</v>
      </c>
      <c r="T31" s="444" t="s">
        <v>943</v>
      </c>
      <c r="U31" s="445">
        <f t="shared" si="13"/>
        <v>100</v>
      </c>
      <c r="V31" s="444" t="s">
        <v>943</v>
      </c>
      <c r="W31" s="445">
        <f t="shared" si="14"/>
        <v>100</v>
      </c>
      <c r="X31" s="446"/>
      <c r="Y31" s="3376"/>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6" t="s">
        <v>965</v>
      </c>
      <c r="Q32" s="383">
        <f t="shared" si="11"/>
        <v>111</v>
      </c>
      <c r="R32" s="448" t="s">
        <v>943</v>
      </c>
      <c r="S32" s="449">
        <f t="shared" si="12"/>
        <v>100</v>
      </c>
      <c r="T32" s="448" t="s">
        <v>943</v>
      </c>
      <c r="U32" s="449">
        <f t="shared" si="13"/>
        <v>100</v>
      </c>
      <c r="V32" s="448" t="s">
        <v>943</v>
      </c>
      <c r="W32" s="449">
        <f t="shared" si="14"/>
        <v>100</v>
      </c>
      <c r="X32" s="443"/>
      <c r="Y32" s="3376"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6"/>
      <c r="Q33" s="383">
        <f t="shared" si="11"/>
        <v>111</v>
      </c>
      <c r="R33" s="448" t="s">
        <v>943</v>
      </c>
      <c r="S33" s="449">
        <f t="shared" si="12"/>
        <v>100</v>
      </c>
      <c r="T33" s="448" t="s">
        <v>943</v>
      </c>
      <c r="U33" s="449">
        <f t="shared" si="13"/>
        <v>100</v>
      </c>
      <c r="V33" s="448" t="s">
        <v>943</v>
      </c>
      <c r="W33" s="449">
        <f t="shared" si="14"/>
        <v>100</v>
      </c>
      <c r="X33" s="443"/>
      <c r="Y33" s="3376"/>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6"/>
      <c r="Q34" s="383">
        <f t="shared" si="11"/>
        <v>111</v>
      </c>
      <c r="R34" s="448" t="s">
        <v>943</v>
      </c>
      <c r="S34" s="449">
        <f t="shared" si="12"/>
        <v>100</v>
      </c>
      <c r="T34" s="448" t="s">
        <v>943</v>
      </c>
      <c r="U34" s="449">
        <f t="shared" si="13"/>
        <v>100</v>
      </c>
      <c r="V34" s="448" t="s">
        <v>943</v>
      </c>
      <c r="W34" s="449">
        <f t="shared" si="14"/>
        <v>100</v>
      </c>
      <c r="X34" s="443"/>
      <c r="Y34" s="3376"/>
      <c r="Z34" s="442">
        <f t="shared" si="15"/>
        <v>111</v>
      </c>
      <c r="AA34" s="454">
        <f t="shared" si="3"/>
        <v>1</v>
      </c>
      <c r="AB34" s="454">
        <f t="shared" si="4"/>
        <v>1</v>
      </c>
      <c r="AC34" s="454">
        <f t="shared" si="5"/>
        <v>1</v>
      </c>
    </row>
    <row r="35" spans="1:29" ht="15">
      <c r="A35" s="303" t="s">
        <v>2329</v>
      </c>
      <c r="B35" s="304"/>
      <c r="C35" s="305" t="s">
        <v>138</v>
      </c>
      <c r="D35" s="306"/>
      <c r="E35" s="307"/>
      <c r="F35" s="308"/>
      <c r="G35" s="309"/>
      <c r="H35" s="310"/>
      <c r="I35" s="307"/>
      <c r="J35" s="310"/>
      <c r="K35" s="397"/>
      <c r="L35" s="398"/>
      <c r="M35" s="319"/>
      <c r="N35" s="378"/>
      <c r="O35" s="319"/>
      <c r="P35" s="3372" t="str">
        <f>A35</f>
        <v>成交单价（元/平方米）</v>
      </c>
      <c r="Q35" s="3372"/>
      <c r="R35" s="3466">
        <f>E35</f>
        <v>0</v>
      </c>
      <c r="S35" s="3466"/>
      <c r="T35" s="3466">
        <f>G35</f>
        <v>0</v>
      </c>
      <c r="U35" s="3466"/>
      <c r="V35" s="3466">
        <f>I35</f>
        <v>0</v>
      </c>
      <c r="W35" s="3466"/>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72" t="str">
        <f>A36</f>
        <v>比较价格（元/平方米）</v>
      </c>
      <c r="Q36" s="3372"/>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78" t="str">
        <f>A37</f>
        <v>估价对象XX用房的比较价格（楼面单价，元/平方米）</v>
      </c>
      <c r="Q37" s="3379"/>
      <c r="R37" s="3467" t="e">
        <f>IF(F1="售价",ROUND(AVERAGE(R36:V36),0),ROUND(AVERAGE(R36:V36),1))</f>
        <v>#DIV/0!</v>
      </c>
      <c r="S37" s="3467"/>
      <c r="T37" s="3467"/>
      <c r="U37" s="3467"/>
      <c r="V37" s="3467"/>
      <c r="W37" s="3467"/>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1238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2330</v>
      </c>
      <c r="D53" s="356" t="s">
        <v>2331</v>
      </c>
      <c r="E53" s="356" t="s">
        <v>2332</v>
      </c>
      <c r="F53" s="356" t="s">
        <v>2333</v>
      </c>
      <c r="G53" s="356" t="s">
        <v>2334</v>
      </c>
      <c r="H53" s="356" t="s">
        <v>2335</v>
      </c>
      <c r="I53" s="356" t="s">
        <v>2336</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2311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2398</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2320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2416</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2417</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2426</v>
      </c>
      <c r="C1" s="3477" t="s">
        <v>2427</v>
      </c>
      <c r="D1" s="3478"/>
      <c r="E1" s="3478"/>
      <c r="F1" s="3478"/>
      <c r="G1" s="3478"/>
      <c r="H1" s="3478"/>
      <c r="I1" s="3478"/>
      <c r="J1" s="3478"/>
      <c r="K1" s="3478"/>
      <c r="L1" s="3478"/>
      <c r="M1" s="3478"/>
      <c r="N1" s="3478"/>
      <c r="O1" s="3478"/>
      <c r="P1" s="3478"/>
      <c r="Q1" s="3478"/>
      <c r="R1" s="3478"/>
      <c r="S1" s="3479"/>
      <c r="T1" s="79" t="s">
        <v>2428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2429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2430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2436</v>
      </c>
      <c r="B17" s="108" t="s">
        <v>1249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2437</v>
      </c>
      <c r="B20" s="119">
        <f>S22</f>
        <v>0</v>
      </c>
      <c r="C20" s="117"/>
      <c r="D20" s="117"/>
      <c r="E20" s="117"/>
      <c r="F20" s="117"/>
      <c r="G20" s="117"/>
      <c r="H20" s="117"/>
      <c r="I20" s="117"/>
      <c r="J20" s="117"/>
      <c r="K20" s="117"/>
      <c r="L20" s="117"/>
      <c r="M20" s="117"/>
      <c r="N20" s="117"/>
      <c r="O20" s="117"/>
      <c r="P20" s="117"/>
      <c r="Q20" s="117"/>
      <c r="R20" s="179"/>
      <c r="S20" s="180"/>
    </row>
    <row r="21" spans="1:45" ht="15.75">
      <c r="A21" s="118" t="s">
        <v>2438</v>
      </c>
      <c r="B21" s="119" t="e">
        <f>R22</f>
        <v>#DIV/0!</v>
      </c>
      <c r="C21" s="117"/>
      <c r="D21" s="117"/>
      <c r="E21" s="117"/>
      <c r="F21" s="117"/>
      <c r="G21" s="117"/>
      <c r="H21" s="117"/>
      <c r="I21" s="117"/>
      <c r="J21" s="117"/>
      <c r="K21" s="117"/>
      <c r="L21" s="117"/>
      <c r="M21" s="117"/>
      <c r="N21" s="117"/>
      <c r="O21" s="117"/>
      <c r="P21" s="117"/>
      <c r="Q21" s="117"/>
      <c r="R21" s="179"/>
      <c r="S21" s="180"/>
    </row>
    <row r="22" spans="1:45">
      <c r="A22" s="120" t="s">
        <v>2439</v>
      </c>
      <c r="B22" s="121">
        <f>SUM(B24:B10000)</f>
        <v>0</v>
      </c>
      <c r="C22" s="3480" t="s">
        <v>138</v>
      </c>
      <c r="D22" s="3481"/>
      <c r="E22" s="3481"/>
      <c r="F22" s="3481"/>
      <c r="G22" s="3481"/>
      <c r="H22" s="3481"/>
      <c r="I22" s="3481"/>
      <c r="J22" s="3481"/>
      <c r="K22" s="3481"/>
      <c r="L22" s="3481"/>
      <c r="M22" s="3481"/>
      <c r="N22" s="3481"/>
      <c r="O22" s="3481"/>
      <c r="P22" s="3481"/>
      <c r="Q22" s="3482"/>
      <c r="R22" s="182" t="e">
        <f>ROUND(S22*10000/B22,0)</f>
        <v>#DIV/0!</v>
      </c>
      <c r="S22" s="121">
        <f>SUM(S24:S10000)</f>
        <v>0</v>
      </c>
    </row>
    <row r="23" spans="1:45" s="73" customFormat="1" ht="24">
      <c r="A23" s="124" t="s">
        <v>2440</v>
      </c>
      <c r="B23" s="124" t="s">
        <v>445</v>
      </c>
      <c r="C23" s="124" t="s">
        <v>1309</v>
      </c>
      <c r="D23" s="124" t="str">
        <f>B5</f>
        <v>修正项2</v>
      </c>
      <c r="E23" s="124" t="s">
        <v>1309</v>
      </c>
      <c r="F23" s="124" t="str">
        <f>B7</f>
        <v>修正项3</v>
      </c>
      <c r="G23" s="124" t="s">
        <v>1309</v>
      </c>
      <c r="H23" s="124" t="str">
        <f>B9</f>
        <v>修正项4</v>
      </c>
      <c r="I23" s="124" t="s">
        <v>1309</v>
      </c>
      <c r="J23" s="124" t="str">
        <f>B11</f>
        <v>修正项5</v>
      </c>
      <c r="K23" s="124" t="s">
        <v>1309</v>
      </c>
      <c r="L23" s="124" t="str">
        <f>B13</f>
        <v>修正项6</v>
      </c>
      <c r="M23" s="124" t="s">
        <v>1309</v>
      </c>
      <c r="N23" s="124" t="str">
        <f>B15</f>
        <v>修正项7</v>
      </c>
      <c r="O23" s="124" t="s">
        <v>1309</v>
      </c>
      <c r="P23" s="124" t="str">
        <f>B17</f>
        <v>楼层</v>
      </c>
      <c r="Q23" s="124" t="s">
        <v>1309</v>
      </c>
      <c r="R23" s="183" t="s">
        <v>2441</v>
      </c>
      <c r="S23" s="124" t="s">
        <v>2442</v>
      </c>
      <c r="T23" s="184"/>
      <c r="U23" s="184"/>
      <c r="V23" s="184"/>
      <c r="W23" s="184"/>
      <c r="X23" s="184"/>
      <c r="Y23" s="184"/>
      <c r="Z23" s="184"/>
      <c r="AA23" s="184"/>
      <c r="AB23" s="184"/>
      <c r="AC23" s="184"/>
      <c r="AD23" s="184"/>
      <c r="AE23" s="184"/>
      <c r="AF23" s="184"/>
      <c r="AG23" s="184"/>
      <c r="AH23" s="184"/>
      <c r="AI23" s="184"/>
    </row>
    <row r="24" spans="1:45" s="74" customFormat="1">
      <c r="A24" s="125" t="s">
        <v>2443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2444</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2445</v>
      </c>
      <c r="C2" s="12">
        <f>'数据-取费表'!B22</f>
        <v>2</v>
      </c>
      <c r="D2" s="7" t="s">
        <v>2446</v>
      </c>
      <c r="E2" s="13">
        <f ca="1">INDIRECT("I"&amp;$I$1)/100</f>
        <v>4.7500000000000001E-2</v>
      </c>
      <c r="G2" s="10"/>
      <c r="H2" s="10"/>
      <c r="I2" s="10" t="s">
        <v>2446</v>
      </c>
      <c r="K2" s="10"/>
      <c r="L2" s="10"/>
      <c r="M2" s="10"/>
      <c r="N2" s="10" t="s">
        <v>2447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2448</v>
      </c>
      <c r="C3" s="14">
        <f>'数据-取费表'!B19</f>
        <v>0</v>
      </c>
      <c r="D3" s="7" t="s">
        <v>2446</v>
      </c>
      <c r="E3" s="13">
        <f ca="1">INDIRECT("J"&amp;$J$1)/100</f>
        <v>0</v>
      </c>
      <c r="G3" s="15" t="s">
        <v>2449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2450</v>
      </c>
      <c r="C4" s="13">
        <f ca="1">N4/100</f>
        <v>1.4999999999999999E-2</v>
      </c>
      <c r="G4" s="17" t="s">
        <v>2451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2456</v>
      </c>
      <c r="C10" s="28"/>
      <c r="D10" s="28"/>
      <c r="E10" s="28"/>
      <c r="F10" s="28"/>
      <c r="G10" s="28"/>
      <c r="H10" s="28"/>
      <c r="I10" s="3"/>
      <c r="J10" s="3"/>
      <c r="K10" s="28"/>
      <c r="L10" s="29" t="s">
        <v>2457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2458</v>
      </c>
      <c r="C11" s="32" t="s">
        <v>2459</v>
      </c>
      <c r="D11" s="33" t="s">
        <v>2460</v>
      </c>
      <c r="E11" s="34"/>
      <c r="F11" s="33" t="s">
        <v>2461</v>
      </c>
      <c r="G11" s="35"/>
      <c r="H11" s="34"/>
      <c r="I11" s="33" t="s">
        <v>2462</v>
      </c>
      <c r="J11" s="34"/>
      <c r="K11" s="30"/>
      <c r="L11" s="31" t="s">
        <v>2458</v>
      </c>
      <c r="M11" s="32" t="s">
        <v>2459</v>
      </c>
      <c r="N11" s="31" t="s">
        <v>2463</v>
      </c>
      <c r="O11" s="33" t="s">
        <v>2464</v>
      </c>
      <c r="P11" s="35"/>
      <c r="Q11" s="35"/>
      <c r="R11" s="35"/>
      <c r="S11" s="35"/>
      <c r="T11" s="34"/>
      <c r="U11" s="33" t="s">
        <v>2465</v>
      </c>
      <c r="V11" s="35"/>
      <c r="W11" s="34"/>
      <c r="X11" s="31" t="s">
        <v>2466</v>
      </c>
      <c r="Y11" s="31" t="s">
        <v>2467</v>
      </c>
      <c r="Z11" s="31" t="s">
        <v>2468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2469</v>
      </c>
      <c r="E12" s="39" t="s">
        <v>2451</v>
      </c>
      <c r="F12" s="39" t="s">
        <v>2452</v>
      </c>
      <c r="G12" s="39" t="s">
        <v>2453</v>
      </c>
      <c r="H12" s="39" t="s">
        <v>2454</v>
      </c>
      <c r="I12" s="59" t="s">
        <v>2470</v>
      </c>
      <c r="J12" s="59" t="s">
        <v>2470</v>
      </c>
      <c r="K12" s="36"/>
      <c r="L12" s="37"/>
      <c r="M12" s="38"/>
      <c r="N12" s="37"/>
      <c r="O12" s="59" t="s">
        <v>2471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2472</v>
      </c>
      <c r="C13" s="42">
        <v>42301</v>
      </c>
      <c r="D13" s="43">
        <v>4.3499999999999996</v>
      </c>
      <c r="E13" s="43">
        <v>4.3499999999999996</v>
      </c>
      <c r="F13" s="43">
        <v>4.75</v>
      </c>
      <c r="G13" s="43">
        <v>4.75</v>
      </c>
      <c r="H13" s="43">
        <v>4.9000000000000004</v>
      </c>
      <c r="I13" s="43">
        <v>2.75</v>
      </c>
      <c r="J13" s="43">
        <v>3.25</v>
      </c>
      <c r="K13" s="40"/>
      <c r="L13" s="41" t="s">
        <v>2472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1092</v>
      </c>
      <c r="Y42" s="44" t="s">
        <v>1092</v>
      </c>
      <c r="Z42" s="44" t="s">
        <v>1092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1092</v>
      </c>
      <c r="Y43" s="44" t="s">
        <v>1092</v>
      </c>
      <c r="Z43" s="44" t="s">
        <v>1092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1092</v>
      </c>
      <c r="Y44" s="44" t="s">
        <v>1092</v>
      </c>
      <c r="Z44" s="44" t="s">
        <v>1092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1092</v>
      </c>
      <c r="Y45" s="44" t="s">
        <v>1092</v>
      </c>
      <c r="Z45" s="44" t="s">
        <v>1092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1092</v>
      </c>
      <c r="Y46" s="44" t="s">
        <v>1092</v>
      </c>
      <c r="Z46" s="44" t="s">
        <v>1092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1092</v>
      </c>
      <c r="Y47" s="44" t="s">
        <v>1092</v>
      </c>
      <c r="Z47" s="44" t="s">
        <v>1092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1092</v>
      </c>
      <c r="Y48" s="44" t="s">
        <v>1092</v>
      </c>
      <c r="Z48" s="44" t="s">
        <v>1092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1092</v>
      </c>
      <c r="Y49" s="44" t="s">
        <v>1092</v>
      </c>
      <c r="Z49" s="44" t="s">
        <v>1092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1092</v>
      </c>
      <c r="Y50" s="44" t="s">
        <v>1092</v>
      </c>
      <c r="Z50" s="44" t="s">
        <v>1092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1092</v>
      </c>
      <c r="V51" s="44" t="s">
        <v>1092</v>
      </c>
      <c r="W51" s="44" t="s">
        <v>1092</v>
      </c>
      <c r="X51" s="44" t="s">
        <v>1092</v>
      </c>
      <c r="Y51" s="44" t="s">
        <v>1092</v>
      </c>
      <c r="Z51" s="44" t="s">
        <v>1092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1092</v>
      </c>
      <c r="J55" s="44" t="s">
        <v>1092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1" t="s">
        <v>98</v>
      </c>
      <c r="B1" s="3191"/>
      <c r="C1" s="3191"/>
      <c r="D1" s="3191"/>
      <c r="E1" s="3191"/>
      <c r="F1" s="3191"/>
      <c r="G1" s="3191"/>
      <c r="H1" s="3191"/>
      <c r="I1" s="3191"/>
      <c r="J1" s="3191"/>
      <c r="K1" s="3191"/>
      <c r="L1" s="3191"/>
      <c r="M1" s="3191"/>
      <c r="N1" s="3191"/>
      <c r="O1" s="3191"/>
      <c r="P1" s="3191"/>
      <c r="Q1" s="3191"/>
      <c r="R1" s="3191"/>
    </row>
    <row r="2" spans="1:18">
      <c r="A2" s="3096" t="s">
        <v>99</v>
      </c>
      <c r="B2" s="3096"/>
      <c r="C2" s="3096"/>
      <c r="D2" s="3096"/>
      <c r="E2" s="3096"/>
      <c r="F2" s="3096"/>
      <c r="G2" s="3096"/>
      <c r="H2" s="3096"/>
      <c r="I2" s="3109"/>
      <c r="J2" s="3109"/>
      <c r="K2" s="3110" t="str">
        <f>"估价期日："&amp;TEXT(项目基本情况!D3,"yyyy年m月d日;;")</f>
        <v>估价期日：2019年10月30日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88" t="s">
        <v>100</v>
      </c>
      <c r="B3" s="3188" t="s">
        <v>101</v>
      </c>
      <c r="C3" s="3189" t="s">
        <v>102</v>
      </c>
      <c r="D3" s="3188" t="s">
        <v>103</v>
      </c>
      <c r="E3" s="3192" t="s">
        <v>104</v>
      </c>
      <c r="F3" s="3192"/>
      <c r="G3" s="3192"/>
      <c r="H3" s="3192" t="s">
        <v>105</v>
      </c>
      <c r="I3" s="3192"/>
      <c r="J3" s="3192"/>
      <c r="K3" s="3189" t="s">
        <v>106</v>
      </c>
      <c r="L3" s="3189" t="s">
        <v>107</v>
      </c>
      <c r="M3" s="3188" t="s">
        <v>108</v>
      </c>
      <c r="N3" s="3190" t="str">
        <f>"（分摊）"&amp;项目基本情况!B16&amp;"国有建设用地使用权面积/㎡"</f>
        <v>（分摊）出让国有建设用地使用权面积/㎡</v>
      </c>
      <c r="O3" s="3188" t="s">
        <v>109</v>
      </c>
      <c r="P3" s="3189" t="s">
        <v>110</v>
      </c>
      <c r="Q3" s="3189" t="s">
        <v>111</v>
      </c>
      <c r="R3" s="3189" t="s">
        <v>112</v>
      </c>
    </row>
    <row r="4" spans="1:18" ht="36.75" customHeight="1">
      <c r="A4" s="3188"/>
      <c r="B4" s="3188"/>
      <c r="C4" s="3189"/>
      <c r="D4" s="3188"/>
      <c r="E4" s="3098" t="s">
        <v>113</v>
      </c>
      <c r="F4" s="3098" t="s">
        <v>114</v>
      </c>
      <c r="G4" s="3098" t="s">
        <v>115</v>
      </c>
      <c r="H4" s="3098" t="s">
        <v>116</v>
      </c>
      <c r="I4" s="3098" t="s">
        <v>117</v>
      </c>
      <c r="J4" s="3098" t="s">
        <v>115</v>
      </c>
      <c r="K4" s="3189"/>
      <c r="L4" s="3189"/>
      <c r="M4" s="3188"/>
      <c r="N4" s="3190"/>
      <c r="O4" s="3188"/>
      <c r="P4" s="3189"/>
      <c r="Q4" s="3189"/>
      <c r="R4" s="3189"/>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40000.22</v>
      </c>
      <c r="O5" s="3102">
        <f>项目基本情况!C21</f>
        <v>109558.57000000002</v>
      </c>
      <c r="P5" s="3102">
        <f ca="1">结果表!E42</f>
        <v>3858</v>
      </c>
      <c r="Q5" s="3102">
        <f ca="1">结果表!D42</f>
        <v>1408</v>
      </c>
      <c r="R5" s="3111">
        <f ca="1">结果表!C42</f>
        <v>15431</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3112">
        <f ca="1">结果表!O39</f>
        <v>15431</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3112" t="str">
        <f>结果表!O40</f>
        <v>——</v>
      </c>
    </row>
    <row r="8" spans="1:18">
      <c r="A8" s="3185" t="str">
        <f>IF(项目基本情况!B9="市场价格","——",项目基本情况!E9)</f>
        <v>——</v>
      </c>
      <c r="B8" s="3186"/>
      <c r="C8" s="3186"/>
      <c r="D8" s="3186"/>
      <c r="E8" s="3186"/>
      <c r="F8" s="3186"/>
      <c r="G8" s="3186"/>
      <c r="H8" s="3186"/>
      <c r="I8" s="3186"/>
      <c r="J8" s="3186"/>
      <c r="K8" s="3186"/>
      <c r="L8" s="3186"/>
      <c r="M8" s="3186"/>
      <c r="N8" s="3186"/>
      <c r="O8" s="3186"/>
      <c r="P8" s="3186"/>
      <c r="Q8" s="3187"/>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93" t="s">
        <v>122</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5" t="s">
        <v>123</v>
      </c>
      <c r="B5" s="3195"/>
      <c r="C5" s="3195"/>
      <c r="D5" s="3195"/>
    </row>
    <row r="6" spans="1:4">
      <c r="A6" s="3193" t="s">
        <v>124</v>
      </c>
      <c r="B6" s="3193"/>
      <c r="C6" s="3193"/>
      <c r="D6" s="3193"/>
    </row>
    <row r="7" spans="1:4" ht="33" customHeight="1">
      <c r="A7" s="3193" t="s">
        <v>125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5" t="s">
        <v>126</v>
      </c>
      <c r="B12" s="3195"/>
      <c r="C12" s="3195"/>
      <c r="D12" s="3195"/>
    </row>
    <row r="13" spans="1:4">
      <c r="A13" s="3196" t="s">
        <v>127</v>
      </c>
      <c r="B13" s="3196"/>
      <c r="C13" s="3196"/>
      <c r="D13" s="3196"/>
    </row>
    <row r="14" spans="1:4">
      <c r="A14" s="3194" t="str">
        <f>IF(项目基本情况!B8="抵押","综上，"&amp;结果表!K47,"——")</f>
        <v>综上，本次评估不存在估价师知悉的法定优先受偿款</v>
      </c>
      <c r="B14" s="3194"/>
      <c r="C14" s="3194"/>
      <c r="D14" s="3194"/>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128</v>
      </c>
      <c r="B17" s="3193"/>
      <c r="C17" s="3193"/>
      <c r="D17" s="3193"/>
    </row>
    <row r="18" spans="1:4">
      <c r="A18" s="3193" t="s">
        <v>129</v>
      </c>
      <c r="B18" s="3193"/>
      <c r="C18" s="3193"/>
      <c r="D18" s="3193"/>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93" t="s">
        <v>135</v>
      </c>
      <c r="B23" s="3193"/>
      <c r="C23" s="3193"/>
      <c r="D23" s="3193"/>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198" t="s">
        <v>151</v>
      </c>
      <c r="B15" s="3206" t="s">
        <v>152</v>
      </c>
      <c r="C15" s="3207"/>
    </row>
    <row r="16" spans="1:7" ht="14.25">
      <c r="A16" s="3198"/>
      <c r="B16" s="3200" t="s">
        <v>153</v>
      </c>
      <c r="C16" s="3078" t="s">
        <v>151</v>
      </c>
    </row>
    <row r="17" spans="1:3" ht="14.25">
      <c r="A17" s="3198"/>
      <c r="B17" s="3200"/>
      <c r="C17" s="3078" t="s">
        <v>154</v>
      </c>
    </row>
    <row r="18" spans="1:3" ht="14.25">
      <c r="A18" s="3198"/>
      <c r="B18" s="3200"/>
      <c r="C18" s="3078" t="s">
        <v>155</v>
      </c>
    </row>
    <row r="19" spans="1:3" ht="14.25">
      <c r="A19" s="3198"/>
      <c r="B19" s="3208" t="s">
        <v>156</v>
      </c>
      <c r="C19" s="3207"/>
    </row>
    <row r="20" spans="1:3" ht="14.25">
      <c r="A20" s="3079" t="s">
        <v>157</v>
      </c>
      <c r="B20" s="3080"/>
      <c r="C20" s="3081"/>
    </row>
    <row r="21" spans="1:3" ht="14.25">
      <c r="A21" s="3199" t="s">
        <v>158</v>
      </c>
      <c r="B21" s="3208" t="s">
        <v>159</v>
      </c>
      <c r="C21" s="3207"/>
    </row>
    <row r="22" spans="1:3" ht="14.25">
      <c r="A22" s="3199"/>
      <c r="B22" s="3208" t="s">
        <v>160</v>
      </c>
      <c r="C22" s="3207"/>
    </row>
    <row r="23" spans="1:3" ht="14.25">
      <c r="A23" s="3199"/>
      <c r="B23" s="3208" t="s">
        <v>161</v>
      </c>
      <c r="C23" s="3207"/>
    </row>
    <row r="24" spans="1:3" ht="14.25">
      <c r="A24" s="3199"/>
      <c r="B24" s="3201" t="s">
        <v>162</v>
      </c>
      <c r="C24" s="3082" t="s">
        <v>163</v>
      </c>
    </row>
    <row r="25" spans="1:3" ht="14.25">
      <c r="A25" s="3199"/>
      <c r="B25" s="3202"/>
      <c r="C25" s="3082" t="s">
        <v>164</v>
      </c>
    </row>
    <row r="26" spans="1:3" ht="14.25">
      <c r="A26" s="3199"/>
      <c r="B26" s="3202"/>
      <c r="C26" s="3082" t="s">
        <v>165</v>
      </c>
    </row>
    <row r="27" spans="1:3" ht="14.25">
      <c r="A27" s="3199"/>
      <c r="B27" s="3202"/>
      <c r="C27" s="3082" t="s">
        <v>166</v>
      </c>
    </row>
    <row r="28" spans="1:3" ht="14.25">
      <c r="A28" s="3199"/>
      <c r="B28" s="3202"/>
      <c r="C28" s="3082" t="s">
        <v>167</v>
      </c>
    </row>
    <row r="29" spans="1:3" ht="14.25">
      <c r="A29" s="3199"/>
      <c r="B29" s="3202"/>
      <c r="C29" s="3082" t="s">
        <v>168</v>
      </c>
    </row>
    <row r="30" spans="1:3" ht="14.25">
      <c r="A30" s="3199"/>
      <c r="B30" s="3202"/>
      <c r="C30" s="3082" t="s">
        <v>169</v>
      </c>
    </row>
    <row r="31" spans="1:3" ht="14.25">
      <c r="A31" s="3199"/>
      <c r="B31" s="3202"/>
      <c r="C31" s="3082" t="s">
        <v>170</v>
      </c>
    </row>
    <row r="32" spans="1:3" ht="14.25">
      <c r="A32" s="3199"/>
      <c r="B32" s="3202"/>
      <c r="C32" s="3082" t="s">
        <v>171</v>
      </c>
    </row>
    <row r="33" spans="1:3" ht="14.25">
      <c r="A33" s="3199"/>
      <c r="B33" s="3203" t="s">
        <v>172</v>
      </c>
      <c r="C33" s="3082" t="s">
        <v>173</v>
      </c>
    </row>
    <row r="34" spans="1:3" ht="14.25">
      <c r="A34" s="3199"/>
      <c r="B34" s="3204"/>
      <c r="C34" s="3083" t="s">
        <v>174</v>
      </c>
    </row>
    <row r="35" spans="1:3" ht="14.25">
      <c r="A35" s="3199"/>
      <c r="B35" s="3204"/>
      <c r="C35" s="3084" t="s">
        <v>175</v>
      </c>
    </row>
    <row r="36" spans="1:3" ht="14.25">
      <c r="A36" s="3199"/>
      <c r="B36" s="3204"/>
      <c r="C36" s="3084" t="s">
        <v>176</v>
      </c>
    </row>
    <row r="37" spans="1:3" ht="14.25">
      <c r="A37" s="3199"/>
      <c r="B37" s="3205"/>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43775</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43849</v>
      </c>
      <c r="D4" s="3053" t="s">
        <v>191</v>
      </c>
      <c r="E4" s="3053">
        <f ca="1">IF(F4&lt;B2,"已过期",96010014)</f>
        <v>96010014</v>
      </c>
      <c r="F4" s="3056">
        <v>47118</v>
      </c>
    </row>
    <row r="5" spans="1:6" ht="20.25" customHeight="1">
      <c r="A5" s="3053" t="s">
        <v>192</v>
      </c>
      <c r="B5" s="3053">
        <f ca="1">IF(C5&lt;B2,"已过期",1119970074)</f>
        <v>1119970074</v>
      </c>
      <c r="C5" s="3055">
        <v>43849</v>
      </c>
      <c r="D5" s="3053" t="s">
        <v>192</v>
      </c>
      <c r="E5" s="3053">
        <f ca="1">IF(F5&lt;B2,"已过期",2002110027)</f>
        <v>2002110027</v>
      </c>
      <c r="F5" s="3056">
        <v>46752</v>
      </c>
    </row>
    <row r="6" spans="1:6" ht="20.25" customHeight="1">
      <c r="A6" s="3053" t="s">
        <v>193</v>
      </c>
      <c r="B6" s="3053">
        <f ca="1">IF(C6&lt;B2,"已过期",1119970111)</f>
        <v>1119970111</v>
      </c>
      <c r="C6" s="3055">
        <v>43849</v>
      </c>
      <c r="D6" s="3053" t="s">
        <v>193</v>
      </c>
      <c r="E6" s="3053">
        <f ca="1">IF(F6&lt;B2,"已过期",94010078)</f>
        <v>94010078</v>
      </c>
      <c r="F6" s="3056">
        <v>46387</v>
      </c>
    </row>
    <row r="7" spans="1:6" ht="20.25" customHeight="1">
      <c r="A7" s="3053" t="s">
        <v>194</v>
      </c>
      <c r="B7" s="3053">
        <f ca="1">IF(C7&lt;B2,"已过期",1120050019)</f>
        <v>1120050019</v>
      </c>
      <c r="C7" s="3055">
        <v>44395</v>
      </c>
      <c r="D7" s="3053" t="s">
        <v>194</v>
      </c>
      <c r="E7" s="3053">
        <f ca="1">IF(F7&lt;B2,"已过期",2002110030)</f>
        <v>2002110030</v>
      </c>
      <c r="F7" s="3056">
        <v>46387</v>
      </c>
    </row>
    <row r="8" spans="1:6" ht="20.25" customHeight="1">
      <c r="A8" s="3053" t="s">
        <v>195</v>
      </c>
      <c r="B8" s="3053">
        <f ca="1">IF(C8&lt;B2,"已过期",1120000080)</f>
        <v>1120000080</v>
      </c>
      <c r="C8" s="3055">
        <v>43849</v>
      </c>
      <c r="D8" s="3053" t="s">
        <v>195</v>
      </c>
      <c r="E8" s="3053">
        <f ca="1">IF(F8&lt;B2,"已过期",2000110082)</f>
        <v>2000110082</v>
      </c>
      <c r="F8" s="3056">
        <v>46387</v>
      </c>
    </row>
    <row r="9" spans="1:6" ht="20.25" customHeight="1">
      <c r="A9" s="3053" t="s">
        <v>196</v>
      </c>
      <c r="B9" s="3053">
        <f ca="1">IF(C9&lt;B2,"已过期",1419970001)</f>
        <v>1419970001</v>
      </c>
      <c r="C9" s="3055">
        <v>43867</v>
      </c>
      <c r="D9" s="3053" t="s">
        <v>196</v>
      </c>
      <c r="E9" s="3053">
        <f ca="1">IF(F9&lt;B2,"已过期",2002110125)</f>
        <v>2002110125</v>
      </c>
      <c r="F9" s="3056">
        <v>47118</v>
      </c>
    </row>
    <row r="10" spans="1:6" ht="20.25" customHeight="1">
      <c r="A10" s="3053" t="s">
        <v>197</v>
      </c>
      <c r="B10" s="3053">
        <f ca="1">IF(C10&lt;B2,"已过期",1120060040)</f>
        <v>1120060040</v>
      </c>
      <c r="C10" s="3055">
        <v>44554</v>
      </c>
      <c r="D10" s="3053" t="s">
        <v>197</v>
      </c>
      <c r="E10" s="3053">
        <f ca="1">IF(F10&lt;B2,"已过期",2004110096)</f>
        <v>2004110096</v>
      </c>
      <c r="F10" s="3056">
        <v>47118</v>
      </c>
    </row>
    <row r="11" spans="1:6" ht="20.25" customHeight="1">
      <c r="A11" s="3053" t="s">
        <v>198</v>
      </c>
      <c r="B11" s="3053">
        <f ca="1">IF(C11&lt;B2,"已过期",1120100036)</f>
        <v>1120100036</v>
      </c>
      <c r="C11" s="3055">
        <v>44675</v>
      </c>
      <c r="D11" s="3053" t="s">
        <v>198</v>
      </c>
      <c r="E11" s="3053">
        <f ca="1">IF(F11&lt;B2,"已过期",2010110070)</f>
        <v>2010110070</v>
      </c>
      <c r="F11" s="3056">
        <v>47907</v>
      </c>
    </row>
    <row r="12" spans="1:6" ht="20.25" customHeight="1">
      <c r="A12" s="3053"/>
      <c r="B12" s="3053"/>
      <c r="C12" s="3055"/>
      <c r="D12" s="3053"/>
      <c r="E12" s="3053"/>
      <c r="F12" s="3056"/>
    </row>
    <row r="13" spans="1:6" ht="20.25" customHeight="1">
      <c r="A13" s="3053" t="s">
        <v>199</v>
      </c>
      <c r="B13" s="3053">
        <f ca="1">IF(C13&lt;B2,"已过期",1120070131)</f>
        <v>1120070131</v>
      </c>
      <c r="C13" s="3055">
        <v>43814</v>
      </c>
      <c r="D13" s="3053" t="s">
        <v>199</v>
      </c>
      <c r="E13" s="3053">
        <f ca="1">IF(F13&lt;B2,"已过期",2014110011)</f>
        <v>2014110011</v>
      </c>
      <c r="F13" s="3056">
        <v>49302</v>
      </c>
    </row>
    <row r="14" spans="1:6" ht="20.25" customHeight="1">
      <c r="A14" s="3053" t="s">
        <v>200</v>
      </c>
      <c r="B14" s="3053">
        <f ca="1">IF(C14&lt;B2,"已过期",1120040230)</f>
        <v>1120040230</v>
      </c>
      <c r="C14" s="3057">
        <v>43835</v>
      </c>
      <c r="D14" s="3058" t="s">
        <v>200</v>
      </c>
      <c r="E14" s="3053">
        <f ca="1">IF(F14&lt;B2,"已过期",98030020)</f>
        <v>98030020</v>
      </c>
      <c r="F14" s="3056">
        <v>47118</v>
      </c>
    </row>
    <row r="15" spans="1:6" ht="20.25" customHeight="1">
      <c r="A15" s="3053" t="s">
        <v>201</v>
      </c>
      <c r="B15" s="3053">
        <f ca="1">IF(C15&lt;B2,"已过期",1120070085)</f>
        <v>1120070085</v>
      </c>
      <c r="C15" s="3057">
        <v>43814</v>
      </c>
      <c r="D15" s="3053" t="s">
        <v>201</v>
      </c>
      <c r="E15" s="3053">
        <f ca="1">IF(F15&lt;B2,"已过期",2004110128)</f>
        <v>2004110128</v>
      </c>
      <c r="F15" s="3059">
        <v>47118</v>
      </c>
    </row>
    <row r="16" spans="1:6" ht="20.25" customHeight="1">
      <c r="A16" s="3053" t="s">
        <v>202</v>
      </c>
      <c r="B16" s="3053">
        <f ca="1">IF(C16&lt;B2,"已过期",1120140022)</f>
        <v>1120140022</v>
      </c>
      <c r="C16" s="3055">
        <v>44029</v>
      </c>
      <c r="D16" s="3053" t="s">
        <v>202</v>
      </c>
      <c r="E16" s="3053">
        <f ca="1">IF(F16&lt;B2,"已过期",2008110059)</f>
        <v>2008110059</v>
      </c>
      <c r="F16" s="3056">
        <v>47177</v>
      </c>
    </row>
    <row r="17" spans="1:7" ht="20.25" customHeight="1">
      <c r="A17" s="3053"/>
      <c r="B17" s="3053"/>
      <c r="C17" s="3055"/>
      <c r="D17" s="3058" t="s">
        <v>203</v>
      </c>
      <c r="E17" s="3053">
        <f ca="1">IF(F17&lt;B2,"已过期",2014110076)</f>
        <v>2014110076</v>
      </c>
      <c r="F17" s="3056">
        <v>49302</v>
      </c>
    </row>
    <row r="18" spans="1:7" ht="20.25" customHeight="1">
      <c r="A18" s="3053"/>
      <c r="B18" s="3053"/>
      <c r="C18" s="3055"/>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204</v>
      </c>
      <c r="E21" s="3053">
        <f ca="1">IF(F21&lt;B2,"已过期",2011110090)</f>
        <v>2011110090</v>
      </c>
      <c r="F21" s="3056">
        <v>48302</v>
      </c>
    </row>
    <row r="22" spans="1:7" ht="20.25" customHeight="1">
      <c r="A22" s="3053" t="s">
        <v>205</v>
      </c>
      <c r="B22" s="3053">
        <f ca="1">IF(C22&lt;B2,"已过期",1120020033)</f>
        <v>1120020033</v>
      </c>
      <c r="C22" s="3055">
        <v>44339</v>
      </c>
      <c r="D22" s="3053" t="s">
        <v>205</v>
      </c>
      <c r="E22" s="3053">
        <f ca="1">IF(F22&lt;B2,"已过期",2000110137)</f>
        <v>2000110137</v>
      </c>
      <c r="F22" s="3056">
        <v>46387</v>
      </c>
    </row>
    <row r="23" spans="1:7" ht="20.25" customHeight="1">
      <c r="A23" s="3053"/>
      <c r="B23" s="3053"/>
      <c r="C23" s="3055"/>
      <c r="D23" s="3053"/>
      <c r="E23" s="3053"/>
      <c r="F23" s="3053"/>
    </row>
    <row r="24" spans="1:7" s="3047" customFormat="1" ht="20.25" customHeight="1">
      <c r="A24" s="3052" t="s">
        <v>138</v>
      </c>
      <c r="B24" s="3052" t="s">
        <v>138</v>
      </c>
      <c r="C24" s="3055"/>
      <c r="D24" s="3060" t="s">
        <v>138</v>
      </c>
      <c r="E24" s="3052" t="s">
        <v>138</v>
      </c>
      <c r="F24" s="3059"/>
    </row>
    <row r="25" spans="1:7" ht="20.25" customHeight="1">
      <c r="A25" s="3209" t="s">
        <v>206</v>
      </c>
      <c r="B25" s="3209"/>
      <c r="C25" s="3209"/>
      <c r="D25" s="3209"/>
      <c r="E25" s="3209"/>
      <c r="F25" s="3209"/>
      <c r="G25" s="3209"/>
    </row>
    <row r="26" spans="1:7" ht="20.25" customHeight="1">
      <c r="A26" s="3210" t="s">
        <v>207</v>
      </c>
      <c r="B26" s="3210"/>
      <c r="C26" s="3210"/>
      <c r="D26" s="3210" t="s">
        <v>208</v>
      </c>
      <c r="E26" s="3210"/>
      <c r="F26" s="3210"/>
    </row>
    <row r="27" spans="1:7" s="3048" customFormat="1" ht="20.25" customHeight="1">
      <c r="A27" s="3061" t="s">
        <v>209</v>
      </c>
      <c r="B27" s="3062" t="s">
        <v>210</v>
      </c>
      <c r="C27" s="3062" t="s">
        <v>188</v>
      </c>
      <c r="D27" s="3053" t="s">
        <v>209</v>
      </c>
      <c r="E27" s="3062" t="s">
        <v>210</v>
      </c>
      <c r="F27" s="3062" t="s">
        <v>188</v>
      </c>
    </row>
    <row r="28" spans="1:7" s="3048" customFormat="1" ht="20.25" customHeight="1">
      <c r="A28" s="3063" t="s">
        <v>211</v>
      </c>
      <c r="B28" s="3063" t="s">
        <v>212</v>
      </c>
      <c r="C28" s="3056">
        <v>43725</v>
      </c>
      <c r="D28" s="3063" t="s">
        <v>213</v>
      </c>
      <c r="E28" s="3063" t="s">
        <v>214</v>
      </c>
      <c r="F28" s="3064">
        <v>44377</v>
      </c>
    </row>
    <row r="29" spans="1:7" s="3048" customFormat="1" ht="20.25" customHeight="1">
      <c r="A29" s="3063"/>
      <c r="B29" s="3063"/>
      <c r="C29" s="3065"/>
      <c r="D29" s="3063" t="s">
        <v>215</v>
      </c>
      <c r="E29" s="3063" t="s">
        <v>216</v>
      </c>
      <c r="F29" s="3064">
        <v>43646</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4" customWidth="1"/>
    <col min="2" max="2" width="18.875" style="3025" customWidth="1"/>
    <col min="3" max="3" width="18.875" style="2233" hidden="1" customWidth="1"/>
    <col min="4" max="4" width="5.5" style="3026" hidden="1" customWidth="1"/>
    <col min="5" max="5" width="7.125" style="3026" hidden="1" customWidth="1"/>
    <col min="6" max="6" width="10.625" style="3026" hidden="1" customWidth="1"/>
    <col min="7" max="7" width="7.5" style="3026" hidden="1" customWidth="1"/>
    <col min="8" max="8" width="9" style="2233" hidden="1" customWidth="1"/>
    <col min="9" max="9" width="11.625" style="2233" hidden="1" customWidth="1"/>
    <col min="10" max="10" width="9" style="2233" hidden="1" customWidth="1"/>
    <col min="11" max="19" width="9" style="3026" hidden="1" customWidth="1"/>
    <col min="20" max="22" width="9" style="2233" hidden="1" customWidth="1"/>
    <col min="23" max="23" width="9" style="2233" customWidth="1"/>
    <col min="24" max="24" width="14.625" style="3025" customWidth="1"/>
    <col min="25" max="25" width="7.25" style="3025" customWidth="1"/>
    <col min="26" max="16384" width="9" style="3025"/>
  </cols>
  <sheetData>
    <row r="1" spans="1:23" s="3023" customFormat="1" ht="27">
      <c r="A1" s="3027" t="s">
        <v>217</v>
      </c>
      <c r="B1" s="3028" t="s">
        <v>218</v>
      </c>
      <c r="C1" s="3029" t="s">
        <v>219</v>
      </c>
      <c r="D1" s="3030" t="s">
        <v>220</v>
      </c>
      <c r="E1" s="3030" t="s">
        <v>221</v>
      </c>
      <c r="F1" s="3030" t="s">
        <v>222</v>
      </c>
      <c r="G1" s="3030" t="s">
        <v>223</v>
      </c>
      <c r="H1" s="3030" t="s">
        <v>224</v>
      </c>
      <c r="I1" s="3030" t="s">
        <v>225</v>
      </c>
      <c r="J1" s="3030" t="s">
        <v>226</v>
      </c>
      <c r="K1" s="3030" t="s">
        <v>227</v>
      </c>
      <c r="L1" s="3030" t="s">
        <v>228</v>
      </c>
      <c r="M1" s="3030" t="s">
        <v>229</v>
      </c>
      <c r="N1" s="3030" t="s">
        <v>230</v>
      </c>
      <c r="O1" s="3030" t="s">
        <v>231</v>
      </c>
      <c r="P1" s="3030" t="s">
        <v>232</v>
      </c>
      <c r="Q1" s="3043" t="s">
        <v>233</v>
      </c>
      <c r="R1" s="3044" t="s">
        <v>234</v>
      </c>
      <c r="S1" s="3030" t="s">
        <v>235</v>
      </c>
      <c r="T1" s="3045" t="s">
        <v>236</v>
      </c>
      <c r="U1" s="3030" t="s">
        <v>237</v>
      </c>
      <c r="V1" s="3030" t="s">
        <v>238</v>
      </c>
      <c r="W1" s="3046" t="s">
        <v>239</v>
      </c>
    </row>
    <row r="2" spans="1:23">
      <c r="A2" s="3031" t="s">
        <v>240</v>
      </c>
      <c r="B2" s="3031" t="s">
        <v>241</v>
      </c>
      <c r="C2" s="3032" t="s">
        <v>242</v>
      </c>
      <c r="D2" s="3026" t="s">
        <v>243</v>
      </c>
      <c r="E2" s="3026" t="s">
        <v>244</v>
      </c>
      <c r="F2" s="3026" t="s">
        <v>245</v>
      </c>
      <c r="G2" s="3026">
        <v>40</v>
      </c>
      <c r="H2" s="3026" t="s">
        <v>245</v>
      </c>
      <c r="I2" s="3026" t="s">
        <v>246</v>
      </c>
      <c r="J2" s="3026" t="s">
        <v>247</v>
      </c>
      <c r="K2" s="3026" t="s">
        <v>248</v>
      </c>
      <c r="L2" s="3026" t="s">
        <v>248</v>
      </c>
      <c r="M2" s="3026" t="s">
        <v>248</v>
      </c>
      <c r="N2" s="3026" t="s">
        <v>248</v>
      </c>
      <c r="O2" s="3026" t="s">
        <v>248</v>
      </c>
      <c r="P2" s="3042" t="s">
        <v>248</v>
      </c>
      <c r="Q2" s="3026" t="s">
        <v>248</v>
      </c>
      <c r="R2" s="3042" t="s">
        <v>249</v>
      </c>
      <c r="S2" s="3026" t="s">
        <v>248</v>
      </c>
      <c r="T2" s="3026" t="s">
        <v>250</v>
      </c>
      <c r="U2" s="3026" t="s">
        <v>248</v>
      </c>
      <c r="V2" s="3026" t="s">
        <v>251</v>
      </c>
      <c r="W2" s="3026" t="s">
        <v>252</v>
      </c>
    </row>
    <row r="3" spans="1:23">
      <c r="A3" s="3031" t="s">
        <v>253</v>
      </c>
      <c r="B3" s="3033" t="s">
        <v>254</v>
      </c>
      <c r="C3" s="2546" t="s">
        <v>255</v>
      </c>
      <c r="D3" s="3026" t="s">
        <v>256</v>
      </c>
      <c r="E3" s="3026" t="s">
        <v>138</v>
      </c>
      <c r="F3" s="3026" t="s">
        <v>257</v>
      </c>
      <c r="G3" s="3026">
        <v>50</v>
      </c>
      <c r="H3" s="3026" t="s">
        <v>257</v>
      </c>
      <c r="I3" s="3026" t="s">
        <v>258</v>
      </c>
      <c r="J3" s="3026" t="s">
        <v>259</v>
      </c>
      <c r="K3" s="3026" t="s">
        <v>260</v>
      </c>
      <c r="L3" s="3026" t="s">
        <v>260</v>
      </c>
      <c r="M3" s="3026" t="s">
        <v>260</v>
      </c>
      <c r="N3" s="3026" t="s">
        <v>260</v>
      </c>
      <c r="O3" s="3026" t="s">
        <v>260</v>
      </c>
      <c r="P3" s="3042" t="s">
        <v>260</v>
      </c>
      <c r="Q3" s="3026" t="s">
        <v>260</v>
      </c>
      <c r="R3" s="3042" t="s">
        <v>261</v>
      </c>
      <c r="S3" s="3026" t="s">
        <v>260</v>
      </c>
      <c r="T3" s="3026" t="s">
        <v>262</v>
      </c>
      <c r="U3" s="3026" t="s">
        <v>260</v>
      </c>
      <c r="V3" s="3026" t="s">
        <v>263</v>
      </c>
      <c r="W3" s="3026" t="s">
        <v>264</v>
      </c>
    </row>
    <row r="4" spans="1:23">
      <c r="A4" s="3031" t="s">
        <v>265</v>
      </c>
      <c r="B4" s="3031" t="s">
        <v>266</v>
      </c>
      <c r="C4" s="3032" t="s">
        <v>267</v>
      </c>
      <c r="D4" s="3026" t="s">
        <v>138</v>
      </c>
      <c r="E4" s="3026" t="s">
        <v>268</v>
      </c>
      <c r="F4" s="3026" t="s">
        <v>269</v>
      </c>
      <c r="G4" s="3026">
        <v>70</v>
      </c>
      <c r="H4" s="3026" t="s">
        <v>269</v>
      </c>
      <c r="I4" s="3026" t="s">
        <v>270</v>
      </c>
      <c r="K4" s="3026" t="s">
        <v>271</v>
      </c>
      <c r="L4" s="3026" t="s">
        <v>271</v>
      </c>
      <c r="M4" s="3026" t="s">
        <v>271</v>
      </c>
      <c r="N4" s="3026" t="s">
        <v>271</v>
      </c>
      <c r="O4" s="3026" t="s">
        <v>271</v>
      </c>
      <c r="P4" s="3042" t="s">
        <v>271</v>
      </c>
      <c r="Q4" s="3026" t="s">
        <v>271</v>
      </c>
      <c r="R4" s="3042" t="s">
        <v>272</v>
      </c>
      <c r="S4" s="3026" t="s">
        <v>271</v>
      </c>
      <c r="T4" s="3026" t="s">
        <v>273</v>
      </c>
      <c r="U4" s="3026" t="s">
        <v>271</v>
      </c>
      <c r="W4" s="3026" t="s">
        <v>274</v>
      </c>
    </row>
    <row r="5" spans="1:23">
      <c r="A5" s="3031" t="s">
        <v>275</v>
      </c>
      <c r="B5" s="3031" t="s">
        <v>276</v>
      </c>
      <c r="C5" s="3032" t="s">
        <v>277</v>
      </c>
      <c r="F5" s="3026" t="s">
        <v>278</v>
      </c>
      <c r="H5" s="3026" t="s">
        <v>279</v>
      </c>
      <c r="I5" s="3026" t="s">
        <v>280</v>
      </c>
      <c r="K5" s="3026" t="s">
        <v>281</v>
      </c>
      <c r="L5" s="3026" t="s">
        <v>281</v>
      </c>
      <c r="M5" s="3026" t="s">
        <v>281</v>
      </c>
      <c r="N5" s="3026" t="s">
        <v>281</v>
      </c>
      <c r="O5" s="3026" t="s">
        <v>281</v>
      </c>
      <c r="P5" s="3042" t="s">
        <v>281</v>
      </c>
      <c r="Q5" s="3026" t="s">
        <v>281</v>
      </c>
      <c r="R5" s="3042" t="s">
        <v>282</v>
      </c>
      <c r="S5" s="3026" t="s">
        <v>281</v>
      </c>
      <c r="T5" s="3026" t="s">
        <v>283</v>
      </c>
      <c r="U5" s="3026" t="s">
        <v>281</v>
      </c>
      <c r="W5" s="3026" t="s">
        <v>284</v>
      </c>
    </row>
    <row r="6" spans="1:23">
      <c r="A6" s="3031" t="s">
        <v>285</v>
      </c>
      <c r="B6" s="3034" t="s">
        <v>173</v>
      </c>
      <c r="C6" s="2434" t="s">
        <v>286</v>
      </c>
      <c r="F6" s="3026" t="s">
        <v>279</v>
      </c>
      <c r="H6" s="3026" t="s">
        <v>287</v>
      </c>
      <c r="I6" s="3026" t="s">
        <v>288</v>
      </c>
      <c r="K6" s="3026" t="s">
        <v>289</v>
      </c>
      <c r="L6" s="3026" t="s">
        <v>289</v>
      </c>
      <c r="M6" s="3026" t="s">
        <v>289</v>
      </c>
      <c r="N6" s="3026" t="s">
        <v>289</v>
      </c>
      <c r="O6" s="3026" t="s">
        <v>289</v>
      </c>
      <c r="P6" s="3042" t="s">
        <v>289</v>
      </c>
      <c r="Q6" s="3026" t="s">
        <v>289</v>
      </c>
      <c r="R6" s="3042" t="s">
        <v>290</v>
      </c>
      <c r="S6" s="3026" t="s">
        <v>289</v>
      </c>
      <c r="T6" s="3026"/>
      <c r="U6" s="3026" t="s">
        <v>289</v>
      </c>
      <c r="W6" s="3026" t="s">
        <v>291</v>
      </c>
    </row>
    <row r="7" spans="1:23">
      <c r="A7" s="3031" t="s">
        <v>292</v>
      </c>
      <c r="B7" s="3031" t="s">
        <v>293</v>
      </c>
      <c r="C7" s="3032" t="s">
        <v>294</v>
      </c>
      <c r="F7" s="3026" t="s">
        <v>295</v>
      </c>
      <c r="H7" s="3026" t="s">
        <v>278</v>
      </c>
      <c r="I7" s="3026" t="s">
        <v>296</v>
      </c>
    </row>
    <row r="8" spans="1:23">
      <c r="A8" s="3031" t="s">
        <v>297</v>
      </c>
      <c r="B8" s="3031" t="s">
        <v>298</v>
      </c>
      <c r="C8" s="3032" t="s">
        <v>299</v>
      </c>
      <c r="F8" s="3026" t="s">
        <v>300</v>
      </c>
      <c r="H8" s="3026"/>
      <c r="I8" s="3026" t="s">
        <v>301</v>
      </c>
    </row>
    <row r="9" spans="1:23">
      <c r="A9" s="3031" t="s">
        <v>302</v>
      </c>
      <c r="B9" s="3031" t="s">
        <v>303</v>
      </c>
      <c r="C9" s="3032" t="s">
        <v>304</v>
      </c>
      <c r="F9" s="3026" t="s">
        <v>287</v>
      </c>
      <c r="H9" s="3026"/>
    </row>
    <row r="10" spans="1:23">
      <c r="A10" s="3031" t="s">
        <v>305</v>
      </c>
      <c r="B10" s="3031" t="s">
        <v>306</v>
      </c>
      <c r="C10" s="3032" t="s">
        <v>307</v>
      </c>
      <c r="F10" s="3026" t="s">
        <v>138</v>
      </c>
    </row>
    <row r="11" spans="1:23">
      <c r="A11" s="3031" t="s">
        <v>308</v>
      </c>
      <c r="B11" s="3031" t="s">
        <v>309</v>
      </c>
      <c r="C11" s="3032" t="s">
        <v>310</v>
      </c>
    </row>
    <row r="12" spans="1:23">
      <c r="A12" s="3031" t="s">
        <v>311</v>
      </c>
      <c r="B12" s="3031" t="s">
        <v>312</v>
      </c>
      <c r="C12" s="3032" t="s">
        <v>313</v>
      </c>
    </row>
    <row r="13" spans="1:23">
      <c r="A13" s="3031" t="s">
        <v>314</v>
      </c>
      <c r="B13" s="3031" t="s">
        <v>315</v>
      </c>
      <c r="C13" s="3032" t="s">
        <v>316</v>
      </c>
    </row>
    <row r="14" spans="1:23">
      <c r="A14" s="3031" t="s">
        <v>317</v>
      </c>
      <c r="B14" s="3031" t="s">
        <v>318</v>
      </c>
      <c r="C14" s="3035" t="s">
        <v>138</v>
      </c>
    </row>
    <row r="15" spans="1:23">
      <c r="A15" s="3031" t="s">
        <v>319</v>
      </c>
      <c r="B15" s="3031" t="s">
        <v>320</v>
      </c>
      <c r="C15" s="3035"/>
    </row>
    <row r="16" spans="1:23">
      <c r="A16" s="3031" t="s">
        <v>321</v>
      </c>
      <c r="B16" s="3031" t="s">
        <v>322</v>
      </c>
      <c r="C16" s="3035"/>
    </row>
    <row r="17" spans="1:3">
      <c r="A17" s="3031" t="s">
        <v>323</v>
      </c>
      <c r="B17" s="3031" t="s">
        <v>324</v>
      </c>
      <c r="C17" s="3035"/>
    </row>
    <row r="18" spans="1:3">
      <c r="A18" s="3031" t="s">
        <v>325</v>
      </c>
      <c r="B18" s="3036" t="s">
        <v>326</v>
      </c>
      <c r="C18" s="3035"/>
    </row>
    <row r="19" spans="1:3">
      <c r="A19" s="3031" t="s">
        <v>327</v>
      </c>
      <c r="B19" s="3036" t="s">
        <v>328</v>
      </c>
      <c r="C19" s="3035"/>
    </row>
    <row r="20" spans="1:3">
      <c r="A20" s="3031" t="s">
        <v>279</v>
      </c>
      <c r="B20" s="3036" t="s">
        <v>329</v>
      </c>
      <c r="C20" s="3035"/>
    </row>
    <row r="21" spans="1:3">
      <c r="A21" s="3031" t="s">
        <v>330</v>
      </c>
      <c r="B21" s="3031" t="s">
        <v>331</v>
      </c>
      <c r="C21" s="3035"/>
    </row>
    <row r="22" spans="1:3">
      <c r="A22" s="3031" t="s">
        <v>332</v>
      </c>
      <c r="B22" s="3031" t="s">
        <v>331</v>
      </c>
      <c r="C22" s="3035"/>
    </row>
    <row r="23" spans="1:3">
      <c r="A23" s="3031" t="s">
        <v>333</v>
      </c>
      <c r="B23" s="3031" t="s">
        <v>331</v>
      </c>
      <c r="C23" s="3035"/>
    </row>
    <row r="24" spans="1:3">
      <c r="A24" s="3031" t="s">
        <v>138</v>
      </c>
      <c r="B24" s="3031" t="s">
        <v>331</v>
      </c>
      <c r="C24" s="3035"/>
    </row>
    <row r="25" spans="1:3">
      <c r="A25" s="3031" t="s">
        <v>334</v>
      </c>
      <c r="B25" s="3031" t="s">
        <v>331</v>
      </c>
      <c r="C25" s="3035"/>
    </row>
    <row r="26" spans="1:3">
      <c r="A26" s="3031" t="s">
        <v>335</v>
      </c>
      <c r="B26" s="3031" t="s">
        <v>331</v>
      </c>
      <c r="C26" s="3035"/>
    </row>
    <row r="27" spans="1:3">
      <c r="A27" s="3031" t="s">
        <v>331</v>
      </c>
      <c r="B27" s="3031" t="s">
        <v>331</v>
      </c>
      <c r="C27" s="3035"/>
    </row>
    <row r="28" spans="1:3">
      <c r="A28" s="3031" t="s">
        <v>331</v>
      </c>
      <c r="B28" s="3031" t="s">
        <v>331</v>
      </c>
      <c r="C28" s="3035"/>
    </row>
    <row r="29" spans="1:3">
      <c r="A29" s="3031" t="s">
        <v>331</v>
      </c>
      <c r="B29" s="3031" t="s">
        <v>331</v>
      </c>
      <c r="C29" s="3035"/>
    </row>
    <row r="30" spans="1:3">
      <c r="A30" s="3031" t="s">
        <v>331</v>
      </c>
      <c r="B30" s="3031" t="s">
        <v>331</v>
      </c>
      <c r="C30" s="3035"/>
    </row>
    <row r="31" spans="1:3">
      <c r="A31" s="3031" t="s">
        <v>331</v>
      </c>
      <c r="B31" s="3031" t="s">
        <v>331</v>
      </c>
      <c r="C31" s="3035"/>
    </row>
    <row r="32" spans="1:3">
      <c r="A32" s="3031" t="s">
        <v>331</v>
      </c>
      <c r="B32" s="3031" t="s">
        <v>331</v>
      </c>
      <c r="C32" s="3035"/>
    </row>
    <row r="33" spans="1:3">
      <c r="A33" s="3031" t="s">
        <v>331</v>
      </c>
      <c r="B33" s="3031" t="s">
        <v>331</v>
      </c>
      <c r="C33" s="3035"/>
    </row>
    <row r="34" spans="1:3">
      <c r="A34" s="3031" t="s">
        <v>331</v>
      </c>
      <c r="B34" s="3031" t="s">
        <v>331</v>
      </c>
      <c r="C34" s="3035"/>
    </row>
    <row r="35" spans="1:3">
      <c r="A35" s="3031" t="s">
        <v>331</v>
      </c>
      <c r="B35" s="3031" t="s">
        <v>331</v>
      </c>
      <c r="C35" s="3035"/>
    </row>
    <row r="36" spans="1:3">
      <c r="A36" s="3031" t="s">
        <v>331</v>
      </c>
      <c r="B36" s="3031" t="s">
        <v>331</v>
      </c>
      <c r="C36" s="3035"/>
    </row>
    <row r="37" spans="1:3">
      <c r="A37" s="3031" t="s">
        <v>331</v>
      </c>
      <c r="B37" s="3031" t="s">
        <v>331</v>
      </c>
      <c r="C37" s="3035"/>
    </row>
    <row r="38" spans="1:3">
      <c r="A38" s="3031" t="s">
        <v>331</v>
      </c>
      <c r="B38" s="3031" t="s">
        <v>331</v>
      </c>
      <c r="C38" s="3035"/>
    </row>
    <row r="39" spans="1:3">
      <c r="A39" s="3031" t="s">
        <v>331</v>
      </c>
      <c r="B39" s="3031" t="s">
        <v>331</v>
      </c>
      <c r="C39" s="3035"/>
    </row>
    <row r="40" spans="1:3">
      <c r="A40" s="3031" t="s">
        <v>331</v>
      </c>
      <c r="B40" s="3031" t="s">
        <v>331</v>
      </c>
      <c r="C40" s="3035"/>
    </row>
    <row r="41" spans="1:3">
      <c r="A41" s="3031" t="s">
        <v>331</v>
      </c>
      <c r="B41" s="3031" t="s">
        <v>331</v>
      </c>
      <c r="C41" s="3035"/>
    </row>
    <row r="42" spans="1:3">
      <c r="A42" s="3031" t="s">
        <v>331</v>
      </c>
      <c r="B42" s="3031" t="s">
        <v>331</v>
      </c>
      <c r="C42" s="3035"/>
    </row>
    <row r="43" spans="1:3">
      <c r="A43" s="3031" t="s">
        <v>331</v>
      </c>
      <c r="B43" s="3031" t="s">
        <v>331</v>
      </c>
      <c r="C43" s="3035"/>
    </row>
    <row r="44" spans="1:3">
      <c r="A44" s="3031" t="s">
        <v>331</v>
      </c>
      <c r="B44" s="3031" t="s">
        <v>331</v>
      </c>
      <c r="C44" s="3035"/>
    </row>
    <row r="45" spans="1:3">
      <c r="A45" s="3031" t="s">
        <v>331</v>
      </c>
      <c r="B45" s="3031" t="s">
        <v>331</v>
      </c>
      <c r="C45" s="3035"/>
    </row>
    <row r="46" spans="1:3">
      <c r="A46" s="3031" t="s">
        <v>331</v>
      </c>
      <c r="B46" s="3031" t="s">
        <v>331</v>
      </c>
      <c r="C46" s="3035"/>
    </row>
    <row r="47" spans="1:3">
      <c r="A47" s="3031" t="s">
        <v>331</v>
      </c>
      <c r="B47" s="3031" t="s">
        <v>331</v>
      </c>
      <c r="C47" s="3035"/>
    </row>
    <row r="48" spans="1:3">
      <c r="A48" s="3031" t="s">
        <v>331</v>
      </c>
      <c r="B48" s="3031" t="s">
        <v>331</v>
      </c>
      <c r="C48" s="3035"/>
    </row>
    <row r="49" spans="1:5">
      <c r="A49" s="3031" t="s">
        <v>331</v>
      </c>
      <c r="B49" s="3031" t="s">
        <v>331</v>
      </c>
      <c r="C49" s="3035"/>
    </row>
    <row r="50" spans="1:5">
      <c r="A50" s="3031" t="s">
        <v>331</v>
      </c>
      <c r="B50" s="3031" t="s">
        <v>331</v>
      </c>
      <c r="C50" s="3035"/>
    </row>
    <row r="51" spans="1:5">
      <c r="A51" s="3037" t="s">
        <v>336</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337</v>
      </c>
      <c r="B52" s="3040" t="s">
        <v>338</v>
      </c>
      <c r="C52" s="3038" t="s">
        <v>339</v>
      </c>
      <c r="D52" s="3038" t="s">
        <v>340</v>
      </c>
      <c r="E52" s="3039"/>
    </row>
    <row r="53" spans="1:5">
      <c r="A53" s="3211" t="s">
        <v>341</v>
      </c>
      <c r="B53" s="3038" t="s">
        <v>342</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39"/>
      <c r="E53" s="3039"/>
    </row>
    <row r="54" spans="1:5">
      <c r="A54" s="3211"/>
      <c r="B54" s="3038" t="s">
        <v>343</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211"/>
      <c r="B55" s="3038" t="s">
        <v>344</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211"/>
      <c r="B56" s="3038" t="s">
        <v>345</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211"/>
      <c r="B57" s="3038" t="s">
        <v>346</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347</v>
      </c>
      <c r="B58" s="3038" t="s">
        <v>348</v>
      </c>
      <c r="C58" s="2233" t="s">
        <v>349</v>
      </c>
      <c r="D58" s="2325"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2019-11-06T06:17:42Z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