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89" r:id="rId22"/>
    <sheet name="收益法 (元)" sheetId="67" r:id="rId23"/>
    <sheet name="比较法-租金办公" sheetId="82" state="hidden" r:id="rId24"/>
    <sheet name="比较法-都会国际办公" sheetId="34" state="hidden" r:id="rId25"/>
    <sheet name="成本法 (元)" sheetId="69" state="hidden" r:id="rId26"/>
    <sheet name="基准地价修正" sheetId="43"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正常办公" sheetId="90" r:id="rId48"/>
    <sheet name="都会国际" sheetId="88" r:id="rId49"/>
    <sheet name="6.6" sheetId="87" r:id="rId50"/>
    <sheet name="4月" sheetId="85" r:id="rId51"/>
    <sheet name="Sheet2" sheetId="86" r:id="rId52"/>
  </sheets>
  <externalReferences>
    <externalReference r:id="rId53"/>
  </externalReferences>
  <definedNames>
    <definedName name="_xlnm._FilterDatabase" localSheetId="21" hidden="1">'比较法-办公'!$A$1:$L$50</definedName>
    <definedName name="_xlnm._FilterDatabase" localSheetId="33" hidden="1">'比较法-仓储'!$A$1:$L$37</definedName>
    <definedName name="_xlnm._FilterDatabase" localSheetId="32" hidden="1">'比较法-车位'!$A$1:$L$39</definedName>
    <definedName name="_xlnm._FilterDatabase" localSheetId="24" hidden="1">'比较法-都会国际办公'!$A$1:$L$50</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23" hidden="1">'比较法-租金办公'!$A$1:$L$50</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24">'比较法-都会国际办公'!$A$1:$K$55,'比较法-都会国际办公'!$A$58:$M$132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'比较法-租金办公'!$A$1:$K$55,'比较法-租金办公'!$A$58:$M$132</definedName>
    <definedName name="_xlnm.Print_Area" localSheetId="18">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'比较法-办公'!$B$119:$M$119</definedName>
    <definedName name="办公层高" localSheetId="23">'比较法-租金办公'!$B$119:$M$119</definedName>
    <definedName name="办公层高">'比较法-都会国际办公'!$B$119:$M$119</definedName>
    <definedName name="办公朝向" localSheetId="21">'比较法-办公'!$B$91:$M$91</definedName>
    <definedName name="办公朝向" localSheetId="23">'比较法-租金办公'!$B$91:$M$91</definedName>
    <definedName name="办公朝向">'比较法-都会国际办公'!$B$91:$M$91</definedName>
    <definedName name="办公道路级别" localSheetId="21">'比较法-办公'!$B$87:$M$87</definedName>
    <definedName name="办公道路级别" localSheetId="23">'比较法-租金办公'!$B$87:$M$87</definedName>
    <definedName name="办公道路级别">'比较法-都会国际办公'!$B$87:$M$87</definedName>
    <definedName name="办公公共部分装修" localSheetId="21">'比较法-办公'!$B$108:$M$108</definedName>
    <definedName name="办公公共部分装修" localSheetId="23">'比较法-租金办公'!$B$108:$M$108</definedName>
    <definedName name="办公公共部分装修">'比较法-都会国际办公'!$B$108:$M$108</definedName>
    <definedName name="办公基础设施水平" localSheetId="21">'比较法-办公'!$B$117:$M$117</definedName>
    <definedName name="办公基础设施水平" localSheetId="23">'比较法-租金办公'!$B$117:$M$117</definedName>
    <definedName name="办公基础设施水平">'比较法-都会国际办公'!$B$117:$M$117</definedName>
    <definedName name="办公集聚程度">定义!$M$1:$M$6</definedName>
    <definedName name="办公建筑结构" localSheetId="21">'比较法-办公'!$B$106:$M$106</definedName>
    <definedName name="办公建筑结构" localSheetId="23">'比较法-租金办公'!$B$106:$M$106</definedName>
    <definedName name="办公建筑结构">'比较法-都会国际办公'!$B$106:$M$106</definedName>
    <definedName name="办公建筑类型" localSheetId="21">'比较法-办公'!$B$101:$M$101</definedName>
    <definedName name="办公建筑类型" localSheetId="23">'比较法-租金办公'!$B$101:$M$101</definedName>
    <definedName name="办公建筑类型">'比较法-都会国际办公'!$B$101:$M$101</definedName>
    <definedName name="办公交易情况" localSheetId="21">'比较法-办公'!$A$62:$M$62</definedName>
    <definedName name="办公交易情况" localSheetId="23">'比较法-租金办公'!$A$62:$M$62</definedName>
    <definedName name="办公交易情况">'比较法-都会国际办公'!$A$62:$M$62</definedName>
    <definedName name="办公楼层" localSheetId="21">'比较法-办公'!$B$89:$M$89</definedName>
    <definedName name="办公楼层" localSheetId="23">'比较法-租金办公'!$B$89:$M$89</definedName>
    <definedName name="办公楼层">'比较法-都会国际办公'!$B$89:$M$89</definedName>
    <definedName name="办公内部装修" localSheetId="21">'比较法-办公'!$B$123:$M$123</definedName>
    <definedName name="办公内部装修" localSheetId="23">'比较法-租金办公'!$B$123:$M$123</definedName>
    <definedName name="办公内部装修">'比较法-都会国际办公'!$B$123:$M$123</definedName>
    <definedName name="办公物业管理" localSheetId="21">'比较法-办公'!$B$115:$M$115</definedName>
    <definedName name="办公物业管理" localSheetId="23">'比较法-租金办公'!$B$115:$M$115</definedName>
    <definedName name="办公物业管理">'比较法-都会国际办公'!$B$115:$M$115</definedName>
    <definedName name="办公用途" localSheetId="21">'比较法-办公'!$B$64:$M$64</definedName>
    <definedName name="办公用途" localSheetId="23">'比较法-租金办公'!$B$64:$M$64</definedName>
    <definedName name="办公用途">'比较法-都会国际办公'!$B$64:$M$64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21">'比较法-办公'!$B$113:$M$113</definedName>
    <definedName name="写字楼等级" localSheetId="23">'比较法-租金办公'!$B$113:$M$113</definedName>
    <definedName name="写字楼等级">'比较法-都会国际办公'!$B$113:$M$113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N21" i="1" l="1"/>
  <c r="B131" i="89" l="1"/>
  <c r="B129" i="89"/>
  <c r="B127" i="89"/>
  <c r="D126" i="89"/>
  <c r="E126" i="89" s="1"/>
  <c r="F126" i="89" s="1"/>
  <c r="G126" i="89" s="1"/>
  <c r="D124" i="89"/>
  <c r="E124" i="89" s="1"/>
  <c r="F124" i="89" s="1"/>
  <c r="G124" i="89" s="1"/>
  <c r="H124" i="89" s="1"/>
  <c r="I124" i="89" s="1"/>
  <c r="J124" i="89" s="1"/>
  <c r="K124" i="89" s="1"/>
  <c r="L124" i="89" s="1"/>
  <c r="M124" i="89" s="1"/>
  <c r="D120" i="89"/>
  <c r="E120" i="89" s="1"/>
  <c r="F120" i="89" s="1"/>
  <c r="G120" i="89" s="1"/>
  <c r="H120" i="89" s="1"/>
  <c r="I120" i="89" s="1"/>
  <c r="J120" i="89" s="1"/>
  <c r="K120" i="89" s="1"/>
  <c r="L120" i="89" s="1"/>
  <c r="M120" i="89" s="1"/>
  <c r="D118" i="89"/>
  <c r="E118" i="89" s="1"/>
  <c r="D116" i="89"/>
  <c r="E116" i="89" s="1"/>
  <c r="F116" i="89" s="1"/>
  <c r="G116" i="89" s="1"/>
  <c r="H116" i="89" s="1"/>
  <c r="I116" i="89" s="1"/>
  <c r="J116" i="89" s="1"/>
  <c r="K116" i="89" s="1"/>
  <c r="L116" i="89" s="1"/>
  <c r="M116" i="89" s="1"/>
  <c r="D114" i="89"/>
  <c r="E114" i="89" s="1"/>
  <c r="F114" i="89" s="1"/>
  <c r="G114" i="89" s="1"/>
  <c r="H114" i="89" s="1"/>
  <c r="I114" i="89" s="1"/>
  <c r="J114" i="89" s="1"/>
  <c r="K114" i="89" s="1"/>
  <c r="L114" i="89" s="1"/>
  <c r="M114" i="89" s="1"/>
  <c r="D112" i="89"/>
  <c r="E112" i="89" s="1"/>
  <c r="F112" i="89" s="1"/>
  <c r="G112" i="89" s="1"/>
  <c r="H112" i="89" s="1"/>
  <c r="I112" i="89" s="1"/>
  <c r="J112" i="89" s="1"/>
  <c r="K112" i="89" s="1"/>
  <c r="L112" i="89" s="1"/>
  <c r="M112" i="89" s="1"/>
  <c r="G110" i="89"/>
  <c r="F110" i="89"/>
  <c r="E110" i="89"/>
  <c r="D110" i="89"/>
  <c r="C110" i="89"/>
  <c r="D109" i="89"/>
  <c r="E109" i="89" s="1"/>
  <c r="F109" i="89" s="1"/>
  <c r="G109" i="89" s="1"/>
  <c r="H109" i="89" s="1"/>
  <c r="I109" i="89" s="1"/>
  <c r="J109" i="89" s="1"/>
  <c r="K109" i="89" s="1"/>
  <c r="L109" i="89" s="1"/>
  <c r="M109" i="89" s="1"/>
  <c r="D107" i="89"/>
  <c r="E107" i="89" s="1"/>
  <c r="F107" i="89" s="1"/>
  <c r="G107" i="89" s="1"/>
  <c r="H107" i="89" s="1"/>
  <c r="I107" i="89" s="1"/>
  <c r="J107" i="89" s="1"/>
  <c r="K107" i="89" s="1"/>
  <c r="L107" i="89" s="1"/>
  <c r="M107" i="89" s="1"/>
  <c r="M103" i="89"/>
  <c r="L103" i="89"/>
  <c r="K103" i="89"/>
  <c r="J103" i="89"/>
  <c r="I103" i="89"/>
  <c r="H103" i="89"/>
  <c r="G103" i="89"/>
  <c r="F103" i="89"/>
  <c r="E103" i="89"/>
  <c r="D103" i="89"/>
  <c r="C103" i="89"/>
  <c r="D102" i="89"/>
  <c r="E102" i="89" s="1"/>
  <c r="F102" i="89" s="1"/>
  <c r="G102" i="89" s="1"/>
  <c r="H102" i="89" s="1"/>
  <c r="I102" i="89" s="1"/>
  <c r="J102" i="89" s="1"/>
  <c r="K102" i="89" s="1"/>
  <c r="L102" i="89" s="1"/>
  <c r="M102" i="89" s="1"/>
  <c r="B99" i="89"/>
  <c r="B97" i="89"/>
  <c r="B95" i="89"/>
  <c r="B93" i="89"/>
  <c r="E92" i="89"/>
  <c r="F92" i="89" s="1"/>
  <c r="G92" i="89" s="1"/>
  <c r="H92" i="89" s="1"/>
  <c r="I92" i="89" s="1"/>
  <c r="J92" i="89" s="1"/>
  <c r="K92" i="89" s="1"/>
  <c r="L92" i="89" s="1"/>
  <c r="M92" i="89" s="1"/>
  <c r="D92" i="89"/>
  <c r="B91" i="89"/>
  <c r="D90" i="89"/>
  <c r="E90" i="89" s="1"/>
  <c r="B89" i="89"/>
  <c r="E88" i="89"/>
  <c r="F88" i="89" s="1"/>
  <c r="G88" i="89" s="1"/>
  <c r="H88" i="89" s="1"/>
  <c r="I88" i="89" s="1"/>
  <c r="J88" i="89" s="1"/>
  <c r="K88" i="89" s="1"/>
  <c r="L88" i="89" s="1"/>
  <c r="M88" i="89" s="1"/>
  <c r="D88" i="89"/>
  <c r="D86" i="89"/>
  <c r="E86" i="89" s="1"/>
  <c r="G84" i="89"/>
  <c r="E84" i="89"/>
  <c r="F84" i="89" s="1"/>
  <c r="D84" i="89"/>
  <c r="E82" i="89"/>
  <c r="F82" i="89" s="1"/>
  <c r="G82" i="89" s="1"/>
  <c r="D82" i="89"/>
  <c r="E80" i="89"/>
  <c r="F80" i="89" s="1"/>
  <c r="G80" i="89" s="1"/>
  <c r="D80" i="89"/>
  <c r="E78" i="89"/>
  <c r="F78" i="89" s="1"/>
  <c r="G78" i="89" s="1"/>
  <c r="D78" i="89"/>
  <c r="B75" i="89"/>
  <c r="J14" i="89" s="1"/>
  <c r="B73" i="89"/>
  <c r="B71" i="89"/>
  <c r="H70" i="89"/>
  <c r="I70" i="89" s="1"/>
  <c r="J70" i="89" s="1"/>
  <c r="K70" i="89" s="1"/>
  <c r="L70" i="89" s="1"/>
  <c r="M70" i="89" s="1"/>
  <c r="D70" i="89"/>
  <c r="E70" i="89" s="1"/>
  <c r="F70" i="89" s="1"/>
  <c r="G70" i="89" s="1"/>
  <c r="M68" i="89"/>
  <c r="L68" i="89"/>
  <c r="K68" i="89"/>
  <c r="J68" i="89"/>
  <c r="I68" i="89"/>
  <c r="H68" i="89"/>
  <c r="G68" i="89"/>
  <c r="F68" i="89"/>
  <c r="E68" i="89"/>
  <c r="D68" i="89"/>
  <c r="C68" i="89"/>
  <c r="C64" i="89"/>
  <c r="I55" i="89"/>
  <c r="J55" i="89" s="1"/>
  <c r="G55" i="89"/>
  <c r="H55" i="89" s="1"/>
  <c r="E55" i="89"/>
  <c r="F55" i="89" s="1"/>
  <c r="P50" i="89"/>
  <c r="P49" i="89"/>
  <c r="K49" i="89"/>
  <c r="V48" i="89"/>
  <c r="T48" i="89"/>
  <c r="R48" i="89"/>
  <c r="P48" i="89"/>
  <c r="Q47" i="89"/>
  <c r="Z47" i="89" s="1"/>
  <c r="J47" i="89"/>
  <c r="W47" i="89" s="1"/>
  <c r="H47" i="89"/>
  <c r="AB47" i="89" s="1"/>
  <c r="F47" i="89"/>
  <c r="AA47" i="89" s="1"/>
  <c r="Q46" i="89"/>
  <c r="Z46" i="89" s="1"/>
  <c r="J46" i="89"/>
  <c r="AC46" i="89" s="1"/>
  <c r="H46" i="89"/>
  <c r="AB46" i="89" s="1"/>
  <c r="F46" i="89"/>
  <c r="AA46" i="89" s="1"/>
  <c r="Q45" i="89"/>
  <c r="Z45" i="89" s="1"/>
  <c r="J45" i="89"/>
  <c r="AC45" i="89" s="1"/>
  <c r="H45" i="89"/>
  <c r="AB45" i="89" s="1"/>
  <c r="F45" i="89"/>
  <c r="S45" i="89" s="1"/>
  <c r="Q44" i="89"/>
  <c r="Z44" i="89" s="1"/>
  <c r="J44" i="89"/>
  <c r="AC44" i="89" s="1"/>
  <c r="Q43" i="89"/>
  <c r="Z43" i="89" s="1"/>
  <c r="J43" i="89"/>
  <c r="AC43" i="89" s="1"/>
  <c r="H43" i="89"/>
  <c r="AB43" i="89" s="1"/>
  <c r="F43" i="89"/>
  <c r="AA43" i="89" s="1"/>
  <c r="Q42" i="89"/>
  <c r="Z42" i="89" s="1"/>
  <c r="J42" i="89"/>
  <c r="AC42" i="89" s="1"/>
  <c r="H42" i="89"/>
  <c r="AB42" i="89" s="1"/>
  <c r="F42" i="89"/>
  <c r="AA42" i="89" s="1"/>
  <c r="Q41" i="89"/>
  <c r="Z41" i="89" s="1"/>
  <c r="J41" i="89"/>
  <c r="AC41" i="89" s="1"/>
  <c r="H41" i="89"/>
  <c r="AB41" i="89" s="1"/>
  <c r="F41" i="89"/>
  <c r="AA41" i="89" s="1"/>
  <c r="Q40" i="89"/>
  <c r="Z40" i="89" s="1"/>
  <c r="W39" i="89"/>
  <c r="Q39" i="89"/>
  <c r="Z39" i="89" s="1"/>
  <c r="J39" i="89"/>
  <c r="AC39" i="89" s="1"/>
  <c r="H39" i="89"/>
  <c r="AB39" i="89" s="1"/>
  <c r="F39" i="89"/>
  <c r="AA39" i="89" s="1"/>
  <c r="Q38" i="89"/>
  <c r="Z38" i="89" s="1"/>
  <c r="J38" i="89"/>
  <c r="AC38" i="89" s="1"/>
  <c r="H38" i="89"/>
  <c r="U38" i="89" s="1"/>
  <c r="F38" i="89"/>
  <c r="AA38" i="89" s="1"/>
  <c r="Q37" i="89"/>
  <c r="Z37" i="89" s="1"/>
  <c r="Q36" i="89"/>
  <c r="Z36" i="89" s="1"/>
  <c r="J36" i="89"/>
  <c r="AC36" i="89" s="1"/>
  <c r="H36" i="89"/>
  <c r="AB36" i="89" s="1"/>
  <c r="F36" i="89"/>
  <c r="AA36" i="89" s="1"/>
  <c r="Q35" i="89"/>
  <c r="Z35" i="89" s="1"/>
  <c r="J35" i="89"/>
  <c r="W35" i="89" s="1"/>
  <c r="H35" i="89"/>
  <c r="AB35" i="89" s="1"/>
  <c r="F35" i="89"/>
  <c r="AA35" i="89" s="1"/>
  <c r="Q34" i="89"/>
  <c r="Z34" i="89" s="1"/>
  <c r="J34" i="89"/>
  <c r="AC34" i="89" s="1"/>
  <c r="H34" i="89"/>
  <c r="U34" i="89" s="1"/>
  <c r="F34" i="89"/>
  <c r="S34" i="89" s="1"/>
  <c r="C34" i="89"/>
  <c r="Q33" i="89"/>
  <c r="Z33" i="89" s="1"/>
  <c r="J33" i="89"/>
  <c r="AC33" i="89" s="1"/>
  <c r="H33" i="89"/>
  <c r="U33" i="89" s="1"/>
  <c r="F33" i="89"/>
  <c r="S33" i="89" s="1"/>
  <c r="Z32" i="89"/>
  <c r="Q32" i="89"/>
  <c r="Q31" i="89"/>
  <c r="Z31" i="89" s="1"/>
  <c r="J31" i="89"/>
  <c r="AC31" i="89" s="1"/>
  <c r="H31" i="89"/>
  <c r="AB31" i="89" s="1"/>
  <c r="F31" i="89"/>
  <c r="AA31" i="89" s="1"/>
  <c r="AB30" i="89"/>
  <c r="Q30" i="89"/>
  <c r="Z30" i="89" s="1"/>
  <c r="J30" i="89"/>
  <c r="W30" i="89" s="1"/>
  <c r="H30" i="89"/>
  <c r="U30" i="89" s="1"/>
  <c r="F30" i="89"/>
  <c r="AA30" i="89" s="1"/>
  <c r="AB29" i="89"/>
  <c r="AA29" i="89"/>
  <c r="Q29" i="89"/>
  <c r="Z29" i="89" s="1"/>
  <c r="J29" i="89"/>
  <c r="AC29" i="89" s="1"/>
  <c r="H29" i="89"/>
  <c r="U29" i="89" s="1"/>
  <c r="F29" i="89"/>
  <c r="S29" i="89" s="1"/>
  <c r="AA28" i="89"/>
  <c r="Z28" i="89"/>
  <c r="Q28" i="89"/>
  <c r="J28" i="89"/>
  <c r="AC28" i="89" s="1"/>
  <c r="H28" i="89"/>
  <c r="AB28" i="89" s="1"/>
  <c r="F28" i="89"/>
  <c r="S28" i="89" s="1"/>
  <c r="Z27" i="89"/>
  <c r="Q27" i="89"/>
  <c r="J27" i="89"/>
  <c r="AC27" i="89" s="1"/>
  <c r="AB25" i="89"/>
  <c r="U25" i="89"/>
  <c r="Q25" i="89"/>
  <c r="Z25" i="89" s="1"/>
  <c r="J25" i="89"/>
  <c r="W25" i="89" s="1"/>
  <c r="H25" i="89"/>
  <c r="F25" i="89"/>
  <c r="AA25" i="89" s="1"/>
  <c r="Q23" i="89"/>
  <c r="Z23" i="89" s="1"/>
  <c r="C23" i="89"/>
  <c r="AC21" i="89"/>
  <c r="AB21" i="89"/>
  <c r="Q21" i="89"/>
  <c r="Z21" i="89" s="1"/>
  <c r="J21" i="89"/>
  <c r="W21" i="89" s="1"/>
  <c r="H21" i="89"/>
  <c r="U21" i="89" s="1"/>
  <c r="F21" i="89"/>
  <c r="AA21" i="89" s="1"/>
  <c r="C21" i="89"/>
  <c r="AB19" i="89"/>
  <c r="AA19" i="89"/>
  <c r="Q19" i="89"/>
  <c r="Z19" i="89" s="1"/>
  <c r="J19" i="89"/>
  <c r="W19" i="89" s="1"/>
  <c r="H19" i="89"/>
  <c r="U19" i="89" s="1"/>
  <c r="F19" i="89"/>
  <c r="S19" i="89" s="1"/>
  <c r="C19" i="89"/>
  <c r="AA17" i="89"/>
  <c r="Q17" i="89"/>
  <c r="Z17" i="89" s="1"/>
  <c r="J17" i="89"/>
  <c r="AC17" i="89" s="1"/>
  <c r="H17" i="89"/>
  <c r="U17" i="89" s="1"/>
  <c r="F17" i="89"/>
  <c r="S17" i="89" s="1"/>
  <c r="C17" i="89"/>
  <c r="Q15" i="89"/>
  <c r="Z15" i="89" s="1"/>
  <c r="J15" i="89"/>
  <c r="W15" i="89" s="1"/>
  <c r="H15" i="89"/>
  <c r="AB15" i="89" s="1"/>
  <c r="F15" i="89"/>
  <c r="S15" i="89" s="1"/>
  <c r="C15" i="89"/>
  <c r="Q14" i="89"/>
  <c r="Z14" i="89" s="1"/>
  <c r="F14" i="89"/>
  <c r="AA14" i="89" s="1"/>
  <c r="Z13" i="89"/>
  <c r="Q13" i="89"/>
  <c r="J13" i="89"/>
  <c r="AC13" i="89" s="1"/>
  <c r="H13" i="89"/>
  <c r="AB13" i="89" s="1"/>
  <c r="F13" i="89"/>
  <c r="S13" i="89" s="1"/>
  <c r="AA12" i="89"/>
  <c r="Z12" i="89"/>
  <c r="Q12" i="89"/>
  <c r="J12" i="89"/>
  <c r="W12" i="89" s="1"/>
  <c r="H12" i="89"/>
  <c r="AB12" i="89" s="1"/>
  <c r="F12" i="89"/>
  <c r="S12" i="89" s="1"/>
  <c r="AC11" i="89"/>
  <c r="AB11" i="89"/>
  <c r="Q11" i="89"/>
  <c r="Z11" i="89" s="1"/>
  <c r="J11" i="89"/>
  <c r="W11" i="89" s="1"/>
  <c r="H11" i="89"/>
  <c r="U11" i="89" s="1"/>
  <c r="F11" i="89"/>
  <c r="AA11" i="89" s="1"/>
  <c r="Q10" i="89"/>
  <c r="Z10" i="89" s="1"/>
  <c r="J10" i="89"/>
  <c r="AC10" i="89" s="1"/>
  <c r="H10" i="89"/>
  <c r="AB10" i="89" s="1"/>
  <c r="F10" i="89"/>
  <c r="AA10" i="89" s="1"/>
  <c r="Q9" i="89"/>
  <c r="Z9" i="89" s="1"/>
  <c r="J9" i="89"/>
  <c r="AC9" i="89" s="1"/>
  <c r="H9" i="89"/>
  <c r="AB9" i="89" s="1"/>
  <c r="F9" i="89"/>
  <c r="AA9" i="89" s="1"/>
  <c r="J8" i="89"/>
  <c r="W8" i="89" s="1"/>
  <c r="H8" i="89"/>
  <c r="U8" i="89" s="1"/>
  <c r="F8" i="89"/>
  <c r="AA8" i="89" s="1"/>
  <c r="D3" i="89"/>
  <c r="D2" i="89"/>
  <c r="S8" i="89" l="1"/>
  <c r="AB8" i="89"/>
  <c r="AC15" i="89"/>
  <c r="F86" i="89"/>
  <c r="G86" i="89" s="1"/>
  <c r="H23" i="89"/>
  <c r="AB23" i="89" s="1"/>
  <c r="F23" i="89"/>
  <c r="S23" i="89" s="1"/>
  <c r="J23" i="89"/>
  <c r="W23" i="89" s="1"/>
  <c r="U46" i="89"/>
  <c r="F44" i="89"/>
  <c r="AA44" i="89" s="1"/>
  <c r="H44" i="89"/>
  <c r="AB44" i="89" s="1"/>
  <c r="F118" i="89"/>
  <c r="G118" i="89" s="1"/>
  <c r="J40" i="89"/>
  <c r="AC40" i="89" s="1"/>
  <c r="H40" i="89"/>
  <c r="AB40" i="89" s="1"/>
  <c r="F40" i="89"/>
  <c r="AA40" i="89" s="1"/>
  <c r="AB33" i="89"/>
  <c r="U42" i="89"/>
  <c r="W43" i="89"/>
  <c r="AA45" i="89"/>
  <c r="AC35" i="89"/>
  <c r="AA33" i="89"/>
  <c r="W27" i="89"/>
  <c r="AA34" i="89"/>
  <c r="AC47" i="89"/>
  <c r="W14" i="89"/>
  <c r="AC14" i="89"/>
  <c r="W17" i="89"/>
  <c r="AB38" i="89"/>
  <c r="S41" i="89"/>
  <c r="J32" i="89"/>
  <c r="H32" i="89"/>
  <c r="I7" i="89"/>
  <c r="J7" i="89" s="1"/>
  <c r="AC8" i="89"/>
  <c r="S10" i="89"/>
  <c r="H14" i="89"/>
  <c r="AC25" i="89"/>
  <c r="AC30" i="89"/>
  <c r="F32" i="89"/>
  <c r="F90" i="89"/>
  <c r="G90" i="89" s="1"/>
  <c r="H90" i="89" s="1"/>
  <c r="I90" i="89" s="1"/>
  <c r="J90" i="89" s="1"/>
  <c r="K90" i="89" s="1"/>
  <c r="L90" i="89" s="1"/>
  <c r="M90" i="89" s="1"/>
  <c r="H27" i="89"/>
  <c r="F27" i="89"/>
  <c r="W9" i="89"/>
  <c r="S11" i="89"/>
  <c r="U13" i="89"/>
  <c r="S14" i="89"/>
  <c r="S21" i="89"/>
  <c r="S9" i="89"/>
  <c r="U10" i="89"/>
  <c r="AC12" i="89"/>
  <c r="AA13" i="89"/>
  <c r="AA15" i="89"/>
  <c r="AB17" i="89"/>
  <c r="AC19" i="89"/>
  <c r="AA23" i="89"/>
  <c r="W31" i="89"/>
  <c r="AB34" i="89"/>
  <c r="U15" i="89"/>
  <c r="U9" i="89"/>
  <c r="W10" i="89"/>
  <c r="U28" i="89"/>
  <c r="W29" i="89"/>
  <c r="S31" i="89"/>
  <c r="W33" i="89"/>
  <c r="W34" i="89"/>
  <c r="S36" i="89"/>
  <c r="W38" i="89"/>
  <c r="U41" i="89"/>
  <c r="W42" i="89"/>
  <c r="U45" i="89"/>
  <c r="W46" i="89"/>
  <c r="U12" i="89"/>
  <c r="W13" i="89"/>
  <c r="S25" i="89"/>
  <c r="W28" i="89"/>
  <c r="S30" i="89"/>
  <c r="U31" i="89"/>
  <c r="S35" i="89"/>
  <c r="U36" i="89"/>
  <c r="S39" i="89"/>
  <c r="W41" i="89"/>
  <c r="S43" i="89"/>
  <c r="U44" i="89"/>
  <c r="W45" i="89"/>
  <c r="S47" i="89"/>
  <c r="U35" i="89"/>
  <c r="W36" i="89"/>
  <c r="S38" i="89"/>
  <c r="U39" i="89"/>
  <c r="S42" i="89"/>
  <c r="U43" i="89"/>
  <c r="W44" i="89"/>
  <c r="S46" i="89"/>
  <c r="U47" i="89"/>
  <c r="D4" i="31"/>
  <c r="E4" i="31"/>
  <c r="C4" i="31"/>
  <c r="D3" i="31"/>
  <c r="E3" i="31"/>
  <c r="C3" i="31"/>
  <c r="T48" i="82"/>
  <c r="B131" i="82"/>
  <c r="J47" i="82" s="1"/>
  <c r="B129" i="82"/>
  <c r="J46" i="82" s="1"/>
  <c r="B127" i="82"/>
  <c r="D126" i="82"/>
  <c r="E126" i="82"/>
  <c r="F126" i="82" s="1"/>
  <c r="G126" i="82" s="1"/>
  <c r="D124" i="82"/>
  <c r="E124" i="82"/>
  <c r="D120" i="82"/>
  <c r="E120" i="82" s="1"/>
  <c r="F120" i="82" s="1"/>
  <c r="G120" i="82" s="1"/>
  <c r="H120" i="82" s="1"/>
  <c r="I120" i="82" s="1"/>
  <c r="J120" i="82" s="1"/>
  <c r="K120" i="82" s="1"/>
  <c r="L120" i="82" s="1"/>
  <c r="M120" i="82" s="1"/>
  <c r="D118" i="82"/>
  <c r="E118" i="82"/>
  <c r="F118" i="82" s="1"/>
  <c r="G118" i="82" s="1"/>
  <c r="D116" i="82"/>
  <c r="E116" i="82"/>
  <c r="F116" i="82"/>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c r="F109" i="82" s="1"/>
  <c r="G109" i="82" s="1"/>
  <c r="H109" i="82" s="1"/>
  <c r="I109" i="82" s="1"/>
  <c r="J109" i="82" s="1"/>
  <c r="K109" i="82" s="1"/>
  <c r="L109" i="82" s="1"/>
  <c r="M109" i="82" s="1"/>
  <c r="D107" i="82"/>
  <c r="E107" i="82"/>
  <c r="F107" i="82" s="1"/>
  <c r="G107" i="82" s="1"/>
  <c r="H107" i="82" s="1"/>
  <c r="I107" i="82" s="1"/>
  <c r="J107" i="82" s="1"/>
  <c r="K107" i="82" s="1"/>
  <c r="L107" i="82" s="1"/>
  <c r="M107" i="82" s="1"/>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B95" i="82"/>
  <c r="B93" i="82"/>
  <c r="D92" i="82"/>
  <c r="E92" i="82" s="1"/>
  <c r="F92" i="82" s="1"/>
  <c r="G92" i="82" s="1"/>
  <c r="H92" i="82" s="1"/>
  <c r="I92" i="82" s="1"/>
  <c r="J92" i="82" s="1"/>
  <c r="K92" i="82" s="1"/>
  <c r="L92" i="82" s="1"/>
  <c r="M92" i="82" s="1"/>
  <c r="B91" i="82"/>
  <c r="D90" i="82"/>
  <c r="B89" i="82"/>
  <c r="D88" i="82"/>
  <c r="E88" i="82"/>
  <c r="F88" i="82"/>
  <c r="G88" i="82" s="1"/>
  <c r="H88" i="82" s="1"/>
  <c r="I88" i="82" s="1"/>
  <c r="J88" i="82" s="1"/>
  <c r="K88" i="82" s="1"/>
  <c r="L88" i="82" s="1"/>
  <c r="M88" i="82" s="1"/>
  <c r="E86" i="82"/>
  <c r="F86" i="82" s="1"/>
  <c r="G86" i="82" s="1"/>
  <c r="D86" i="82"/>
  <c r="D84" i="82"/>
  <c r="E84" i="82" s="1"/>
  <c r="F84" i="82" s="1"/>
  <c r="G84" i="82" s="1"/>
  <c r="D82" i="82"/>
  <c r="E82" i="82" s="1"/>
  <c r="F82" i="82" s="1"/>
  <c r="G82" i="82" s="1"/>
  <c r="D80" i="82"/>
  <c r="E80" i="82" s="1"/>
  <c r="F80" i="82" s="1"/>
  <c r="G80" i="82" s="1"/>
  <c r="D78" i="82"/>
  <c r="E78" i="82" s="1"/>
  <c r="F78" i="82" s="1"/>
  <c r="G78" i="82" s="1"/>
  <c r="B75" i="82"/>
  <c r="B73" i="82"/>
  <c r="B71" i="82"/>
  <c r="D70" i="82"/>
  <c r="E70" i="82"/>
  <c r="F70" i="82" s="1"/>
  <c r="G70" i="82" s="1"/>
  <c r="H70" i="82" s="1"/>
  <c r="I70" i="82" s="1"/>
  <c r="J70" i="82" s="1"/>
  <c r="K70" i="82" s="1"/>
  <c r="L70" i="82" s="1"/>
  <c r="M70" i="82" s="1"/>
  <c r="M68" i="82"/>
  <c r="L68" i="82"/>
  <c r="K68" i="82"/>
  <c r="J68" i="82"/>
  <c r="I68" i="82"/>
  <c r="H68" i="82"/>
  <c r="G68" i="82"/>
  <c r="F68" i="82"/>
  <c r="E68" i="82"/>
  <c r="D68" i="82"/>
  <c r="C68" i="82"/>
  <c r="C64" i="82"/>
  <c r="P50" i="82"/>
  <c r="P49" i="82"/>
  <c r="K49" i="82"/>
  <c r="V48" i="82"/>
  <c r="R48" i="82"/>
  <c r="P48" i="82"/>
  <c r="Q47" i="82"/>
  <c r="Z47" i="82"/>
  <c r="H47" i="82"/>
  <c r="AB47" i="82"/>
  <c r="Q46" i="82"/>
  <c r="Z46" i="82" s="1"/>
  <c r="H46" i="82"/>
  <c r="AB46" i="82" s="1"/>
  <c r="Q45" i="82"/>
  <c r="Z45" i="82" s="1"/>
  <c r="J45" i="82"/>
  <c r="AC45" i="82"/>
  <c r="H45" i="82"/>
  <c r="AB45" i="82" s="1"/>
  <c r="F45" i="82"/>
  <c r="S45" i="82"/>
  <c r="Q44" i="82"/>
  <c r="Z44" i="82" s="1"/>
  <c r="J44" i="82"/>
  <c r="AC44" i="82" s="1"/>
  <c r="H44" i="82"/>
  <c r="AB44" i="82" s="1"/>
  <c r="F44" i="82"/>
  <c r="AA44" i="82" s="1"/>
  <c r="Q43" i="82"/>
  <c r="Z43" i="82" s="1"/>
  <c r="J43" i="82"/>
  <c r="W43" i="82" s="1"/>
  <c r="H43" i="82"/>
  <c r="AB43" i="82" s="1"/>
  <c r="Q42" i="82"/>
  <c r="Z42" i="82"/>
  <c r="J42" i="82"/>
  <c r="AC42" i="82"/>
  <c r="H42" i="82"/>
  <c r="AB42" i="82" s="1"/>
  <c r="F42" i="82"/>
  <c r="AA42" i="82"/>
  <c r="Q41" i="82"/>
  <c r="Z41" i="82" s="1"/>
  <c r="J41" i="82"/>
  <c r="AC41" i="82" s="1"/>
  <c r="H41" i="82"/>
  <c r="F41" i="82"/>
  <c r="AA41" i="82" s="1"/>
  <c r="Q40" i="82"/>
  <c r="Z40" i="82" s="1"/>
  <c r="J40" i="82"/>
  <c r="AC40" i="82" s="1"/>
  <c r="H40" i="82"/>
  <c r="F40" i="82"/>
  <c r="AA40" i="82" s="1"/>
  <c r="Q39" i="82"/>
  <c r="Z39" i="82" s="1"/>
  <c r="J39" i="82"/>
  <c r="AC39" i="82" s="1"/>
  <c r="H39" i="82"/>
  <c r="F39" i="82"/>
  <c r="AA39" i="82" s="1"/>
  <c r="Z38" i="82"/>
  <c r="Q38" i="82"/>
  <c r="J38" i="82"/>
  <c r="AC38" i="82" s="1"/>
  <c r="H38" i="82"/>
  <c r="U38" i="82" s="1"/>
  <c r="F38" i="82"/>
  <c r="AA38" i="82" s="1"/>
  <c r="Q37" i="82"/>
  <c r="Z37" i="82" s="1"/>
  <c r="AA36" i="82"/>
  <c r="Q36" i="82"/>
  <c r="Z36" i="82"/>
  <c r="J36" i="82"/>
  <c r="AC36" i="82"/>
  <c r="H36" i="82"/>
  <c r="AB36" i="82"/>
  <c r="F36" i="82"/>
  <c r="S36" i="82"/>
  <c r="Q35" i="82"/>
  <c r="Z35" i="82" s="1"/>
  <c r="J35" i="82"/>
  <c r="AC35" i="82"/>
  <c r="H35" i="82"/>
  <c r="U35" i="82"/>
  <c r="F35" i="82"/>
  <c r="AA35" i="82"/>
  <c r="Q34" i="82"/>
  <c r="Z34" i="82"/>
  <c r="Q33" i="82"/>
  <c r="Z33" i="82"/>
  <c r="J33" i="82"/>
  <c r="W33" i="82" s="1"/>
  <c r="H33" i="82"/>
  <c r="F33" i="82"/>
  <c r="S33" i="82" s="1"/>
  <c r="U32" i="82"/>
  <c r="Q32" i="82"/>
  <c r="Z32" i="82"/>
  <c r="H32" i="82"/>
  <c r="AB32" i="82"/>
  <c r="Q31" i="82"/>
  <c r="Z31" i="82"/>
  <c r="J31" i="82"/>
  <c r="W31" i="82"/>
  <c r="H31" i="82"/>
  <c r="AB31" i="82"/>
  <c r="F31" i="82"/>
  <c r="S31" i="82"/>
  <c r="Q30" i="82"/>
  <c r="Z30" i="82" s="1"/>
  <c r="J30" i="82"/>
  <c r="AC30" i="82"/>
  <c r="H30" i="82"/>
  <c r="U30" i="82"/>
  <c r="F30" i="82"/>
  <c r="AA30" i="82"/>
  <c r="Q29" i="82"/>
  <c r="Z29" i="82"/>
  <c r="J29" i="82"/>
  <c r="W29" i="82"/>
  <c r="H29" i="82"/>
  <c r="AB29" i="82"/>
  <c r="F29" i="82"/>
  <c r="S29" i="82"/>
  <c r="Q28" i="82"/>
  <c r="Z28" i="82" s="1"/>
  <c r="J28" i="82"/>
  <c r="AC28" i="82"/>
  <c r="H28" i="82"/>
  <c r="U28" i="82"/>
  <c r="F28" i="82"/>
  <c r="AA28" i="82"/>
  <c r="Q27" i="82"/>
  <c r="Z27" i="82"/>
  <c r="Z25" i="82"/>
  <c r="Q25" i="82"/>
  <c r="J25" i="82"/>
  <c r="W25" i="82" s="1"/>
  <c r="H25" i="82"/>
  <c r="U25" i="82" s="1"/>
  <c r="F25" i="82"/>
  <c r="Q23" i="82"/>
  <c r="Z23" i="82" s="1"/>
  <c r="J23" i="82"/>
  <c r="H23" i="82"/>
  <c r="U23" i="82" s="1"/>
  <c r="F23" i="82"/>
  <c r="C23" i="82"/>
  <c r="Q21" i="82"/>
  <c r="Z21" i="82"/>
  <c r="J21" i="82"/>
  <c r="AC21" i="82" s="1"/>
  <c r="W21" i="82"/>
  <c r="H21" i="82"/>
  <c r="U21" i="82"/>
  <c r="F21" i="82"/>
  <c r="S21" i="82"/>
  <c r="C21" i="82"/>
  <c r="Q19" i="82"/>
  <c r="Z19" i="82" s="1"/>
  <c r="J19" i="82"/>
  <c r="AC19" i="82" s="1"/>
  <c r="H19" i="82"/>
  <c r="U19" i="82" s="1"/>
  <c r="F19" i="82"/>
  <c r="AA19" i="82" s="1"/>
  <c r="C19" i="82"/>
  <c r="Q17" i="82"/>
  <c r="Z17" i="82"/>
  <c r="J17" i="82"/>
  <c r="W17" i="82"/>
  <c r="H17" i="82"/>
  <c r="AB17" i="82"/>
  <c r="F17" i="82"/>
  <c r="S17" i="82"/>
  <c r="C17" i="82"/>
  <c r="Q15" i="82"/>
  <c r="Z15" i="82" s="1"/>
  <c r="J15" i="82"/>
  <c r="W15" i="82" s="1"/>
  <c r="H15" i="82"/>
  <c r="U15" i="82" s="1"/>
  <c r="F15" i="82"/>
  <c r="C15" i="82"/>
  <c r="Q14" i="82"/>
  <c r="Z14" i="82" s="1"/>
  <c r="J14" i="82"/>
  <c r="AC14" i="82" s="1"/>
  <c r="H14" i="82"/>
  <c r="F14" i="82"/>
  <c r="S14" i="82" s="1"/>
  <c r="Q13" i="82"/>
  <c r="Z13" i="82" s="1"/>
  <c r="J13" i="82"/>
  <c r="AC13" i="82" s="1"/>
  <c r="H13" i="82"/>
  <c r="F13" i="82"/>
  <c r="AA13" i="82" s="1"/>
  <c r="Q12" i="82"/>
  <c r="Z12" i="82" s="1"/>
  <c r="J12" i="82"/>
  <c r="H12" i="82"/>
  <c r="F12" i="82"/>
  <c r="AA12" i="82" s="1"/>
  <c r="Q11" i="82"/>
  <c r="Z11" i="82" s="1"/>
  <c r="J11" i="82"/>
  <c r="AC11" i="82" s="1"/>
  <c r="H11" i="82"/>
  <c r="F11" i="82"/>
  <c r="AA11" i="82" s="1"/>
  <c r="Q10" i="82"/>
  <c r="Z10" i="82" s="1"/>
  <c r="J10" i="82"/>
  <c r="H10" i="82"/>
  <c r="F10" i="82"/>
  <c r="Q9" i="82"/>
  <c r="Z9" i="82" s="1"/>
  <c r="J9" i="82"/>
  <c r="H9" i="82"/>
  <c r="F9" i="82"/>
  <c r="AA9" i="82" s="1"/>
  <c r="J8" i="82"/>
  <c r="W8" i="82" s="1"/>
  <c r="H8" i="82"/>
  <c r="AB8" i="82" s="1"/>
  <c r="F8" i="82"/>
  <c r="S8" i="82" s="1"/>
  <c r="J52" i="67"/>
  <c r="J49" i="67"/>
  <c r="J51" i="67" s="1"/>
  <c r="N23" i="1"/>
  <c r="N6" i="1" s="1"/>
  <c r="C37" i="89" s="1"/>
  <c r="AB15" i="82"/>
  <c r="AA14" i="82"/>
  <c r="AA21" i="82"/>
  <c r="AA29" i="82"/>
  <c r="AC31" i="82"/>
  <c r="W36" i="82"/>
  <c r="AC43" i="82"/>
  <c r="AC17" i="82"/>
  <c r="AA33" i="82"/>
  <c r="AA45" i="82"/>
  <c r="AB23" i="82"/>
  <c r="AB30" i="82"/>
  <c r="AA31" i="82"/>
  <c r="G55" i="82"/>
  <c r="H55" i="82" s="1"/>
  <c r="I55" i="82"/>
  <c r="J55" i="82" s="1"/>
  <c r="E55" i="82"/>
  <c r="F55" i="82" s="1"/>
  <c r="AC8" i="82"/>
  <c r="U17" i="82"/>
  <c r="W19" i="82"/>
  <c r="AB38" i="82"/>
  <c r="S41" i="82"/>
  <c r="F43" i="82"/>
  <c r="F124" i="82"/>
  <c r="G124" i="82"/>
  <c r="H124" i="82" s="1"/>
  <c r="I124" i="82"/>
  <c r="J124" i="82" s="1"/>
  <c r="K124" i="82"/>
  <c r="L124" i="82" s="1"/>
  <c r="M124" i="82" s="1"/>
  <c r="S13" i="82"/>
  <c r="S9" i="82"/>
  <c r="W11" i="82"/>
  <c r="AC15" i="82"/>
  <c r="AB21" i="82"/>
  <c r="AB25" i="82"/>
  <c r="AB28" i="82"/>
  <c r="AC29" i="82"/>
  <c r="AB35" i="82"/>
  <c r="W39" i="82"/>
  <c r="F32" i="82"/>
  <c r="AA32" i="82" s="1"/>
  <c r="J32" i="82"/>
  <c r="AC32" i="82" s="1"/>
  <c r="AA17" i="82"/>
  <c r="AB19" i="82"/>
  <c r="AC25" i="82"/>
  <c r="U42" i="82"/>
  <c r="E90" i="82"/>
  <c r="W13" i="82"/>
  <c r="W28" i="82"/>
  <c r="S30" i="82"/>
  <c r="U31" i="82"/>
  <c r="S35" i="82"/>
  <c r="U36" i="82"/>
  <c r="W38" i="82"/>
  <c r="S40" i="82"/>
  <c r="W42" i="82"/>
  <c r="S44" i="82"/>
  <c r="U45" i="82"/>
  <c r="S39" i="82"/>
  <c r="W41" i="82"/>
  <c r="U44" i="82"/>
  <c r="W45" i="82"/>
  <c r="S28" i="82"/>
  <c r="U29" i="82"/>
  <c r="W30" i="82"/>
  <c r="W35" i="82"/>
  <c r="W40" i="82"/>
  <c r="S42" i="82"/>
  <c r="U43" i="82"/>
  <c r="W44" i="82"/>
  <c r="U47" i="82"/>
  <c r="S32" i="82"/>
  <c r="F90" i="82"/>
  <c r="G90" i="82" s="1"/>
  <c r="H90" i="82" s="1"/>
  <c r="I90" i="82" s="1"/>
  <c r="J90" i="82" s="1"/>
  <c r="K90" i="82" s="1"/>
  <c r="L90" i="82" s="1"/>
  <c r="M90" i="82" s="1"/>
  <c r="W32" i="82"/>
  <c r="F19" i="6"/>
  <c r="C34" i="82" s="1"/>
  <c r="D3" i="4"/>
  <c r="B3" i="78" s="1"/>
  <c r="I7" i="79"/>
  <c r="I29" i="79"/>
  <c r="I28" i="79"/>
  <c r="N28" i="79"/>
  <c r="M28" i="79"/>
  <c r="P28" i="79" s="1"/>
  <c r="L28" i="79"/>
  <c r="N29" i="79"/>
  <c r="M29" i="79"/>
  <c r="L29" i="79"/>
  <c r="P6" i="79"/>
  <c r="O6" i="79"/>
  <c r="N6" i="79"/>
  <c r="M6" i="79"/>
  <c r="L6" i="79"/>
  <c r="K6" i="79"/>
  <c r="O7" i="79"/>
  <c r="N7" i="79"/>
  <c r="M7" i="79"/>
  <c r="L7" i="79"/>
  <c r="K7" i="79"/>
  <c r="P29" i="79"/>
  <c r="G14" i="73"/>
  <c r="F14" i="73"/>
  <c r="E14" i="73"/>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AH5" i="71"/>
  <c r="AG5" i="71"/>
  <c r="AE5" i="71"/>
  <c r="AF5" i="71"/>
  <c r="AD5" i="71"/>
  <c r="AB5" i="71"/>
  <c r="AA5" i="71"/>
  <c r="Y5" i="71"/>
  <c r="Z5" i="71" s="1"/>
  <c r="X5" i="71"/>
  <c r="Q5" i="71"/>
  <c r="P5" i="71"/>
  <c r="O5" i="71"/>
  <c r="N5" i="71"/>
  <c r="AH6" i="71"/>
  <c r="AG6" i="71"/>
  <c r="AE6" i="71"/>
  <c r="AF6" i="71"/>
  <c r="AD6" i="71"/>
  <c r="AB6" i="71"/>
  <c r="AA6" i="71"/>
  <c r="Y6" i="71"/>
  <c r="Z6" i="71" s="1"/>
  <c r="X6" i="71"/>
  <c r="Q6" i="71"/>
  <c r="P6" i="71"/>
  <c r="O6" i="71"/>
  <c r="N6" i="71"/>
  <c r="AH7" i="71"/>
  <c r="AG7" i="71"/>
  <c r="AE7" i="71"/>
  <c r="AF7" i="71"/>
  <c r="AD7" i="71"/>
  <c r="AB7" i="71"/>
  <c r="AA7" i="71"/>
  <c r="Y7" i="71"/>
  <c r="Z7" i="71" s="1"/>
  <c r="X7" i="71"/>
  <c r="Q7" i="71"/>
  <c r="P7" i="71"/>
  <c r="O7" i="71"/>
  <c r="N7" i="71"/>
  <c r="F13" i="1"/>
  <c r="D13" i="1"/>
  <c r="D12" i="1"/>
  <c r="D11" i="1"/>
  <c r="D10" i="1"/>
  <c r="D9" i="1"/>
  <c r="D8" i="1"/>
  <c r="D7" i="1"/>
  <c r="D6" i="1"/>
  <c r="I2"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s="1"/>
  <c r="AI9" i="43"/>
  <c r="AI10" i="43" s="1"/>
  <c r="AH9" i="43"/>
  <c r="AH10" i="43" s="1"/>
  <c r="AG9" i="43"/>
  <c r="AG10" i="43" s="1"/>
  <c r="AF9" i="43"/>
  <c r="AF10" i="43"/>
  <c r="AE9" i="43"/>
  <c r="AE10" i="43" s="1"/>
  <c r="AD9" i="43"/>
  <c r="AD10" i="43"/>
  <c r="AC9" i="43"/>
  <c r="AC10" i="43" s="1"/>
  <c r="AB9" i="43"/>
  <c r="AB10" i="43" s="1"/>
  <c r="AA9" i="43"/>
  <c r="AA10" i="43" s="1"/>
  <c r="Z9" i="43"/>
  <c r="Z10" i="43" s="1"/>
  <c r="G24" i="43"/>
  <c r="I23" i="43"/>
  <c r="G17" i="43"/>
  <c r="C13" i="43"/>
  <c r="G2" i="43"/>
  <c r="AB40" i="79"/>
  <c r="AA40" i="79"/>
  <c r="Z40" i="79"/>
  <c r="W40" i="79"/>
  <c r="N40" i="79"/>
  <c r="M40" i="79"/>
  <c r="P40" i="79" s="1"/>
  <c r="L40" i="79"/>
  <c r="I40" i="79"/>
  <c r="AD40" i="79"/>
  <c r="AB39" i="79"/>
  <c r="AA39" i="79"/>
  <c r="Z39" i="79"/>
  <c r="N39" i="79"/>
  <c r="U39" i="79" s="1"/>
  <c r="M39" i="79"/>
  <c r="L39" i="79"/>
  <c r="S39" i="79"/>
  <c r="I39" i="79"/>
  <c r="AD39" i="79"/>
  <c r="AB38" i="79"/>
  <c r="AA38" i="79"/>
  <c r="Z38" i="79"/>
  <c r="N38" i="79"/>
  <c r="U38" i="79" s="1"/>
  <c r="M38" i="79"/>
  <c r="L38" i="79"/>
  <c r="S38" i="79"/>
  <c r="I38" i="79"/>
  <c r="AD38" i="79"/>
  <c r="AB37" i="79"/>
  <c r="AA37" i="79"/>
  <c r="Z37" i="79"/>
  <c r="N37" i="79"/>
  <c r="M37" i="79"/>
  <c r="L37" i="79"/>
  <c r="I37" i="79"/>
  <c r="AD37" i="79"/>
  <c r="AB36" i="79"/>
  <c r="AA36" i="79"/>
  <c r="Z36" i="79"/>
  <c r="N36" i="79"/>
  <c r="U36" i="79"/>
  <c r="M36" i="79"/>
  <c r="L36" i="79"/>
  <c r="S36" i="79"/>
  <c r="I36" i="79"/>
  <c r="AD36" i="79" s="1"/>
  <c r="AB35" i="79"/>
  <c r="AA35" i="79"/>
  <c r="Z35" i="79"/>
  <c r="N35" i="79"/>
  <c r="M35" i="79"/>
  <c r="L35" i="79"/>
  <c r="S35" i="79"/>
  <c r="I35" i="79"/>
  <c r="AD35" i="79" s="1"/>
  <c r="AB34" i="79"/>
  <c r="AA34" i="79"/>
  <c r="Z34" i="79"/>
  <c r="N34" i="79"/>
  <c r="U34" i="79" s="1"/>
  <c r="M34" i="79"/>
  <c r="L34" i="79"/>
  <c r="I34" i="79"/>
  <c r="AB33" i="79"/>
  <c r="AA33" i="79"/>
  <c r="AA25" i="79" s="1"/>
  <c r="AD25" i="79" s="1"/>
  <c r="Z33" i="79"/>
  <c r="N33" i="79"/>
  <c r="M33" i="79"/>
  <c r="L33" i="79"/>
  <c r="I33" i="79"/>
  <c r="AD33" i="79" s="1"/>
  <c r="AB27" i="79"/>
  <c r="AA27" i="79"/>
  <c r="Z27" i="79"/>
  <c r="N27" i="79"/>
  <c r="M27" i="79"/>
  <c r="L27" i="79"/>
  <c r="I27" i="79"/>
  <c r="AD27" i="79" s="1"/>
  <c r="U25" i="79"/>
  <c r="G25" i="79"/>
  <c r="F25" i="79"/>
  <c r="I25" i="79" s="1"/>
  <c r="E25" i="79"/>
  <c r="AC18" i="79"/>
  <c r="AB18" i="79"/>
  <c r="AA18" i="79"/>
  <c r="AD18" i="79" s="1"/>
  <c r="Z18" i="79"/>
  <c r="Y18" i="79"/>
  <c r="W18" i="79"/>
  <c r="O18" i="79"/>
  <c r="N18" i="79"/>
  <c r="M18" i="79"/>
  <c r="P18" i="79" s="1"/>
  <c r="L18" i="79"/>
  <c r="K18" i="79"/>
  <c r="I18" i="79"/>
  <c r="AC17" i="79"/>
  <c r="AB17" i="79"/>
  <c r="AA17" i="79"/>
  <c r="AD17" i="79"/>
  <c r="Z17" i="79"/>
  <c r="Y17" i="79"/>
  <c r="O17" i="79"/>
  <c r="V17" i="79"/>
  <c r="N17" i="79"/>
  <c r="U17" i="79" s="1"/>
  <c r="M17" i="79"/>
  <c r="L17" i="79"/>
  <c r="K17" i="79"/>
  <c r="R17" i="79"/>
  <c r="I17" i="79"/>
  <c r="AC16" i="79"/>
  <c r="AB16" i="79"/>
  <c r="AA16" i="79"/>
  <c r="AD16" i="79"/>
  <c r="Z16" i="79"/>
  <c r="Y16" i="79"/>
  <c r="O16" i="79"/>
  <c r="V16" i="79"/>
  <c r="N16" i="79"/>
  <c r="U16" i="79" s="1"/>
  <c r="M16" i="79"/>
  <c r="T16" i="79"/>
  <c r="W16" i="79" s="1"/>
  <c r="L16" i="79"/>
  <c r="K16" i="79"/>
  <c r="R16" i="79" s="1"/>
  <c r="I16" i="79"/>
  <c r="AC15" i="79"/>
  <c r="AB15" i="79"/>
  <c r="AA15" i="79"/>
  <c r="AD15" i="79" s="1"/>
  <c r="Z15" i="79"/>
  <c r="Y15" i="79"/>
  <c r="O15" i="79"/>
  <c r="V15" i="79" s="1"/>
  <c r="N15" i="79"/>
  <c r="U15" i="79"/>
  <c r="M15" i="79"/>
  <c r="L15" i="79"/>
  <c r="K15" i="79"/>
  <c r="I15" i="79"/>
  <c r="AC14" i="79"/>
  <c r="AB14" i="79"/>
  <c r="AA14" i="79"/>
  <c r="AD14" i="79" s="1"/>
  <c r="Z14" i="79"/>
  <c r="Y14" i="79"/>
  <c r="O14" i="79"/>
  <c r="V14" i="79" s="1"/>
  <c r="N14" i="79"/>
  <c r="U14" i="79"/>
  <c r="M14" i="79"/>
  <c r="T14" i="79" s="1"/>
  <c r="W14" i="79" s="1"/>
  <c r="L14" i="79"/>
  <c r="S14" i="79" s="1"/>
  <c r="K14" i="79"/>
  <c r="I14" i="79"/>
  <c r="AC13" i="79"/>
  <c r="AB13" i="79"/>
  <c r="AA13" i="79"/>
  <c r="AD13" i="79"/>
  <c r="Z13" i="79"/>
  <c r="Y13" i="79"/>
  <c r="O13" i="79"/>
  <c r="V13" i="79"/>
  <c r="N13" i="79"/>
  <c r="U13" i="79" s="1"/>
  <c r="M13" i="79"/>
  <c r="L13" i="79"/>
  <c r="K13" i="79"/>
  <c r="I13" i="79"/>
  <c r="AC12" i="79"/>
  <c r="AB12" i="79"/>
  <c r="AA12" i="79"/>
  <c r="AD12" i="79"/>
  <c r="Z12" i="79"/>
  <c r="Y12" i="79"/>
  <c r="O12" i="79"/>
  <c r="V12" i="79"/>
  <c r="N12" i="79"/>
  <c r="U12" i="79" s="1"/>
  <c r="M12" i="79"/>
  <c r="T12" i="79"/>
  <c r="W12" i="79" s="1"/>
  <c r="L12" i="79"/>
  <c r="K12" i="79"/>
  <c r="I12" i="79"/>
  <c r="AC11" i="79"/>
  <c r="AB11" i="79"/>
  <c r="AA11" i="79"/>
  <c r="AD11" i="79" s="1"/>
  <c r="Z11" i="79"/>
  <c r="Y11" i="79"/>
  <c r="O11" i="79"/>
  <c r="N11" i="79"/>
  <c r="M11" i="79"/>
  <c r="L11" i="79"/>
  <c r="K11" i="79"/>
  <c r="I11" i="79"/>
  <c r="AC5" i="79"/>
  <c r="AC3" i="79" s="1"/>
  <c r="AB5" i="79"/>
  <c r="AA5" i="79"/>
  <c r="Z5" i="79"/>
  <c r="Z3" i="79"/>
  <c r="Y5" i="79"/>
  <c r="Y3" i="79" s="1"/>
  <c r="O5" i="79"/>
  <c r="O3" i="79"/>
  <c r="N5" i="79"/>
  <c r="M5" i="79"/>
  <c r="P5" i="79" s="1"/>
  <c r="L5" i="79"/>
  <c r="K5" i="79"/>
  <c r="I5" i="79"/>
  <c r="V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U35" i="79"/>
  <c r="S37" i="79"/>
  <c r="T33" i="79"/>
  <c r="W33" i="79" s="1"/>
  <c r="T39" i="79"/>
  <c r="W39" i="79"/>
  <c r="U33" i="79"/>
  <c r="U29" i="79"/>
  <c r="T38" i="79"/>
  <c r="W38" i="79"/>
  <c r="U7" i="79"/>
  <c r="U10" i="79"/>
  <c r="U11" i="79"/>
  <c r="U6" i="79"/>
  <c r="P15" i="79"/>
  <c r="T15" i="79"/>
  <c r="W15" i="79"/>
  <c r="R7" i="79"/>
  <c r="T11" i="79"/>
  <c r="W11" i="79" s="1"/>
  <c r="V7" i="79"/>
  <c r="V10" i="79"/>
  <c r="V11" i="79"/>
  <c r="V6" i="79"/>
  <c r="P13" i="79"/>
  <c r="T13" i="79"/>
  <c r="W13" i="79"/>
  <c r="P17" i="79"/>
  <c r="T17" i="79"/>
  <c r="W17" i="79" s="1"/>
  <c r="AB25" i="79"/>
  <c r="P11" i="79"/>
  <c r="V8" i="79"/>
  <c r="V5" i="79"/>
  <c r="V9" i="79"/>
  <c r="S8" i="79"/>
  <c r="U9" i="79"/>
  <c r="U8" i="79"/>
  <c r="P14" i="79"/>
  <c r="P16" i="79"/>
  <c r="Z25" i="79"/>
  <c r="P12" i="79"/>
  <c r="C27" i="43"/>
  <c r="S6" i="43"/>
  <c r="S5" i="43"/>
  <c r="S4" i="43"/>
  <c r="S2" i="43"/>
  <c r="E93" i="43"/>
  <c r="B91" i="43" s="1"/>
  <c r="N21" i="43"/>
  <c r="S3" i="43"/>
  <c r="H116" i="43"/>
  <c r="F37" i="43"/>
  <c r="F38" i="43"/>
  <c r="F39" i="43"/>
  <c r="F40" i="43"/>
  <c r="F41" i="43"/>
  <c r="F42" i="43"/>
  <c r="F93" i="43"/>
  <c r="C21" i="43"/>
  <c r="E21" i="43"/>
  <c r="I21" i="43"/>
  <c r="K21" i="43"/>
  <c r="M21" i="43"/>
  <c r="O21" i="43"/>
  <c r="D21" i="43"/>
  <c r="H21" i="43"/>
  <c r="J21" i="43"/>
  <c r="G21" i="43" s="1"/>
  <c r="C20" i="43" s="1"/>
  <c r="L21" i="43"/>
  <c r="G18" i="43"/>
  <c r="P27" i="79"/>
  <c r="P34" i="79"/>
  <c r="P36" i="79"/>
  <c r="P38" i="79"/>
  <c r="P35" i="79"/>
  <c r="P37" i="79"/>
  <c r="P39" i="79"/>
  <c r="E25" i="78"/>
  <c r="E24" i="78"/>
  <c r="F23" i="78"/>
  <c r="F24" i="78" s="1"/>
  <c r="F25" i="78" s="1"/>
  <c r="G25" i="78" s="1"/>
  <c r="E23" i="78"/>
  <c r="E22" i="78"/>
  <c r="G22" i="78" s="1"/>
  <c r="F12" i="78"/>
  <c r="C15" i="78" s="1"/>
  <c r="F11" i="78"/>
  <c r="B15" i="78" s="1"/>
  <c r="C18" i="78"/>
  <c r="H100" i="43"/>
  <c r="H97" i="43"/>
  <c r="H95" i="43"/>
  <c r="H94" i="43"/>
  <c r="H98" i="43"/>
  <c r="H93" i="43"/>
  <c r="H101" i="43"/>
  <c r="H99" i="43"/>
  <c r="H96" i="43"/>
  <c r="G23" i="78"/>
  <c r="G24"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C23" i="77"/>
  <c r="R22" i="77"/>
  <c r="R21" i="77"/>
  <c r="N19" i="77"/>
  <c r="R18" i="77"/>
  <c r="D18" i="77"/>
  <c r="R17" i="77"/>
  <c r="D17" i="77"/>
  <c r="R16" i="77"/>
  <c r="D16" i="77"/>
  <c r="D15" i="77"/>
  <c r="M14" i="77"/>
  <c r="N14" i="77"/>
  <c r="D14" i="77"/>
  <c r="R13" i="77"/>
  <c r="R12" i="77"/>
  <c r="D12" i="77"/>
  <c r="D11" i="77"/>
  <c r="E11" i="77" s="1"/>
  <c r="E7" i="77" s="1"/>
  <c r="R11" i="77"/>
  <c r="R10" i="77"/>
  <c r="D10" i="77"/>
  <c r="R9" i="77"/>
  <c r="D9" i="77"/>
  <c r="R8" i="77"/>
  <c r="R7" i="77"/>
  <c r="R14" i="77" s="1"/>
  <c r="R4" i="77"/>
  <c r="R3" i="77"/>
  <c r="C27" i="77"/>
  <c r="D7" i="77"/>
  <c r="C26" i="77" s="1"/>
  <c r="R25" i="77"/>
  <c r="AH9" i="71"/>
  <c r="AG9" i="71"/>
  <c r="AE9" i="71"/>
  <c r="AF9" i="71"/>
  <c r="AD9" i="71"/>
  <c r="Q9" i="71"/>
  <c r="P9" i="71"/>
  <c r="O9" i="71"/>
  <c r="N9" i="71"/>
  <c r="R19" i="77"/>
  <c r="AH10" i="71"/>
  <c r="AG10" i="71"/>
  <c r="AE10" i="71"/>
  <c r="AF10" i="71" s="1"/>
  <c r="AD10" i="71"/>
  <c r="Q10" i="71"/>
  <c r="P10" i="71"/>
  <c r="O10" i="71"/>
  <c r="N10" i="71"/>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s="1"/>
  <c r="AD13" i="71"/>
  <c r="Q13" i="71"/>
  <c r="P13" i="71"/>
  <c r="O13" i="71"/>
  <c r="N13" i="71"/>
  <c r="H16" i="49"/>
  <c r="D16" i="49"/>
  <c r="D15" i="49"/>
  <c r="B2" i="49"/>
  <c r="B5" i="49" s="1"/>
  <c r="D5" i="49" s="1"/>
  <c r="K42" i="40"/>
  <c r="K47" i="39"/>
  <c r="K36" i="36"/>
  <c r="E59" i="9"/>
  <c r="K38" i="35"/>
  <c r="K42" i="37"/>
  <c r="K49" i="34"/>
  <c r="K48" i="33"/>
  <c r="K48" i="21"/>
  <c r="H104" i="9"/>
  <c r="F59" i="9"/>
  <c r="AH14" i="71"/>
  <c r="AG14" i="71"/>
  <c r="AE14" i="71"/>
  <c r="AF14" i="71" s="1"/>
  <c r="AD14" i="71"/>
  <c r="Q14" i="71"/>
  <c r="P14" i="71"/>
  <c r="O14" i="71"/>
  <c r="N14" i="71"/>
  <c r="AH15" i="71"/>
  <c r="AG15" i="71"/>
  <c r="AE15" i="71"/>
  <c r="AF15" i="71" s="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s="1"/>
  <c r="N24" i="71"/>
  <c r="B24" i="71" s="1"/>
  <c r="B23" i="71" s="1"/>
  <c r="Q24" i="71"/>
  <c r="P24" i="71"/>
  <c r="E24" i="71" s="1"/>
  <c r="O24" i="71"/>
  <c r="C24" i="71" s="1"/>
  <c r="C23" i="71" s="1"/>
  <c r="Q25" i="71"/>
  <c r="F24" i="71"/>
  <c r="F23" i="71" s="1"/>
  <c r="P25" i="71"/>
  <c r="O25" i="71"/>
  <c r="N25" i="71"/>
  <c r="B22" i="71"/>
  <c r="B21" i="71" s="1"/>
  <c r="B20" i="71" s="1"/>
  <c r="B19" i="71" s="1"/>
  <c r="B18" i="71" s="1"/>
  <c r="B17" i="71"/>
  <c r="A2" i="53"/>
  <c r="K59" i="67"/>
  <c r="P61" i="67"/>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c r="B74" i="72"/>
  <c r="K49" i="9"/>
  <c r="E107" i="9"/>
  <c r="A122" i="9"/>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c r="D89" i="71"/>
  <c r="F88" i="71"/>
  <c r="F87" i="71" s="1"/>
  <c r="F86" i="71" s="1"/>
  <c r="E88" i="71"/>
  <c r="E87" i="71" s="1"/>
  <c r="E86" i="71" s="1"/>
  <c r="C88" i="71"/>
  <c r="D88" i="71" s="1"/>
  <c r="B88" i="71"/>
  <c r="B87" i="71" s="1"/>
  <c r="B86" i="71" s="1"/>
  <c r="D85" i="71"/>
  <c r="F84" i="71"/>
  <c r="F83" i="71" s="1"/>
  <c r="E84" i="71"/>
  <c r="E83" i="71" s="1"/>
  <c r="E82" i="71" s="1"/>
  <c r="C84" i="71"/>
  <c r="B84" i="71"/>
  <c r="F82"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c r="B72" i="71"/>
  <c r="S72" i="71" s="1"/>
  <c r="Q71" i="71"/>
  <c r="P71" i="71"/>
  <c r="O71" i="71"/>
  <c r="N71" i="71"/>
  <c r="B71" i="71"/>
  <c r="B70" i="71" s="1"/>
  <c r="Q70" i="71"/>
  <c r="P70" i="71"/>
  <c r="O70" i="71"/>
  <c r="N70" i="71"/>
  <c r="Q69" i="71"/>
  <c r="P69" i="71"/>
  <c r="O69" i="71"/>
  <c r="N69" i="71"/>
  <c r="D69" i="71"/>
  <c r="F68" i="71"/>
  <c r="F67" i="71"/>
  <c r="F66" i="71" s="1"/>
  <c r="V68" i="71"/>
  <c r="E68" i="71"/>
  <c r="U68" i="71" s="1"/>
  <c r="C68" i="71"/>
  <c r="T68" i="71"/>
  <c r="B68" i="71"/>
  <c r="S68" i="71" s="1"/>
  <c r="D65" i="71"/>
  <c r="Q64" i="71"/>
  <c r="P64" i="71"/>
  <c r="O64" i="71"/>
  <c r="N64" i="71"/>
  <c r="Q63" i="71"/>
  <c r="P63" i="71"/>
  <c r="O63" i="71"/>
  <c r="N63" i="71"/>
  <c r="Q62" i="71"/>
  <c r="P62" i="71"/>
  <c r="O62" i="71"/>
  <c r="N62" i="71"/>
  <c r="Q61" i="71"/>
  <c r="F62" i="71" s="1"/>
  <c r="F63" i="71" s="1"/>
  <c r="F64" i="71" s="1"/>
  <c r="V64" i="71" s="1"/>
  <c r="P61" i="71"/>
  <c r="E62" i="71"/>
  <c r="O61" i="71"/>
  <c r="C62" i="71"/>
  <c r="D62" i="71" s="1"/>
  <c r="N61" i="71"/>
  <c r="B62" i="71" s="1"/>
  <c r="B63" i="71" s="1"/>
  <c r="B64" i="71" s="1"/>
  <c r="S64" i="71" s="1"/>
  <c r="D61" i="71"/>
  <c r="Q60" i="71"/>
  <c r="P60" i="71"/>
  <c r="O60" i="71"/>
  <c r="N60" i="71"/>
  <c r="Q59" i="71"/>
  <c r="P59" i="71"/>
  <c r="O59" i="71"/>
  <c r="N59" i="71"/>
  <c r="Q58" i="71"/>
  <c r="P58" i="71"/>
  <c r="O58" i="71"/>
  <c r="N58" i="71"/>
  <c r="Q57" i="71"/>
  <c r="F58" i="71" s="1"/>
  <c r="F59" i="71"/>
  <c r="F60" i="71"/>
  <c r="V60" i="71" s="1"/>
  <c r="P57" i="71"/>
  <c r="E58" i="71"/>
  <c r="E59" i="71"/>
  <c r="E60" i="71" s="1"/>
  <c r="U60" i="71" s="1"/>
  <c r="O57" i="71"/>
  <c r="C58" i="71"/>
  <c r="C59" i="71" s="1"/>
  <c r="N57" i="71"/>
  <c r="B58" i="71" s="1"/>
  <c r="B59" i="71" s="1"/>
  <c r="B60" i="71" s="1"/>
  <c r="S60" i="71" s="1"/>
  <c r="D57" i="71"/>
  <c r="Q56" i="71"/>
  <c r="P56" i="71"/>
  <c r="O56" i="71"/>
  <c r="N56" i="71"/>
  <c r="Q55" i="71"/>
  <c r="P55" i="71"/>
  <c r="O55" i="71"/>
  <c r="N55" i="71"/>
  <c r="Q54" i="71"/>
  <c r="P54" i="71"/>
  <c r="O54" i="71"/>
  <c r="N54" i="71"/>
  <c r="C54" i="71"/>
  <c r="D54" i="71" s="1"/>
  <c r="Q53" i="71"/>
  <c r="F54" i="71" s="1"/>
  <c r="F55" i="71"/>
  <c r="F56" i="71" s="1"/>
  <c r="V56" i="71" s="1"/>
  <c r="P53" i="71"/>
  <c r="E54" i="71"/>
  <c r="E55" i="71" s="1"/>
  <c r="E56" i="71" s="1"/>
  <c r="U56" i="71" s="1"/>
  <c r="O53" i="7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E51" i="71"/>
  <c r="E52" i="71" s="1"/>
  <c r="U52" i="71" s="1"/>
  <c r="O49" i="71"/>
  <c r="C50" i="71"/>
  <c r="C51" i="71" s="1"/>
  <c r="N49" i="71"/>
  <c r="B50" i="71"/>
  <c r="B51" i="71" s="1"/>
  <c r="B52" i="71" s="1"/>
  <c r="S52" i="71" s="1"/>
  <c r="D49" i="71"/>
  <c r="T48" i="71"/>
  <c r="Q48" i="71"/>
  <c r="P48" i="71"/>
  <c r="O48" i="71"/>
  <c r="N48" i="71"/>
  <c r="D48" i="71"/>
  <c r="Q47" i="71"/>
  <c r="P47" i="71"/>
  <c r="O47" i="71"/>
  <c r="N47" i="71"/>
  <c r="Q46" i="71"/>
  <c r="P46" i="71"/>
  <c r="O46" i="71"/>
  <c r="N46" i="71"/>
  <c r="F47" i="71"/>
  <c r="F48" i="71"/>
  <c r="V48" i="71" s="1"/>
  <c r="Q45" i="71"/>
  <c r="F46" i="71" s="1"/>
  <c r="P45" i="71"/>
  <c r="E46" i="71"/>
  <c r="E47" i="71" s="1"/>
  <c r="E48" i="71" s="1"/>
  <c r="U48" i="71" s="1"/>
  <c r="O45" i="71"/>
  <c r="C46" i="71"/>
  <c r="N45" i="71"/>
  <c r="B46" i="71"/>
  <c r="B47" i="71"/>
  <c r="B48" i="71"/>
  <c r="S48" i="71" s="1"/>
  <c r="D45" i="71"/>
  <c r="Q44" i="71"/>
  <c r="P44" i="71"/>
  <c r="O44" i="71"/>
  <c r="N44" i="71"/>
  <c r="Q43" i="71"/>
  <c r="P43" i="71"/>
  <c r="O43" i="71"/>
  <c r="N43" i="71"/>
  <c r="Q42" i="71"/>
  <c r="P42" i="71"/>
  <c r="O42" i="71"/>
  <c r="N42" i="71"/>
  <c r="Q41" i="71"/>
  <c r="F42" i="71"/>
  <c r="F43" i="71" s="1"/>
  <c r="F44" i="71"/>
  <c r="V44" i="71" s="1"/>
  <c r="P41" i="71"/>
  <c r="E42" i="71" s="1"/>
  <c r="E43" i="71"/>
  <c r="E44" i="71"/>
  <c r="U44" i="71" s="1"/>
  <c r="O41" i="71"/>
  <c r="C42" i="71"/>
  <c r="N41" i="71"/>
  <c r="B42" i="71" s="1"/>
  <c r="B43" i="71" s="1"/>
  <c r="B44" i="71" s="1"/>
  <c r="S44" i="71" s="1"/>
  <c r="D41" i="71"/>
  <c r="Q40" i="71"/>
  <c r="P40" i="71"/>
  <c r="O40" i="71"/>
  <c r="N40" i="71"/>
  <c r="Q39" i="71"/>
  <c r="AB39" i="71" s="1"/>
  <c r="P39" i="71"/>
  <c r="AA39" i="71"/>
  <c r="O39" i="71"/>
  <c r="N39" i="71"/>
  <c r="X39" i="71" s="1"/>
  <c r="Q38" i="71"/>
  <c r="P38" i="71"/>
  <c r="AA38" i="71" s="1"/>
  <c r="O38" i="71"/>
  <c r="Y38" i="71" s="1"/>
  <c r="Z38" i="71" s="1"/>
  <c r="N38" i="71"/>
  <c r="X38" i="71" s="1"/>
  <c r="Q37" i="71"/>
  <c r="AB37" i="71" s="1"/>
  <c r="P37" i="71"/>
  <c r="AA37" i="71" s="1"/>
  <c r="O37" i="71"/>
  <c r="C38" i="71"/>
  <c r="N37" i="71"/>
  <c r="B38" i="71"/>
  <c r="B39" i="71" s="1"/>
  <c r="B40" i="71" s="1"/>
  <c r="S40" i="71" s="1"/>
  <c r="D37" i="71"/>
  <c r="Q36" i="71"/>
  <c r="P36" i="71"/>
  <c r="O36" i="71"/>
  <c r="N36" i="71"/>
  <c r="X36" i="71" s="1"/>
  <c r="Q35" i="71"/>
  <c r="P35" i="71"/>
  <c r="AA34" i="71"/>
  <c r="O35" i="71"/>
  <c r="Y35" i="71" s="1"/>
  <c r="Z35" i="71" s="1"/>
  <c r="N35" i="71"/>
  <c r="X35" i="71" s="1"/>
  <c r="Q34" i="71"/>
  <c r="AB34" i="71" s="1"/>
  <c r="P34" i="71"/>
  <c r="O34" i="71"/>
  <c r="Y34" i="71"/>
  <c r="Z34" i="71" s="1"/>
  <c r="N34" i="71"/>
  <c r="Q33" i="71"/>
  <c r="F34" i="71"/>
  <c r="F35" i="71" s="1"/>
  <c r="F36" i="71" s="1"/>
  <c r="V36" i="71" s="1"/>
  <c r="P33" i="71"/>
  <c r="O33" i="71"/>
  <c r="N33" i="71"/>
  <c r="B34" i="71" s="1"/>
  <c r="D33" i="71"/>
  <c r="Q32" i="71"/>
  <c r="P32" i="71"/>
  <c r="AA31" i="71" s="1"/>
  <c r="O32" i="71"/>
  <c r="Y32" i="71" s="1"/>
  <c r="Z32" i="71" s="1"/>
  <c r="N32" i="71"/>
  <c r="X32" i="71" s="1"/>
  <c r="Q31" i="71"/>
  <c r="AB31" i="71" s="1"/>
  <c r="P31" i="71"/>
  <c r="O31" i="71"/>
  <c r="Y30" i="71" s="1"/>
  <c r="Z30" i="71" s="1"/>
  <c r="N31" i="71"/>
  <c r="Q30" i="71"/>
  <c r="P30" i="71"/>
  <c r="AA30" i="71" s="1"/>
  <c r="O30" i="71"/>
  <c r="N30" i="71"/>
  <c r="B31" i="71" s="1"/>
  <c r="B32" i="71" s="1"/>
  <c r="S32" i="71" s="1"/>
  <c r="Q29" i="71"/>
  <c r="P29" i="71"/>
  <c r="E30" i="71" s="1"/>
  <c r="O29" i="71"/>
  <c r="C30" i="71" s="1"/>
  <c r="N29" i="71"/>
  <c r="D29" i="71"/>
  <c r="O28" i="71"/>
  <c r="C28" i="71" s="1"/>
  <c r="N28" i="71"/>
  <c r="B30" i="71"/>
  <c r="B35" i="71"/>
  <c r="B36" i="71" s="1"/>
  <c r="S36" i="71" s="1"/>
  <c r="Y37" i="71"/>
  <c r="Z37" i="71" s="1"/>
  <c r="X27" i="71"/>
  <c r="D42" i="71"/>
  <c r="D50" i="71"/>
  <c r="P28" i="71"/>
  <c r="E28" i="71" s="1"/>
  <c r="V28" i="71" s="1"/>
  <c r="E63" i="71"/>
  <c r="E64" i="71"/>
  <c r="U64" i="71"/>
  <c r="E67" i="71"/>
  <c r="E66" i="71" s="1"/>
  <c r="Q28" i="71"/>
  <c r="C55" i="71"/>
  <c r="D55" i="71" s="1"/>
  <c r="D58" i="71"/>
  <c r="C63" i="71"/>
  <c r="C64" i="71" s="1"/>
  <c r="Q67" i="71"/>
  <c r="O68" i="71"/>
  <c r="D68" i="71"/>
  <c r="C67" i="71"/>
  <c r="D67" i="71" s="1"/>
  <c r="O67" i="71"/>
  <c r="C71" i="71"/>
  <c r="D71" i="71" s="1"/>
  <c r="E71" i="71"/>
  <c r="E70" i="71" s="1"/>
  <c r="D72" i="71"/>
  <c r="E75" i="71"/>
  <c r="E74" i="71" s="1"/>
  <c r="D76" i="71"/>
  <c r="C79" i="71"/>
  <c r="C78" i="71" s="1"/>
  <c r="D78" i="71" s="1"/>
  <c r="E79" i="71"/>
  <c r="E78" i="71"/>
  <c r="D80" i="71"/>
  <c r="C87" i="71"/>
  <c r="D87" i="71"/>
  <c r="F28" i="71"/>
  <c r="F27" i="71" s="1"/>
  <c r="F26" i="71" s="1"/>
  <c r="AB27" i="71"/>
  <c r="AA27" i="71"/>
  <c r="C66" i="71"/>
  <c r="D66" i="71"/>
  <c r="D63" i="71"/>
  <c r="C86" i="71"/>
  <c r="D86" i="71" s="1"/>
  <c r="P67" i="71"/>
  <c r="O66" i="71"/>
  <c r="O65"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c r="F94" i="40" s="1"/>
  <c r="G94" i="40" s="1"/>
  <c r="F25" i="40"/>
  <c r="AA25" i="40" s="1"/>
  <c r="Q29" i="39"/>
  <c r="Z29" i="39"/>
  <c r="D102" i="39"/>
  <c r="E102" i="39" s="1"/>
  <c r="F102" i="39" s="1"/>
  <c r="G102" i="39" s="1"/>
  <c r="F29" i="39"/>
  <c r="AA29" i="39" s="1"/>
  <c r="Q18" i="36"/>
  <c r="Z18" i="36"/>
  <c r="D66" i="36"/>
  <c r="E66" i="36" s="1"/>
  <c r="F66" i="36" s="1"/>
  <c r="G66" i="36" s="1"/>
  <c r="H18" i="36"/>
  <c r="AB18" i="36" s="1"/>
  <c r="F18" i="36"/>
  <c r="S18" i="36"/>
  <c r="C18" i="36"/>
  <c r="Q18" i="35"/>
  <c r="Z18" i="35"/>
  <c r="D68" i="35"/>
  <c r="E68" i="35" s="1"/>
  <c r="F68" i="35" s="1"/>
  <c r="G68" i="35" s="1"/>
  <c r="F18" i="35"/>
  <c r="AA18" i="35"/>
  <c r="C18" i="35"/>
  <c r="Q21" i="37"/>
  <c r="Z21" i="37" s="1"/>
  <c r="D77" i="37"/>
  <c r="E77" i="37"/>
  <c r="F77" i="37" s="1"/>
  <c r="G77" i="37" s="1"/>
  <c r="C21" i="37"/>
  <c r="Q21" i="34"/>
  <c r="Z21" i="34" s="1"/>
  <c r="D84" i="34"/>
  <c r="E84" i="34"/>
  <c r="F84" i="34"/>
  <c r="G84" i="34" s="1"/>
  <c r="F21" i="34"/>
  <c r="S21" i="34"/>
  <c r="C21" i="34"/>
  <c r="Z21" i="33"/>
  <c r="Q21" i="33"/>
  <c r="D83" i="33"/>
  <c r="E83" i="33"/>
  <c r="F83" i="33" s="1"/>
  <c r="G83" i="33" s="1"/>
  <c r="C21" i="33"/>
  <c r="C21" i="21"/>
  <c r="Q21" i="21"/>
  <c r="Z21" i="21"/>
  <c r="H19" i="21"/>
  <c r="D83" i="21"/>
  <c r="F21" i="21"/>
  <c r="AA21" i="21"/>
  <c r="D81" i="21"/>
  <c r="G20" i="20"/>
  <c r="B88" i="43"/>
  <c r="C22" i="20"/>
  <c r="B100" i="43" s="1"/>
  <c r="C25" i="40"/>
  <c r="H25" i="40"/>
  <c r="U25" i="40" s="1"/>
  <c r="J25" i="40"/>
  <c r="H29" i="39"/>
  <c r="AB29" i="39"/>
  <c r="J29" i="39"/>
  <c r="AC29" i="39" s="1"/>
  <c r="J18" i="36"/>
  <c r="H18" i="35"/>
  <c r="AB18" i="35"/>
  <c r="S18" i="35"/>
  <c r="J18" i="35"/>
  <c r="W18" i="35" s="1"/>
  <c r="H21" i="37"/>
  <c r="AB21" i="37" s="1"/>
  <c r="F21" i="37"/>
  <c r="S21" i="37" s="1"/>
  <c r="H21" i="34"/>
  <c r="AB21" i="34" s="1"/>
  <c r="H21" i="33"/>
  <c r="U21" i="33" s="1"/>
  <c r="F21" i="33"/>
  <c r="S21" i="33"/>
  <c r="E83" i="21"/>
  <c r="F83" i="21" s="1"/>
  <c r="G83" i="21" s="1"/>
  <c r="S21" i="21"/>
  <c r="H1" i="69"/>
  <c r="AC25" i="40"/>
  <c r="W25" i="40"/>
  <c r="AB25" i="40"/>
  <c r="AC18" i="36"/>
  <c r="W18" i="36"/>
  <c r="U21" i="37"/>
  <c r="AA21" i="37"/>
  <c r="AA21" i="33"/>
  <c r="U18" i="35"/>
  <c r="J21" i="37"/>
  <c r="AC21" i="37"/>
  <c r="J21" i="34"/>
  <c r="W21" i="34" s="1"/>
  <c r="J21" i="33"/>
  <c r="AC21" i="33"/>
  <c r="H21" i="21"/>
  <c r="U21" i="21" s="1"/>
  <c r="AB21" i="21"/>
  <c r="F38" i="69"/>
  <c r="E37" i="69"/>
  <c r="F36" i="69"/>
  <c r="F35" i="69"/>
  <c r="F21" i="69"/>
  <c r="F40" i="69" s="1"/>
  <c r="F20" i="69"/>
  <c r="F39" i="69"/>
  <c r="E10" i="69"/>
  <c r="E9" i="69"/>
  <c r="W21" i="37"/>
  <c r="AC21" i="34"/>
  <c r="W21" i="33"/>
  <c r="J21" i="21"/>
  <c r="W21" i="21"/>
  <c r="F38" i="68"/>
  <c r="E37" i="68"/>
  <c r="F36" i="68"/>
  <c r="F35" i="68"/>
  <c r="F21" i="68"/>
  <c r="F40" i="68" s="1"/>
  <c r="F20" i="68"/>
  <c r="F39" i="68"/>
  <c r="E10" i="68"/>
  <c r="E9" i="68"/>
  <c r="C7" i="68"/>
  <c r="AC21" i="21"/>
  <c r="Q72" i="67"/>
  <c r="Q59" i="67"/>
  <c r="Q58" i="67"/>
  <c r="Q51" i="67"/>
  <c r="J50" i="67"/>
  <c r="M47" i="67"/>
  <c r="D46" i="67"/>
  <c r="F33" i="67"/>
  <c r="F61" i="67" s="1"/>
  <c r="F23" i="67"/>
  <c r="D24" i="67"/>
  <c r="F21" i="67"/>
  <c r="F20" i="67"/>
  <c r="M19" i="67"/>
  <c r="F18" i="67"/>
  <c r="F17" i="67"/>
  <c r="F15" i="67"/>
  <c r="S2" i="4"/>
  <c r="C51" i="10" s="1"/>
  <c r="A13" i="51" s="1"/>
  <c r="B11" i="72" s="1"/>
  <c r="S1" i="4"/>
  <c r="A4" i="51" s="1"/>
  <c r="B6" i="72" s="1"/>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s="1"/>
  <c r="M80" i="43"/>
  <c r="N80" i="43"/>
  <c r="K80" i="43"/>
  <c r="J80" i="43" s="1"/>
  <c r="M79" i="43"/>
  <c r="N79" i="43"/>
  <c r="K79" i="43"/>
  <c r="J79" i="43" s="1"/>
  <c r="M78" i="43"/>
  <c r="N78" i="43"/>
  <c r="K78" i="43"/>
  <c r="J78" i="43" s="1"/>
  <c r="D78" i="43"/>
  <c r="M77" i="43"/>
  <c r="N77" i="43" s="1"/>
  <c r="K77" i="43"/>
  <c r="J77" i="43"/>
  <c r="D77" i="43"/>
  <c r="M76" i="43"/>
  <c r="N76" i="43" s="1"/>
  <c r="K76" i="43"/>
  <c r="J76" i="43"/>
  <c r="M75" i="43"/>
  <c r="N75" i="43" s="1"/>
  <c r="K75" i="43"/>
  <c r="J75" i="43"/>
  <c r="M74" i="43"/>
  <c r="N74" i="43" s="1"/>
  <c r="K74" i="43"/>
  <c r="J74" i="43"/>
  <c r="M73" i="43"/>
  <c r="N73" i="43" s="1"/>
  <c r="K73" i="43"/>
  <c r="J73" i="43"/>
  <c r="M72" i="43"/>
  <c r="N72" i="43" s="1"/>
  <c r="K72" i="43"/>
  <c r="J72" i="43"/>
  <c r="M58" i="43"/>
  <c r="N58" i="43"/>
  <c r="K58" i="43"/>
  <c r="J58" i="43" s="1"/>
  <c r="D58" i="43"/>
  <c r="M57" i="43"/>
  <c r="N57" i="43"/>
  <c r="K57" i="43"/>
  <c r="J57" i="43" s="1"/>
  <c r="D57" i="43"/>
  <c r="M56" i="43"/>
  <c r="N56" i="43" s="1"/>
  <c r="K56" i="43"/>
  <c r="J56" i="43"/>
  <c r="D56" i="43"/>
  <c r="M55" i="43"/>
  <c r="N55" i="43" s="1"/>
  <c r="K55" i="43"/>
  <c r="J55" i="43"/>
  <c r="D55" i="43"/>
  <c r="M54" i="43"/>
  <c r="N54" i="43"/>
  <c r="K54" i="43"/>
  <c r="J54" i="43" s="1"/>
  <c r="D54" i="43"/>
  <c r="M53" i="43"/>
  <c r="N53" i="43"/>
  <c r="K53" i="43"/>
  <c r="J53" i="43" s="1"/>
  <c r="D53" i="43"/>
  <c r="M52" i="43"/>
  <c r="N52" i="43" s="1"/>
  <c r="K52" i="43"/>
  <c r="J52" i="43"/>
  <c r="D52" i="43"/>
  <c r="M51" i="43"/>
  <c r="N51" i="43" s="1"/>
  <c r="K51" i="43"/>
  <c r="J51" i="43"/>
  <c r="D51" i="43"/>
  <c r="M50" i="43"/>
  <c r="N50" i="43"/>
  <c r="K50" i="43"/>
  <c r="J50" i="43" s="1"/>
  <c r="D50" i="43"/>
  <c r="Q72" i="15"/>
  <c r="Q58" i="15"/>
  <c r="Q51" i="15"/>
  <c r="Q59" i="15"/>
  <c r="AE13" i="1"/>
  <c r="M47" i="15"/>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9" s="1"/>
  <c r="C59" i="89" s="1"/>
  <c r="D59" i="89" s="1"/>
  <c r="E59" i="89" s="1"/>
  <c r="F59" i="89" s="1"/>
  <c r="G59" i="89" s="1"/>
  <c r="H59" i="89" s="1"/>
  <c r="I59" i="89" s="1"/>
  <c r="J59" i="89" s="1"/>
  <c r="K59" i="89" s="1"/>
  <c r="L59" i="89" s="1"/>
  <c r="M59" i="89" s="1"/>
  <c r="N59" i="89" s="1"/>
  <c r="O59" i="89" s="1"/>
  <c r="E15" i="4"/>
  <c r="G44" i="43" s="1"/>
  <c r="F8" i="1"/>
  <c r="A7" i="1"/>
  <c r="B7" i="1"/>
  <c r="E7" i="1"/>
  <c r="A8" i="1"/>
  <c r="B8" i="1"/>
  <c r="E8" i="1"/>
  <c r="A9" i="1"/>
  <c r="A10" i="1"/>
  <c r="A11" i="1"/>
  <c r="B11" i="1" s="1"/>
  <c r="E11" i="1" s="1"/>
  <c r="A12" i="1"/>
  <c r="A13" i="1"/>
  <c r="B13" i="1"/>
  <c r="E13" i="1" s="1"/>
  <c r="A6"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G100" i="3" s="1"/>
  <c r="H100" i="3"/>
  <c r="BT99" i="3"/>
  <c r="BS99" i="3"/>
  <c r="BR99" i="3"/>
  <c r="BQ99" i="3"/>
  <c r="BP99" i="3"/>
  <c r="BO99" i="3"/>
  <c r="BN99" i="3"/>
  <c r="BL99" i="3" s="1"/>
  <c r="BM99" i="3"/>
  <c r="BK99" i="3"/>
  <c r="BJ99" i="3"/>
  <c r="BI99" i="3"/>
  <c r="BH99" i="3"/>
  <c r="BG99" i="3"/>
  <c r="BF99" i="3"/>
  <c r="BE99" i="3"/>
  <c r="BD99" i="3"/>
  <c r="BC99" i="3"/>
  <c r="BA99" i="3" s="1"/>
  <c r="BB99" i="3"/>
  <c r="AX99" i="3"/>
  <c r="AW99" i="3"/>
  <c r="AV99" i="3"/>
  <c r="AC99" i="3"/>
  <c r="H99" i="3"/>
  <c r="G99" i="3"/>
  <c r="BT98" i="3"/>
  <c r="BS98" i="3"/>
  <c r="BR98" i="3"/>
  <c r="BQ98" i="3"/>
  <c r="BP98" i="3"/>
  <c r="BO98" i="3"/>
  <c r="BN98" i="3"/>
  <c r="BL98" i="3"/>
  <c r="BM98" i="3"/>
  <c r="BK98" i="3"/>
  <c r="BJ98" i="3"/>
  <c r="BI98" i="3"/>
  <c r="BH98" i="3"/>
  <c r="BG98" i="3"/>
  <c r="BF98" i="3"/>
  <c r="BE98" i="3"/>
  <c r="BD98" i="3"/>
  <c r="BC98" i="3"/>
  <c r="BB98" i="3"/>
  <c r="BA98" i="3"/>
  <c r="AX98" i="3"/>
  <c r="AW98" i="3"/>
  <c r="AV98" i="3"/>
  <c r="AC98" i="3"/>
  <c r="H98" i="3"/>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A96" i="3" s="1"/>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A95" i="3" s="1"/>
  <c r="AZ95" i="3" s="1"/>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L88" i="3"/>
  <c r="BK88" i="3"/>
  <c r="BJ88" i="3"/>
  <c r="BI88" i="3"/>
  <c r="BH88" i="3"/>
  <c r="BG88" i="3"/>
  <c r="BF88" i="3"/>
  <c r="BE88" i="3"/>
  <c r="BD88" i="3"/>
  <c r="BC88" i="3"/>
  <c r="BA88" i="3" s="1"/>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G86" i="3"/>
  <c r="H86" i="3"/>
  <c r="BT85" i="3"/>
  <c r="BS85" i="3"/>
  <c r="BR85" i="3"/>
  <c r="BQ85" i="3"/>
  <c r="BP85" i="3"/>
  <c r="BO85" i="3"/>
  <c r="BN85" i="3"/>
  <c r="BL85" i="3" s="1"/>
  <c r="BM85" i="3"/>
  <c r="BK85" i="3"/>
  <c r="BJ85" i="3"/>
  <c r="BI85" i="3"/>
  <c r="BH85" i="3"/>
  <c r="BG85" i="3"/>
  <c r="BF85" i="3"/>
  <c r="BE85" i="3"/>
  <c r="BD85" i="3"/>
  <c r="BC85" i="3"/>
  <c r="BA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G84" i="3"/>
  <c r="H84" i="3"/>
  <c r="BT83" i="3"/>
  <c r="BS83" i="3"/>
  <c r="BR83" i="3"/>
  <c r="BQ83" i="3"/>
  <c r="BP83" i="3"/>
  <c r="BO83" i="3"/>
  <c r="BN83" i="3"/>
  <c r="BL83" i="3" s="1"/>
  <c r="BM83" i="3"/>
  <c r="BK83" i="3"/>
  <c r="BJ83" i="3"/>
  <c r="BI83" i="3"/>
  <c r="BH83" i="3"/>
  <c r="BG83" i="3"/>
  <c r="BF83" i="3"/>
  <c r="BE83" i="3"/>
  <c r="BD83" i="3"/>
  <c r="BC83" i="3"/>
  <c r="BA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G82" i="3"/>
  <c r="H82" i="3"/>
  <c r="BT81" i="3"/>
  <c r="BS81" i="3"/>
  <c r="BR81" i="3"/>
  <c r="BQ81" i="3"/>
  <c r="BP81" i="3"/>
  <c r="BO81" i="3"/>
  <c r="BN81" i="3"/>
  <c r="BL81" i="3" s="1"/>
  <c r="BM81" i="3"/>
  <c r="BK81" i="3"/>
  <c r="BJ81" i="3"/>
  <c r="BI81" i="3"/>
  <c r="BH81" i="3"/>
  <c r="BG81" i="3"/>
  <c r="BF81" i="3"/>
  <c r="BE81" i="3"/>
  <c r="BD81" i="3"/>
  <c r="BC81" i="3"/>
  <c r="BA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L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s="1"/>
  <c r="BK64" i="3"/>
  <c r="BJ64" i="3"/>
  <c r="BI64" i="3"/>
  <c r="BH64" i="3"/>
  <c r="BG64" i="3"/>
  <c r="BF64" i="3"/>
  <c r="BE64" i="3"/>
  <c r="BD64" i="3"/>
  <c r="BA64" i="3"/>
  <c r="BC64" i="3"/>
  <c r="BB64" i="3"/>
  <c r="AX64" i="3"/>
  <c r="AW64" i="3"/>
  <c r="AV64" i="3"/>
  <c r="AC64" i="3"/>
  <c r="G64" i="3"/>
  <c r="H64" i="3"/>
  <c r="BT63" i="3"/>
  <c r="BS63" i="3"/>
  <c r="BR63" i="3"/>
  <c r="BQ63" i="3"/>
  <c r="BP63" i="3"/>
  <c r="BO63" i="3"/>
  <c r="BL63" i="3"/>
  <c r="BN63" i="3"/>
  <c r="BM63" i="3"/>
  <c r="BK63" i="3"/>
  <c r="BJ63" i="3"/>
  <c r="BI63" i="3"/>
  <c r="BH63" i="3"/>
  <c r="BG63" i="3"/>
  <c r="BF63" i="3"/>
  <c r="BE63" i="3"/>
  <c r="BD63" i="3"/>
  <c r="BC63" i="3"/>
  <c r="BA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c r="BT60" i="3"/>
  <c r="BS60" i="3"/>
  <c r="BR60" i="3"/>
  <c r="BQ60" i="3"/>
  <c r="BP60" i="3"/>
  <c r="BO60" i="3"/>
  <c r="BN60" i="3"/>
  <c r="BL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L45" i="3"/>
  <c r="BM45" i="3"/>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L44" i="3" s="1"/>
  <c r="BK44" i="3"/>
  <c r="BJ44" i="3"/>
  <c r="BI44" i="3"/>
  <c r="BH44" i="3"/>
  <c r="BG44" i="3"/>
  <c r="BF44" i="3"/>
  <c r="BE44" i="3"/>
  <c r="BD44" i="3"/>
  <c r="BC44" i="3"/>
  <c r="BA44" i="3" s="1"/>
  <c r="AZ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G38" i="3" s="1"/>
  <c r="H38" i="3"/>
  <c r="BT37" i="3"/>
  <c r="BS37" i="3"/>
  <c r="BR37" i="3"/>
  <c r="BQ37" i="3"/>
  <c r="BP37" i="3"/>
  <c r="BO37" i="3"/>
  <c r="BN37" i="3"/>
  <c r="BM37" i="3"/>
  <c r="BL37" i="3" s="1"/>
  <c r="BK37" i="3"/>
  <c r="BJ37" i="3"/>
  <c r="BI37" i="3"/>
  <c r="BH37" i="3"/>
  <c r="BG37" i="3"/>
  <c r="BF37" i="3"/>
  <c r="BE37" i="3"/>
  <c r="BD37" i="3"/>
  <c r="BC37" i="3"/>
  <c r="BA37" i="3" s="1"/>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G36" i="3" s="1"/>
  <c r="H36" i="3"/>
  <c r="BT35" i="3"/>
  <c r="BS35" i="3"/>
  <c r="BR35" i="3"/>
  <c r="BQ35" i="3"/>
  <c r="BP35" i="3"/>
  <c r="BO35" i="3"/>
  <c r="BL35" i="3" s="1"/>
  <c r="BN35" i="3"/>
  <c r="BM35" i="3"/>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L24" i="3" s="1"/>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s="1"/>
  <c r="BK22" i="3"/>
  <c r="BJ22" i="3"/>
  <c r="BI22" i="3"/>
  <c r="BH22" i="3"/>
  <c r="BG22" i="3"/>
  <c r="BF22" i="3"/>
  <c r="BE22" i="3"/>
  <c r="BD22" i="3"/>
  <c r="BA22" i="3"/>
  <c r="BC22" i="3"/>
  <c r="BB22" i="3"/>
  <c r="AX22" i="3"/>
  <c r="AW22" i="3"/>
  <c r="AV22" i="3"/>
  <c r="AC22" i="3"/>
  <c r="H22" i="3"/>
  <c r="G22" i="3" s="1"/>
  <c r="BT21" i="3"/>
  <c r="BS21" i="3"/>
  <c r="BR21" i="3"/>
  <c r="BQ21" i="3"/>
  <c r="BP21" i="3"/>
  <c r="BO21" i="3"/>
  <c r="BL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L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A205" i="3" s="1"/>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L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A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A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L190" i="3" s="1"/>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A169" i="3" s="1"/>
  <c r="AZ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L167" i="3"/>
  <c r="BM167" i="3"/>
  <c r="BK167" i="3"/>
  <c r="BJ167" i="3"/>
  <c r="BI167" i="3"/>
  <c r="BH167" i="3"/>
  <c r="BG167" i="3"/>
  <c r="BF167" i="3"/>
  <c r="BE167" i="3"/>
  <c r="BD167" i="3"/>
  <c r="BC167" i="3"/>
  <c r="BB167" i="3"/>
  <c r="AX167" i="3"/>
  <c r="AW167" i="3"/>
  <c r="AV167" i="3"/>
  <c r="AC167" i="3"/>
  <c r="G167" i="3"/>
  <c r="H167" i="3"/>
  <c r="BT166" i="3"/>
  <c r="BS166" i="3"/>
  <c r="BR166" i="3"/>
  <c r="BQ166" i="3"/>
  <c r="BP166" i="3"/>
  <c r="BO166" i="3"/>
  <c r="BN166" i="3"/>
  <c r="BL166" i="3" s="1"/>
  <c r="BM166" i="3"/>
  <c r="BK166" i="3"/>
  <c r="BJ166" i="3"/>
  <c r="BI166" i="3"/>
  <c r="BH166" i="3"/>
  <c r="BG166" i="3"/>
  <c r="BF166" i="3"/>
  <c r="BE166" i="3"/>
  <c r="BD166" i="3"/>
  <c r="BC166" i="3"/>
  <c r="BA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L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G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L149" i="3" s="1"/>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G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G143" i="3"/>
  <c r="H143" i="3"/>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G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G134" i="3" s="1"/>
  <c r="H134" i="3"/>
  <c r="BT133" i="3"/>
  <c r="BS133" i="3"/>
  <c r="BR133" i="3"/>
  <c r="BQ133" i="3"/>
  <c r="BP133" i="3"/>
  <c r="BO133" i="3"/>
  <c r="BL133" i="3" s="1"/>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L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A302" i="3"/>
  <c r="BB302" i="3"/>
  <c r="AX302" i="3"/>
  <c r="AW302" i="3"/>
  <c r="AV302" i="3"/>
  <c r="AC302" i="3"/>
  <c r="H302" i="3"/>
  <c r="G302" i="3"/>
  <c r="BT301" i="3"/>
  <c r="BS301" i="3"/>
  <c r="BR301" i="3"/>
  <c r="BQ301" i="3"/>
  <c r="BP301" i="3"/>
  <c r="BO301" i="3"/>
  <c r="BN301" i="3"/>
  <c r="BL301" i="3"/>
  <c r="BM301" i="3"/>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A297" i="3" s="1"/>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A295" i="3" s="1"/>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L293" i="3" s="1"/>
  <c r="BN293" i="3"/>
  <c r="BM293" i="3"/>
  <c r="BK293" i="3"/>
  <c r="BJ293" i="3"/>
  <c r="BI293" i="3"/>
  <c r="BH293" i="3"/>
  <c r="BG293" i="3"/>
  <c r="BF293" i="3"/>
  <c r="BE293" i="3"/>
  <c r="BD293" i="3"/>
  <c r="BC293" i="3"/>
  <c r="BA293" i="3" s="1"/>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L287" i="3"/>
  <c r="BM287" i="3"/>
  <c r="BK287" i="3"/>
  <c r="BJ287" i="3"/>
  <c r="BI287" i="3"/>
  <c r="BH287" i="3"/>
  <c r="BG287" i="3"/>
  <c r="BF287" i="3"/>
  <c r="BE287" i="3"/>
  <c r="BD287" i="3"/>
  <c r="BC287" i="3"/>
  <c r="BA287" i="3" s="1"/>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L285" i="3"/>
  <c r="BM285" i="3"/>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L277" i="3" s="1"/>
  <c r="BN277" i="3"/>
  <c r="BM277" i="3"/>
  <c r="BK277" i="3"/>
  <c r="BJ277" i="3"/>
  <c r="BI277" i="3"/>
  <c r="BH277" i="3"/>
  <c r="BG277" i="3"/>
  <c r="BF277" i="3"/>
  <c r="BE277" i="3"/>
  <c r="BD277" i="3"/>
  <c r="BC277" i="3"/>
  <c r="BA277" i="3" s="1"/>
  <c r="BB277" i="3"/>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G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G272" i="3" s="1"/>
  <c r="H272" i="3"/>
  <c r="BT271" i="3"/>
  <c r="BS271" i="3"/>
  <c r="BR271" i="3"/>
  <c r="BQ271" i="3"/>
  <c r="BP271" i="3"/>
  <c r="BO271" i="3"/>
  <c r="BL271" i="3" s="1"/>
  <c r="BN271" i="3"/>
  <c r="BM271" i="3"/>
  <c r="BK271" i="3"/>
  <c r="BJ271" i="3"/>
  <c r="BI271" i="3"/>
  <c r="BH271" i="3"/>
  <c r="BG271" i="3"/>
  <c r="BF271" i="3"/>
  <c r="BE271" i="3"/>
  <c r="BD271" i="3"/>
  <c r="BC271" i="3"/>
  <c r="BA271" i="3" s="1"/>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A260" i="3"/>
  <c r="BB260" i="3"/>
  <c r="AX260" i="3"/>
  <c r="AW260" i="3"/>
  <c r="AV260" i="3"/>
  <c r="AC260" i="3"/>
  <c r="H260" i="3"/>
  <c r="G260" i="3"/>
  <c r="BT259" i="3"/>
  <c r="BS259" i="3"/>
  <c r="BR259" i="3"/>
  <c r="BQ259" i="3"/>
  <c r="BP259" i="3"/>
  <c r="BO259" i="3"/>
  <c r="BN259" i="3"/>
  <c r="BL259" i="3"/>
  <c r="BM259" i="3"/>
  <c r="BK259" i="3"/>
  <c r="BJ259" i="3"/>
  <c r="BI259" i="3"/>
  <c r="BH259" i="3"/>
  <c r="BG259" i="3"/>
  <c r="BF259" i="3"/>
  <c r="BE259" i="3"/>
  <c r="BD259" i="3"/>
  <c r="BC259" i="3"/>
  <c r="BB259" i="3"/>
  <c r="BA259" i="3"/>
  <c r="AX259" i="3"/>
  <c r="AW259" i="3"/>
  <c r="AV259" i="3"/>
  <c r="AC259" i="3"/>
  <c r="G259" i="3" s="1"/>
  <c r="H259" i="3"/>
  <c r="BT258" i="3"/>
  <c r="BS258" i="3"/>
  <c r="BR258" i="3"/>
  <c r="BQ258" i="3"/>
  <c r="BP258" i="3"/>
  <c r="BO258" i="3"/>
  <c r="BL258" i="3" s="1"/>
  <c r="BN258" i="3"/>
  <c r="BM258" i="3"/>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BC256" i="3"/>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L253" i="3" s="1"/>
  <c r="BN253" i="3"/>
  <c r="BM253" i="3"/>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A247" i="3" s="1"/>
  <c r="BC247" i="3"/>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L244" i="3" s="1"/>
  <c r="BN244" i="3"/>
  <c r="BM244" i="3"/>
  <c r="BK244" i="3"/>
  <c r="BJ244" i="3"/>
  <c r="BI244" i="3"/>
  <c r="BH244" i="3"/>
  <c r="BG244" i="3"/>
  <c r="BF244" i="3"/>
  <c r="BE244" i="3"/>
  <c r="BD244" i="3"/>
  <c r="BC244" i="3"/>
  <c r="BA244" i="3" s="1"/>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A242" i="3" s="1"/>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G236" i="3" s="1"/>
  <c r="H236" i="3"/>
  <c r="BT235" i="3"/>
  <c r="BS235" i="3"/>
  <c r="BR235" i="3"/>
  <c r="BQ235" i="3"/>
  <c r="BP235" i="3"/>
  <c r="BO235" i="3"/>
  <c r="BL235" i="3" s="1"/>
  <c r="BN235" i="3"/>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L233" i="3" s="1"/>
  <c r="BN233" i="3"/>
  <c r="BM233" i="3"/>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L231" i="3" s="1"/>
  <c r="BN231" i="3"/>
  <c r="BM231" i="3"/>
  <c r="BK231" i="3"/>
  <c r="BJ231" i="3"/>
  <c r="BI231" i="3"/>
  <c r="BH231" i="3"/>
  <c r="BG231" i="3"/>
  <c r="BF231" i="3"/>
  <c r="BE231" i="3"/>
  <c r="BD231" i="3"/>
  <c r="BC231" i="3"/>
  <c r="BA231" i="3" s="1"/>
  <c r="AZ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A229" i="3" s="1"/>
  <c r="BC229" i="3"/>
  <c r="BB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L226" i="3" s="1"/>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L223" i="3" s="1"/>
  <c r="BN223" i="3"/>
  <c r="BM223" i="3"/>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L221" i="3" s="1"/>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L220" i="3"/>
  <c r="BN220" i="3"/>
  <c r="BM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G219" i="3" s="1"/>
  <c r="H219" i="3"/>
  <c r="BT218" i="3"/>
  <c r="BS218" i="3"/>
  <c r="BR218" i="3"/>
  <c r="BQ218" i="3"/>
  <c r="BP218" i="3"/>
  <c r="BO218" i="3"/>
  <c r="BL218" i="3" s="1"/>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L217" i="3" s="1"/>
  <c r="BM217" i="3"/>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BC216" i="3"/>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AZ212" i="3" s="1"/>
  <c r="BC212" i="3"/>
  <c r="BB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A211" i="3" s="1"/>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G210" i="3" s="1"/>
  <c r="H210" i="3"/>
  <c r="BT209" i="3"/>
  <c r="BS209" i="3"/>
  <c r="BR209" i="3"/>
  <c r="BQ209" i="3"/>
  <c r="BP209" i="3"/>
  <c r="BO209" i="3"/>
  <c r="BL209" i="3" s="1"/>
  <c r="BN209" i="3"/>
  <c r="BM209" i="3"/>
  <c r="BK209" i="3"/>
  <c r="BJ209" i="3"/>
  <c r="BI209" i="3"/>
  <c r="BH209" i="3"/>
  <c r="BG209" i="3"/>
  <c r="BF209" i="3"/>
  <c r="BE209" i="3"/>
  <c r="BD209" i="3"/>
  <c r="BC209" i="3"/>
  <c r="BA209" i="3" s="1"/>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G208" i="3" s="1"/>
  <c r="H208" i="3"/>
  <c r="BT397" i="3"/>
  <c r="BS397" i="3"/>
  <c r="BR397" i="3"/>
  <c r="BQ397" i="3"/>
  <c r="BP397" i="3"/>
  <c r="BO397" i="3"/>
  <c r="BL397" i="3" s="1"/>
  <c r="BN397" i="3"/>
  <c r="BM397" i="3"/>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A395" i="3" s="1"/>
  <c r="AZ395" i="3" s="1"/>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BT383" i="3"/>
  <c r="BS383" i="3"/>
  <c r="BR383" i="3"/>
  <c r="BQ383" i="3"/>
  <c r="BP383" i="3"/>
  <c r="BO383" i="3"/>
  <c r="BN383" i="3"/>
  <c r="BL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L348" i="3" s="1"/>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L480" i="3" s="1"/>
  <c r="BN480" i="3"/>
  <c r="BM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C477" i="3"/>
  <c r="BA477" i="3" s="1"/>
  <c r="AZ477" i="3" s="1"/>
  <c r="BB477" i="3"/>
  <c r="AX477" i="3"/>
  <c r="AW477" i="3"/>
  <c r="AV477" i="3"/>
  <c r="AC477" i="3"/>
  <c r="G477" i="3"/>
  <c r="H477" i="3"/>
  <c r="BT476" i="3"/>
  <c r="BS476" i="3"/>
  <c r="BR476" i="3"/>
  <c r="BQ476" i="3"/>
  <c r="BP476" i="3"/>
  <c r="BO476" i="3"/>
  <c r="BN476" i="3"/>
  <c r="BM476" i="3"/>
  <c r="BL476" i="3" s="1"/>
  <c r="BK476" i="3"/>
  <c r="BJ476" i="3"/>
  <c r="BI476" i="3"/>
  <c r="BH476" i="3"/>
  <c r="BG476" i="3"/>
  <c r="BF476" i="3"/>
  <c r="BE476" i="3"/>
  <c r="BD476" i="3"/>
  <c r="BC476" i="3"/>
  <c r="BA476" i="3"/>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A472" i="3" s="1"/>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G463" i="3"/>
  <c r="H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L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L456" i="3" s="1"/>
  <c r="BN456" i="3"/>
  <c r="BM456" i="3"/>
  <c r="BK456" i="3"/>
  <c r="BJ456" i="3"/>
  <c r="BI456" i="3"/>
  <c r="BH456" i="3"/>
  <c r="BG456" i="3"/>
  <c r="BF456" i="3"/>
  <c r="BE456" i="3"/>
  <c r="BD456" i="3"/>
  <c r="BC456" i="3"/>
  <c r="BB456" i="3"/>
  <c r="BA456" i="3" s="1"/>
  <c r="AZ456" i="3" s="1"/>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A455" i="3" s="1"/>
  <c r="BB455" i="3"/>
  <c r="AX455" i="3"/>
  <c r="AW455" i="3"/>
  <c r="AV455" i="3"/>
  <c r="AC455" i="3"/>
  <c r="H455" i="3"/>
  <c r="G455" i="3"/>
  <c r="BT454" i="3"/>
  <c r="BS454" i="3"/>
  <c r="BR454" i="3"/>
  <c r="BQ454" i="3"/>
  <c r="BP454" i="3"/>
  <c r="BO454" i="3"/>
  <c r="BN454" i="3"/>
  <c r="BL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L453" i="3" s="1"/>
  <c r="BN453" i="3"/>
  <c r="BM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A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BA444" i="3" s="1"/>
  <c r="AZ444" i="3" s="1"/>
  <c r="AX444" i="3"/>
  <c r="AW444" i="3"/>
  <c r="AV444" i="3"/>
  <c r="AC444" i="3"/>
  <c r="G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A433" i="3"/>
  <c r="BB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G420" i="3"/>
  <c r="H420" i="3"/>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c r="BB418" i="3"/>
  <c r="AX418" i="3"/>
  <c r="AW418" i="3"/>
  <c r="AV418" i="3"/>
  <c r="AC418" i="3"/>
  <c r="G418" i="3" s="1"/>
  <c r="H418" i="3"/>
  <c r="BT417" i="3"/>
  <c r="BS417" i="3"/>
  <c r="BR417" i="3"/>
  <c r="BQ417" i="3"/>
  <c r="BP417" i="3"/>
  <c r="BO417" i="3"/>
  <c r="BL417" i="3" s="1"/>
  <c r="BN417" i="3"/>
  <c r="BM417" i="3"/>
  <c r="BK417" i="3"/>
  <c r="BJ417" i="3"/>
  <c r="BI417" i="3"/>
  <c r="BH417" i="3"/>
  <c r="BG417" i="3"/>
  <c r="BF417" i="3"/>
  <c r="BE417" i="3"/>
  <c r="BD417" i="3"/>
  <c r="BC417" i="3"/>
  <c r="BA417" i="3" s="1"/>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A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A410" i="3" s="1"/>
  <c r="BB410" i="3"/>
  <c r="AX410" i="3"/>
  <c r="AW410" i="3"/>
  <c r="AV410" i="3"/>
  <c r="AC410" i="3"/>
  <c r="G410" i="3"/>
  <c r="H410" i="3"/>
  <c r="BT409" i="3"/>
  <c r="BS409" i="3"/>
  <c r="BR409" i="3"/>
  <c r="BQ409" i="3"/>
  <c r="BP409" i="3"/>
  <c r="BO409" i="3"/>
  <c r="BN409" i="3"/>
  <c r="BL409" i="3" s="1"/>
  <c r="BM409" i="3"/>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G408" i="3" s="1"/>
  <c r="H408" i="3"/>
  <c r="BT407" i="3"/>
  <c r="BS407" i="3"/>
  <c r="BR407" i="3"/>
  <c r="BQ407" i="3"/>
  <c r="BP407" i="3"/>
  <c r="BO407" i="3"/>
  <c r="BL407" i="3" s="1"/>
  <c r="BN407" i="3"/>
  <c r="BM407" i="3"/>
  <c r="BK407" i="3"/>
  <c r="BJ407" i="3"/>
  <c r="BI407" i="3"/>
  <c r="BH407" i="3"/>
  <c r="BG407" i="3"/>
  <c r="BF407" i="3"/>
  <c r="BE407" i="3"/>
  <c r="BD407" i="3"/>
  <c r="BC407" i="3"/>
  <c r="BA407" i="3" s="1"/>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G405" i="3" s="1"/>
  <c r="H405" i="3"/>
  <c r="BT404" i="3"/>
  <c r="BS404" i="3"/>
  <c r="BR404" i="3"/>
  <c r="BQ404" i="3"/>
  <c r="BP404" i="3"/>
  <c r="BO404" i="3"/>
  <c r="BN404" i="3"/>
  <c r="BM404" i="3"/>
  <c r="BL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s="1"/>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c r="C64" i="39" s="1"/>
  <c r="H63" i="39"/>
  <c r="I63" i="39" s="1"/>
  <c r="C63" i="39" s="1"/>
  <c r="H59" i="39"/>
  <c r="I59" i="39" s="1"/>
  <c r="C59" i="39" s="1"/>
  <c r="H58" i="39"/>
  <c r="I58" i="39" s="1"/>
  <c r="C58" i="39" s="1"/>
  <c r="H57" i="39"/>
  <c r="I57" i="39"/>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9" i="31"/>
  <c r="R30" i="3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R115" i="31"/>
  <c r="R116" i="31"/>
  <c r="R117" i="31"/>
  <c r="R118" i="31"/>
  <c r="R119" i="31"/>
  <c r="R120" i="31"/>
  <c r="R121" i="31"/>
  <c r="R122" i="3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c r="R388" i="31"/>
  <c r="R389" i="31"/>
  <c r="S389" i="31" s="1"/>
  <c r="R390" i="31"/>
  <c r="S390" i="31" s="1"/>
  <c r="R391" i="31"/>
  <c r="S391" i="31" s="1"/>
  <c r="R392" i="31"/>
  <c r="R393" i="31"/>
  <c r="S393" i="31" s="1"/>
  <c r="R394" i="31"/>
  <c r="S394" i="31"/>
  <c r="R395" i="31"/>
  <c r="S395" i="31" s="1"/>
  <c r="R396" i="31"/>
  <c r="R397" i="31"/>
  <c r="S397" i="31" s="1"/>
  <c r="R398" i="31"/>
  <c r="S398" i="31" s="1"/>
  <c r="R399" i="31"/>
  <c r="S399" i="31" s="1"/>
  <c r="R400" i="31"/>
  <c r="R401" i="31"/>
  <c r="S401" i="3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c r="R476" i="31"/>
  <c r="R477" i="31"/>
  <c r="R478" i="3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R495" i="31"/>
  <c r="S495" i="31" s="1"/>
  <c r="R496" i="31"/>
  <c r="R497" i="31"/>
  <c r="R498" i="31"/>
  <c r="S498" i="31" s="1"/>
  <c r="R499" i="31"/>
  <c r="R500" i="31"/>
  <c r="R501" i="31"/>
  <c r="R502" i="31"/>
  <c r="S502" i="31" s="1"/>
  <c r="R503" i="31"/>
  <c r="R504" i="31"/>
  <c r="R505" i="31"/>
  <c r="R506" i="31"/>
  <c r="S506" i="31" s="1"/>
  <c r="R507" i="31"/>
  <c r="R508" i="31"/>
  <c r="R509" i="31"/>
  <c r="R510" i="31"/>
  <c r="S510" i="31" s="1"/>
  <c r="R511" i="31"/>
  <c r="R512" i="31"/>
  <c r="R513" i="31"/>
  <c r="R514" i="31"/>
  <c r="S514" i="31" s="1"/>
  <c r="R515" i="31"/>
  <c r="R516" i="31"/>
  <c r="R517" i="31"/>
  <c r="R518" i="31"/>
  <c r="S518" i="31" s="1"/>
  <c r="R519" i="31"/>
  <c r="R520" i="31"/>
  <c r="R521" i="31"/>
  <c r="R522" i="31"/>
  <c r="S522" i="31" s="1"/>
  <c r="R523" i="31"/>
  <c r="R524"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s="1"/>
  <c r="F33" i="9"/>
  <c r="B37" i="48"/>
  <c r="B2" i="72" s="1"/>
  <c r="B13" i="53"/>
  <c r="B29" i="72" s="1"/>
  <c r="R35" i="4"/>
  <c r="Q35" i="4"/>
  <c r="P35" i="4"/>
  <c r="O35" i="4"/>
  <c r="N35" i="4"/>
  <c r="M35" i="4"/>
  <c r="L35" i="4"/>
  <c r="K34" i="4"/>
  <c r="T34" i="4" s="1"/>
  <c r="G13" i="1"/>
  <c r="H15" i="4"/>
  <c r="F9" i="1"/>
  <c r="G9" i="1" s="1"/>
  <c r="G15" i="4"/>
  <c r="F12" i="1"/>
  <c r="G12" i="1" s="1"/>
  <c r="F15" i="4"/>
  <c r="F11" i="1"/>
  <c r="G11" i="1" s="1"/>
  <c r="D15" i="4"/>
  <c r="F7" i="1"/>
  <c r="G7" i="1" s="1"/>
  <c r="C15" i="4"/>
  <c r="F6" i="1"/>
  <c r="I24" i="43"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c r="BN17" i="3"/>
  <c r="BP13" i="3"/>
  <c r="BP14" i="3"/>
  <c r="BP15" i="3"/>
  <c r="BL15" i="3" s="1"/>
  <c r="BP16" i="3"/>
  <c r="BP17" i="3"/>
  <c r="E19" i="6"/>
  <c r="D3" i="82"/>
  <c r="E20" i="6"/>
  <c r="E21" i="6"/>
  <c r="K8" i="1"/>
  <c r="M8" i="1" s="1"/>
  <c r="F23" i="15"/>
  <c r="D24" i="15" s="1"/>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c r="C87" i="9"/>
  <c r="J55" i="9"/>
  <c r="B31" i="1"/>
  <c r="B52" i="1"/>
  <c r="M20" i="15"/>
  <c r="T4" i="1"/>
  <c r="F15" i="15"/>
  <c r="F17" i="15"/>
  <c r="F18" i="15"/>
  <c r="F20" i="15"/>
  <c r="F21" i="15"/>
  <c r="D3" i="35"/>
  <c r="N55" i="9"/>
  <c r="K55" i="9"/>
  <c r="O55" i="9"/>
  <c r="N54" i="9"/>
  <c r="N53" i="9"/>
  <c r="E48" i="9"/>
  <c r="N52" i="9" s="1"/>
  <c r="F56" i="9"/>
  <c r="O54" i="9"/>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4" i="31"/>
  <c r="S300" i="31"/>
  <c r="S296" i="31"/>
  <c r="S292" i="31"/>
  <c r="S288" i="31"/>
  <c r="S284" i="31"/>
  <c r="S280" i="31"/>
  <c r="S276" i="31"/>
  <c r="S272" i="31"/>
  <c r="S268" i="31"/>
  <c r="S264" i="31"/>
  <c r="S260"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4" i="31"/>
  <c r="S493" i="31"/>
  <c r="S492" i="31"/>
  <c r="S489" i="31"/>
  <c r="S488" i="31"/>
  <c r="S485" i="31"/>
  <c r="S484" i="31"/>
  <c r="S481" i="31"/>
  <c r="S480" i="31"/>
  <c r="S478" i="31"/>
  <c r="S477" i="31"/>
  <c r="S476" i="31"/>
  <c r="S473" i="31"/>
  <c r="S472" i="31"/>
  <c r="S469" i="31"/>
  <c r="S468" i="31"/>
  <c r="S444" i="31"/>
  <c r="S443" i="31"/>
  <c r="S441" i="31"/>
  <c r="S440" i="31"/>
  <c r="S439" i="31"/>
  <c r="S437" i="31"/>
  <c r="S436" i="31"/>
  <c r="S435" i="31"/>
  <c r="S433" i="31"/>
  <c r="S432" i="31"/>
  <c r="S431" i="31"/>
  <c r="S122" i="31"/>
  <c r="S121" i="31"/>
  <c r="S120" i="31"/>
  <c r="S119" i="31"/>
  <c r="S118" i="31"/>
  <c r="S117" i="31"/>
  <c r="S116" i="31"/>
  <c r="S115" i="31"/>
  <c r="S114" i="31"/>
  <c r="S113" i="31"/>
  <c r="S112" i="31"/>
  <c r="S504" i="31"/>
  <c r="S500" i="31"/>
  <c r="S465" i="31"/>
  <c r="S464" i="31"/>
  <c r="S461" i="31"/>
  <c r="S460" i="31"/>
  <c r="S457" i="31"/>
  <c r="S456" i="31"/>
  <c r="S453" i="31"/>
  <c r="S452" i="31"/>
  <c r="S53" i="31"/>
  <c r="S52" i="31"/>
  <c r="S51" i="31"/>
  <c r="S49" i="31"/>
  <c r="S48" i="31"/>
  <c r="S47" i="31"/>
  <c r="S45" i="31"/>
  <c r="S44" i="31"/>
  <c r="S43" i="31"/>
  <c r="S41" i="31"/>
  <c r="S40" i="31"/>
  <c r="S39" i="31"/>
  <c r="S37" i="31"/>
  <c r="S36" i="31"/>
  <c r="S35" i="31"/>
  <c r="S33" i="31"/>
  <c r="S32"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31" i="31"/>
  <c r="S30" i="31"/>
  <c r="S29" i="31"/>
  <c r="S99" i="31"/>
  <c r="S100" i="31"/>
  <c r="S101" i="31"/>
  <c r="S103" i="31"/>
  <c r="S104" i="31"/>
  <c r="S105" i="31"/>
  <c r="S107" i="31"/>
  <c r="S108" i="31"/>
  <c r="S109" i="31"/>
  <c r="S111" i="31"/>
  <c r="S445" i="31"/>
  <c r="S447" i="31"/>
  <c r="S448" i="31"/>
  <c r="S449" i="31"/>
  <c r="S507" i="31"/>
  <c r="S508" i="31"/>
  <c r="S509" i="31"/>
  <c r="S511" i="31"/>
  <c r="S512" i="31"/>
  <c r="S513" i="31"/>
  <c r="I48" i="37"/>
  <c r="J48" i="37"/>
  <c r="G48" i="37"/>
  <c r="H48" i="37" s="1"/>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L494" i="3" s="1"/>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L504" i="3" s="1"/>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L507" i="3" s="1"/>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A511" i="3" s="1"/>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G515" i="3"/>
  <c r="AC515" i="3"/>
  <c r="BB515" i="3"/>
  <c r="BC515" i="3"/>
  <c r="BD515" i="3"/>
  <c r="BE515" i="3"/>
  <c r="BF515" i="3"/>
  <c r="BG515" i="3"/>
  <c r="BH515" i="3"/>
  <c r="BI515" i="3"/>
  <c r="BJ515" i="3"/>
  <c r="BK515" i="3"/>
  <c r="BM515" i="3"/>
  <c r="BL515" i="3" s="1"/>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A520" i="3" s="1"/>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G537" i="3"/>
  <c r="AC537" i="3"/>
  <c r="BB537" i="3"/>
  <c r="BC537" i="3"/>
  <c r="BD537" i="3"/>
  <c r="BA537" i="3" s="1"/>
  <c r="BE537" i="3"/>
  <c r="BF537" i="3"/>
  <c r="BG537" i="3"/>
  <c r="BH537" i="3"/>
  <c r="BI537" i="3"/>
  <c r="BJ537" i="3"/>
  <c r="BK537" i="3"/>
  <c r="BM537" i="3"/>
  <c r="BN537" i="3"/>
  <c r="BO537" i="3"/>
  <c r="BP537" i="3"/>
  <c r="BR537" i="3"/>
  <c r="BS537" i="3"/>
  <c r="BT537" i="3"/>
  <c r="H538" i="3"/>
  <c r="G538" i="3" s="1"/>
  <c r="AC538" i="3"/>
  <c r="BB538" i="3"/>
  <c r="BC538" i="3"/>
  <c r="BD538" i="3"/>
  <c r="BA538" i="3" s="1"/>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A542" i="3" s="1"/>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A545" i="3" s="1"/>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L548" i="3" s="1"/>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L550" i="3"/>
  <c r="BT550" i="3"/>
  <c r="H551" i="3"/>
  <c r="AC551" i="3"/>
  <c r="G551" i="3"/>
  <c r="BB551" i="3"/>
  <c r="BC551" i="3"/>
  <c r="BD551" i="3"/>
  <c r="BE551" i="3"/>
  <c r="BF551" i="3"/>
  <c r="BG551" i="3"/>
  <c r="BH551" i="3"/>
  <c r="BA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S42" i="34"/>
  <c r="J38" i="34"/>
  <c r="W38" i="34" s="1"/>
  <c r="D114" i="34"/>
  <c r="F38" i="34"/>
  <c r="S38" i="34"/>
  <c r="D112" i="34"/>
  <c r="E112" i="34"/>
  <c r="F40" i="33"/>
  <c r="J41" i="33"/>
  <c r="D113" i="33"/>
  <c r="F37" i="33"/>
  <c r="D111" i="33"/>
  <c r="E111" i="33"/>
  <c r="F111" i="33" s="1"/>
  <c r="S515" i="31"/>
  <c r="S516" i="31"/>
  <c r="S517" i="31"/>
  <c r="S519" i="31"/>
  <c r="S520" i="31"/>
  <c r="S521" i="31"/>
  <c r="S523" i="31"/>
  <c r="S524" i="31"/>
  <c r="F41" i="21"/>
  <c r="J41" i="21"/>
  <c r="AC41" i="21" s="1"/>
  <c r="H41" i="21"/>
  <c r="U41" i="21"/>
  <c r="D80" i="39"/>
  <c r="E80" i="39" s="1"/>
  <c r="F80" i="39" s="1"/>
  <c r="G80" i="39" s="1"/>
  <c r="H80" i="39" s="1"/>
  <c r="I80" i="39" s="1"/>
  <c r="J80" i="39" s="1"/>
  <c r="K80" i="39" s="1"/>
  <c r="L80" i="39" s="1"/>
  <c r="M80" i="39" s="1"/>
  <c r="D76" i="40"/>
  <c r="E76" i="40"/>
  <c r="F76" i="40"/>
  <c r="G76" i="40" s="1"/>
  <c r="H76" i="40" s="1"/>
  <c r="I76" i="40" s="1"/>
  <c r="J76" i="40" s="1"/>
  <c r="K76" i="40" s="1"/>
  <c r="L76" i="40" s="1"/>
  <c r="M76" i="40" s="1"/>
  <c r="B120" i="40"/>
  <c r="F40" i="40" s="1"/>
  <c r="B118" i="40"/>
  <c r="J39" i="40" s="1"/>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H31" i="40"/>
  <c r="D100" i="40"/>
  <c r="E100" i="40" s="1"/>
  <c r="F100" i="40" s="1"/>
  <c r="G100" i="40" s="1"/>
  <c r="H100" i="40" s="1"/>
  <c r="I100" i="40" s="1"/>
  <c r="J100" i="40" s="1"/>
  <c r="K100" i="40" s="1"/>
  <c r="L100" i="40" s="1"/>
  <c r="M100" i="40" s="1"/>
  <c r="D98" i="40"/>
  <c r="J28" i="40"/>
  <c r="AC28" i="40"/>
  <c r="D96" i="40"/>
  <c r="E96" i="40" s="1"/>
  <c r="F96" i="40"/>
  <c r="G96" i="40" s="1"/>
  <c r="H96" i="40" s="1"/>
  <c r="I96" i="40" s="1"/>
  <c r="J96" i="40" s="1"/>
  <c r="K96" i="40" s="1"/>
  <c r="L96" i="40" s="1"/>
  <c r="M96" i="40" s="1"/>
  <c r="B95" i="40"/>
  <c r="D92" i="40"/>
  <c r="E92" i="40"/>
  <c r="F92" i="40" s="1"/>
  <c r="G92" i="40" s="1"/>
  <c r="D90" i="40"/>
  <c r="E90" i="40" s="1"/>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Q39" i="40"/>
  <c r="Z39" i="40"/>
  <c r="H39" i="40"/>
  <c r="U39" i="40" s="1"/>
  <c r="Q38" i="40"/>
  <c r="Z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H9" i="40"/>
  <c r="AB9" i="40" s="1"/>
  <c r="F9" i="40"/>
  <c r="S9" i="40" s="1"/>
  <c r="J8" i="40"/>
  <c r="H8" i="40"/>
  <c r="AB8" i="40"/>
  <c r="F8" i="40"/>
  <c r="AA8" i="40"/>
  <c r="J38" i="39"/>
  <c r="W38" i="39"/>
  <c r="H38" i="39"/>
  <c r="AB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c r="D108" i="39"/>
  <c r="E108" i="39" s="1"/>
  <c r="F34" i="39"/>
  <c r="AA34" i="39" s="1"/>
  <c r="D106" i="39"/>
  <c r="E106" i="39" s="1"/>
  <c r="D104" i="39"/>
  <c r="E104" i="39"/>
  <c r="F104" i="39" s="1"/>
  <c r="G104" i="39" s="1"/>
  <c r="H104" i="39" s="1"/>
  <c r="I104" i="39" s="1"/>
  <c r="J104" i="39" s="1"/>
  <c r="K104" i="39" s="1"/>
  <c r="L104" i="39" s="1"/>
  <c r="M104" i="39" s="1"/>
  <c r="D100" i="39"/>
  <c r="D98" i="39"/>
  <c r="E98" i="39"/>
  <c r="F98" i="39"/>
  <c r="G98" i="39" s="1"/>
  <c r="Q39" i="39"/>
  <c r="Z39" i="39"/>
  <c r="Q40" i="39"/>
  <c r="Z40" i="39" s="1"/>
  <c r="Q41" i="39"/>
  <c r="Z41" i="39"/>
  <c r="Q42" i="39"/>
  <c r="Z42" i="39" s="1"/>
  <c r="Q43" i="39"/>
  <c r="Z43" i="39"/>
  <c r="Q44" i="39"/>
  <c r="Z44" i="39" s="1"/>
  <c r="Q45" i="39"/>
  <c r="Z45" i="39"/>
  <c r="Q38" i="39"/>
  <c r="Z38" i="39" s="1"/>
  <c r="Q36" i="39"/>
  <c r="Z36" i="39"/>
  <c r="Q37" i="39"/>
  <c r="Z37" i="39" s="1"/>
  <c r="B130" i="39"/>
  <c r="H45" i="39"/>
  <c r="B128" i="39"/>
  <c r="H44" i="39" s="1"/>
  <c r="B126" i="39"/>
  <c r="D125" i="39"/>
  <c r="E125" i="39"/>
  <c r="F125" i="39" s="1"/>
  <c r="G125" i="39" s="1"/>
  <c r="H125" i="39" s="1"/>
  <c r="I125" i="39" s="1"/>
  <c r="J125" i="39" s="1"/>
  <c r="K125" i="39" s="1"/>
  <c r="L125" i="39" s="1"/>
  <c r="M125" i="39" s="1"/>
  <c r="D121" i="39"/>
  <c r="E121" i="39" s="1"/>
  <c r="F121" i="39"/>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c r="Q32" i="39"/>
  <c r="Z32" i="39" s="1"/>
  <c r="Q31" i="39"/>
  <c r="Z31" i="39" s="1"/>
  <c r="Q27" i="39"/>
  <c r="Z27" i="39" s="1"/>
  <c r="Q25" i="39"/>
  <c r="Z25" i="39"/>
  <c r="Q23" i="39"/>
  <c r="Z23" i="39" s="1"/>
  <c r="Q21" i="39"/>
  <c r="Z21" i="39" s="1"/>
  <c r="Q19" i="39"/>
  <c r="Z19" i="39" s="1"/>
  <c r="Q17" i="39"/>
  <c r="Z17" i="39"/>
  <c r="Q15" i="39"/>
  <c r="Z15" i="39" s="1"/>
  <c r="Q14" i="39"/>
  <c r="Z14" i="39" s="1"/>
  <c r="Q13" i="39"/>
  <c r="Z13" i="39" s="1"/>
  <c r="Q12" i="39"/>
  <c r="Z12" i="39"/>
  <c r="Q11" i="39"/>
  <c r="Z11" i="39" s="1"/>
  <c r="Q10" i="39"/>
  <c r="Z10" i="39" s="1"/>
  <c r="Q9" i="39"/>
  <c r="Z9" i="39" s="1"/>
  <c r="J9" i="39"/>
  <c r="AC9" i="39"/>
  <c r="H9" i="39"/>
  <c r="F9" i="39"/>
  <c r="AA9" i="39"/>
  <c r="J8" i="39"/>
  <c r="AC8" i="39" s="1"/>
  <c r="H8" i="39"/>
  <c r="U8" i="39"/>
  <c r="F8" i="39"/>
  <c r="AA8" i="39" s="1"/>
  <c r="C20" i="36"/>
  <c r="C20" i="35"/>
  <c r="C16" i="36"/>
  <c r="C16" i="35"/>
  <c r="C14" i="36"/>
  <c r="C14" i="35"/>
  <c r="B80" i="37"/>
  <c r="J25" i="37" s="1"/>
  <c r="B110" i="37"/>
  <c r="J39" i="37" s="1"/>
  <c r="AC39" i="37" s="1"/>
  <c r="B108" i="37"/>
  <c r="J38" i="37" s="1"/>
  <c r="AC38" i="37" s="1"/>
  <c r="C23" i="37"/>
  <c r="C19" i="37"/>
  <c r="C17" i="37"/>
  <c r="C15" i="37"/>
  <c r="B112" i="37"/>
  <c r="D107" i="37"/>
  <c r="E107" i="37"/>
  <c r="D105" i="37"/>
  <c r="E105" i="37" s="1"/>
  <c r="F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s="1"/>
  <c r="D73" i="37"/>
  <c r="E73" i="37" s="1"/>
  <c r="F73" i="37" s="1"/>
  <c r="D71" i="37"/>
  <c r="H15" i="37"/>
  <c r="AB15" i="37" s="1"/>
  <c r="B68" i="37"/>
  <c r="J14" i="37" s="1"/>
  <c r="B66" i="37"/>
  <c r="B64" i="37"/>
  <c r="F12" i="37" s="1"/>
  <c r="S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AC30" i="37"/>
  <c r="H30" i="37"/>
  <c r="AB30" i="37" s="1"/>
  <c r="F30" i="37"/>
  <c r="AA30" i="37" s="1"/>
  <c r="Q29" i="37"/>
  <c r="Z29" i="37" s="1"/>
  <c r="H29" i="37"/>
  <c r="AB29" i="37"/>
  <c r="Q28" i="37"/>
  <c r="Z28" i="37" s="1"/>
  <c r="Q27" i="37"/>
  <c r="Z27" i="37" s="1"/>
  <c r="Q26" i="37"/>
  <c r="Z26" i="37" s="1"/>
  <c r="H26" i="37"/>
  <c r="AB26" i="37"/>
  <c r="Q25" i="37"/>
  <c r="Z25" i="37" s="1"/>
  <c r="Q23" i="37"/>
  <c r="Z23" i="37" s="1"/>
  <c r="Q19" i="37"/>
  <c r="Z19" i="37"/>
  <c r="Q17" i="37"/>
  <c r="Z17" i="37" s="1"/>
  <c r="Q15" i="37"/>
  <c r="Z15" i="37" s="1"/>
  <c r="Q14" i="37"/>
  <c r="Z14" i="37" s="1"/>
  <c r="Q13" i="37"/>
  <c r="Z13" i="37"/>
  <c r="Q12" i="37"/>
  <c r="Z12" i="37" s="1"/>
  <c r="Q11" i="37"/>
  <c r="Z11" i="37" s="1"/>
  <c r="Q10" i="37"/>
  <c r="Z10" i="37" s="1"/>
  <c r="F10" i="37"/>
  <c r="AA10" i="37"/>
  <c r="Q9" i="37"/>
  <c r="Z9" i="37" s="1"/>
  <c r="J8" i="37"/>
  <c r="W8" i="37" s="1"/>
  <c r="H8" i="37"/>
  <c r="AB8" i="37" s="1"/>
  <c r="F8" i="37"/>
  <c r="S8" i="37"/>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J34" i="36"/>
  <c r="W34" i="36"/>
  <c r="H34" i="36"/>
  <c r="D83" i="36"/>
  <c r="E83" i="36"/>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c r="F68" i="36"/>
  <c r="G68" i="36" s="1"/>
  <c r="D64" i="36"/>
  <c r="E64" i="36"/>
  <c r="F64" i="36"/>
  <c r="G64" i="36" s="1"/>
  <c r="J16" i="36"/>
  <c r="W16" i="36"/>
  <c r="D62" i="36"/>
  <c r="E62" i="36" s="1"/>
  <c r="F62" i="36" s="1"/>
  <c r="G62" i="36" s="1"/>
  <c r="B59" i="36"/>
  <c r="B57" i="36"/>
  <c r="H12" i="36" s="1"/>
  <c r="B55" i="36"/>
  <c r="C51" i="36"/>
  <c r="F9" i="36" s="1"/>
  <c r="AA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Q23" i="36"/>
  <c r="Z23" i="36"/>
  <c r="J23" i="36"/>
  <c r="AC23" i="36"/>
  <c r="H23" i="36"/>
  <c r="AB23" i="36"/>
  <c r="F23" i="36"/>
  <c r="AA23" i="36"/>
  <c r="Q22" i="36"/>
  <c r="Z22" i="36"/>
  <c r="J22" i="36"/>
  <c r="AC22" i="36"/>
  <c r="Q20" i="36"/>
  <c r="Z20" i="36"/>
  <c r="Q16" i="36"/>
  <c r="Z16" i="36"/>
  <c r="Q14" i="36"/>
  <c r="Z14" i="36"/>
  <c r="Q13" i="36"/>
  <c r="Z13" i="36"/>
  <c r="Q12" i="36"/>
  <c r="Z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F25" i="35"/>
  <c r="B75" i="35"/>
  <c r="J24" i="35"/>
  <c r="AC24" i="35" s="1"/>
  <c r="B73" i="35"/>
  <c r="B57" i="35"/>
  <c r="B61" i="35"/>
  <c r="B59" i="35"/>
  <c r="B131" i="34"/>
  <c r="B129" i="34"/>
  <c r="F46" i="34" s="1"/>
  <c r="B127" i="34"/>
  <c r="B99" i="34"/>
  <c r="B97" i="34"/>
  <c r="B95" i="34"/>
  <c r="J30" i="34"/>
  <c r="B93" i="34"/>
  <c r="H29" i="34"/>
  <c r="B75" i="34"/>
  <c r="B73" i="34"/>
  <c r="B71" i="34"/>
  <c r="B130" i="33"/>
  <c r="F46" i="33" s="1"/>
  <c r="AA46" i="33" s="1"/>
  <c r="B128" i="33"/>
  <c r="B126" i="33"/>
  <c r="B98" i="33"/>
  <c r="H31" i="33" s="1"/>
  <c r="AB31" i="33" s="1"/>
  <c r="B96" i="33"/>
  <c r="J30" i="33" s="1"/>
  <c r="B94" i="33"/>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c r="Q33" i="35"/>
  <c r="Z33" i="35"/>
  <c r="Q32" i="35"/>
  <c r="Z32" i="35"/>
  <c r="H32" i="35"/>
  <c r="AB32" i="35"/>
  <c r="F32" i="35"/>
  <c r="AA32" i="35"/>
  <c r="Q31" i="35"/>
  <c r="Z31" i="35"/>
  <c r="AC31" i="35"/>
  <c r="AB31" i="35"/>
  <c r="Q30" i="35"/>
  <c r="Z30" i="35" s="1"/>
  <c r="Q29" i="35"/>
  <c r="Z29" i="35" s="1"/>
  <c r="Q28" i="35"/>
  <c r="Z28" i="35" s="1"/>
  <c r="J28" i="35"/>
  <c r="W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D82" i="34"/>
  <c r="D80" i="34"/>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S12" i="34"/>
  <c r="Q11" i="34"/>
  <c r="Z11" i="34"/>
  <c r="Q10" i="34"/>
  <c r="Z10" i="34"/>
  <c r="F10" i="34"/>
  <c r="AA10" i="34"/>
  <c r="Q9" i="34"/>
  <c r="Z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H40" i="33"/>
  <c r="AB40" i="33" s="1"/>
  <c r="AA40" i="33"/>
  <c r="Q39" i="33"/>
  <c r="Z39" i="33"/>
  <c r="J39" i="33"/>
  <c r="W39" i="33"/>
  <c r="AC39" i="33"/>
  <c r="Q38" i="33"/>
  <c r="Z38" i="33" s="1"/>
  <c r="J38" i="33"/>
  <c r="AC38" i="33" s="1"/>
  <c r="H38" i="33"/>
  <c r="AB38" i="33" s="1"/>
  <c r="F38" i="33"/>
  <c r="AA38" i="33" s="1"/>
  <c r="Q37" i="33"/>
  <c r="Z37" i="33" s="1"/>
  <c r="Q36" i="33"/>
  <c r="Z36" i="33" s="1"/>
  <c r="Q35" i="33"/>
  <c r="Z35" i="33" s="1"/>
  <c r="H35" i="33"/>
  <c r="U35" i="33" s="1"/>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s="1"/>
  <c r="B97" i="43"/>
  <c r="C21" i="20"/>
  <c r="C20" i="20"/>
  <c r="B79" i="43" s="1"/>
  <c r="B101" i="43"/>
  <c r="C18" i="20"/>
  <c r="C17" i="20"/>
  <c r="B61" i="43"/>
  <c r="C16" i="20"/>
  <c r="C17" i="39"/>
  <c r="C15" i="20"/>
  <c r="B72"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B126" i="21"/>
  <c r="B98" i="21"/>
  <c r="J31" i="21" s="1"/>
  <c r="AC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26" i="21"/>
  <c r="W26" i="21" s="1"/>
  <c r="F26" i="21"/>
  <c r="S26" i="21" s="1"/>
  <c r="AB41" i="21"/>
  <c r="S41" i="21"/>
  <c r="AA41" i="21"/>
  <c r="F45" i="39"/>
  <c r="S45" i="39"/>
  <c r="J45" i="39"/>
  <c r="J44" i="39"/>
  <c r="AC44" i="39" s="1"/>
  <c r="F36" i="39"/>
  <c r="S36" i="39" s="1"/>
  <c r="H36" i="39"/>
  <c r="AB36" i="39" s="1"/>
  <c r="J35" i="39"/>
  <c r="AC35" i="39" s="1"/>
  <c r="F35" i="39"/>
  <c r="AA35" i="39" s="1"/>
  <c r="J36" i="39"/>
  <c r="W40" i="39"/>
  <c r="U30" i="37"/>
  <c r="E103" i="37"/>
  <c r="F103" i="37" s="1"/>
  <c r="G103" i="37" s="1"/>
  <c r="H103" i="37" s="1"/>
  <c r="I103" i="37" s="1"/>
  <c r="J103" i="37" s="1"/>
  <c r="K103" i="37" s="1"/>
  <c r="L103" i="37" s="1"/>
  <c r="M103" i="37" s="1"/>
  <c r="F29" i="36"/>
  <c r="AA29" i="36" s="1"/>
  <c r="F16" i="36"/>
  <c r="AA16" i="36" s="1"/>
  <c r="W28" i="36"/>
  <c r="U31" i="36"/>
  <c r="H22" i="35"/>
  <c r="AB22" i="35" s="1"/>
  <c r="AC27" i="35"/>
  <c r="U31" i="35"/>
  <c r="W22" i="35"/>
  <c r="S31" i="35"/>
  <c r="F36" i="34"/>
  <c r="S36" i="34"/>
  <c r="J35" i="34"/>
  <c r="AC35" i="34"/>
  <c r="H39" i="33"/>
  <c r="AB39" i="33" s="1"/>
  <c r="F26" i="33"/>
  <c r="AA26" i="33" s="1"/>
  <c r="U33" i="33"/>
  <c r="S40" i="33"/>
  <c r="W33" i="33"/>
  <c r="H39" i="37"/>
  <c r="AB39" i="37"/>
  <c r="F11" i="40"/>
  <c r="AA11" i="40" s="1"/>
  <c r="H11" i="40"/>
  <c r="AB11" i="40" s="1"/>
  <c r="AB39" i="40"/>
  <c r="AC40" i="40"/>
  <c r="AA9" i="40"/>
  <c r="U9" i="40"/>
  <c r="S34" i="40"/>
  <c r="U34" i="40"/>
  <c r="F42" i="39"/>
  <c r="AA42" i="39"/>
  <c r="F41" i="39"/>
  <c r="S41" i="39"/>
  <c r="H40" i="39"/>
  <c r="AB40" i="39"/>
  <c r="H39" i="39"/>
  <c r="U39" i="39"/>
  <c r="S34" i="39"/>
  <c r="H34" i="39"/>
  <c r="U34" i="39" s="1"/>
  <c r="H31" i="39"/>
  <c r="AB31" i="39" s="1"/>
  <c r="F31" i="39"/>
  <c r="AA31" i="39" s="1"/>
  <c r="E100" i="39"/>
  <c r="F100" i="39" s="1"/>
  <c r="H19" i="39"/>
  <c r="AB19" i="39"/>
  <c r="F19" i="39"/>
  <c r="AA19" i="39"/>
  <c r="H17" i="39"/>
  <c r="AB17" i="39"/>
  <c r="F17" i="39"/>
  <c r="AA17" i="39"/>
  <c r="J23" i="40"/>
  <c r="AC23" i="40"/>
  <c r="F21" i="40"/>
  <c r="AA21" i="40"/>
  <c r="J21" i="40"/>
  <c r="W21" i="40"/>
  <c r="H42" i="39"/>
  <c r="AB42" i="39"/>
  <c r="J34" i="39"/>
  <c r="AC34" i="39"/>
  <c r="F108" i="39"/>
  <c r="G108" i="39"/>
  <c r="H108" i="39" s="1"/>
  <c r="I108" i="39" s="1"/>
  <c r="J108" i="39" s="1"/>
  <c r="K108" i="39" s="1"/>
  <c r="L108" i="39" s="1"/>
  <c r="M108" i="39" s="1"/>
  <c r="J31" i="39"/>
  <c r="AC31" i="39"/>
  <c r="H27" i="39"/>
  <c r="U27" i="39" s="1"/>
  <c r="J19" i="39"/>
  <c r="AC19" i="39" s="1"/>
  <c r="J17" i="39"/>
  <c r="W17" i="39" s="1"/>
  <c r="J27" i="39"/>
  <c r="AC27" i="39" s="1"/>
  <c r="F27" i="39"/>
  <c r="F11" i="21"/>
  <c r="S11" i="21"/>
  <c r="U34" i="21"/>
  <c r="C25" i="39"/>
  <c r="H11" i="39"/>
  <c r="S40" i="39"/>
  <c r="C15" i="39"/>
  <c r="H32" i="33"/>
  <c r="AB32" i="33"/>
  <c r="H11" i="21"/>
  <c r="U11" i="21"/>
  <c r="J11" i="21"/>
  <c r="W11" i="21"/>
  <c r="H37" i="40"/>
  <c r="U37" i="40"/>
  <c r="H36" i="40"/>
  <c r="AB36" i="40"/>
  <c r="F35" i="40"/>
  <c r="AA35" i="40"/>
  <c r="H23" i="40"/>
  <c r="H17" i="40"/>
  <c r="U17" i="40" s="1"/>
  <c r="J15" i="40"/>
  <c r="J11" i="40"/>
  <c r="W11" i="40"/>
  <c r="AB8" i="39"/>
  <c r="AA12" i="34"/>
  <c r="AB12" i="35"/>
  <c r="W32" i="40"/>
  <c r="F37" i="39"/>
  <c r="AA37" i="39" s="1"/>
  <c r="U30" i="36"/>
  <c r="J30" i="35"/>
  <c r="W30" i="35"/>
  <c r="H30" i="35"/>
  <c r="AB30" i="35"/>
  <c r="F22" i="35"/>
  <c r="AA22" i="35"/>
  <c r="H10" i="35"/>
  <c r="U10" i="35"/>
  <c r="AC16" i="36"/>
  <c r="W30" i="36"/>
  <c r="H16" i="36"/>
  <c r="AB16" i="36"/>
  <c r="E85" i="36"/>
  <c r="F85" i="36"/>
  <c r="G85" i="36" s="1"/>
  <c r="H85" i="36" s="1"/>
  <c r="I85" i="36" s="1"/>
  <c r="J85" i="36" s="1"/>
  <c r="K85" i="36" s="1"/>
  <c r="L85" i="36" s="1"/>
  <c r="M85" i="36" s="1"/>
  <c r="J29" i="36"/>
  <c r="AC29" i="36" s="1"/>
  <c r="F24" i="36"/>
  <c r="AA24" i="36" s="1"/>
  <c r="F34" i="36"/>
  <c r="S34" i="36" s="1"/>
  <c r="F14" i="35"/>
  <c r="AA14" i="35" s="1"/>
  <c r="F23" i="35"/>
  <c r="AA23" i="35" s="1"/>
  <c r="J32" i="35"/>
  <c r="AC32" i="35" s="1"/>
  <c r="J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28" i="34"/>
  <c r="AA28" i="34" s="1"/>
  <c r="F25" i="34"/>
  <c r="S25" i="34" s="1"/>
  <c r="H17" i="34"/>
  <c r="U17" i="34" s="1"/>
  <c r="F15" i="34"/>
  <c r="J15" i="34"/>
  <c r="H15" i="34"/>
  <c r="AB15" i="34" s="1"/>
  <c r="J28" i="34"/>
  <c r="F41" i="33"/>
  <c r="AA41" i="33"/>
  <c r="S38" i="33"/>
  <c r="E113" i="33"/>
  <c r="F113" i="33" s="1"/>
  <c r="G113" i="33" s="1"/>
  <c r="H113" i="33" s="1"/>
  <c r="I113" i="33" s="1"/>
  <c r="J113" i="33" s="1"/>
  <c r="K113" i="33" s="1"/>
  <c r="L113" i="33" s="1"/>
  <c r="M113" i="33" s="1"/>
  <c r="F32" i="33"/>
  <c r="AA32" i="33"/>
  <c r="J19" i="33"/>
  <c r="AC19" i="33"/>
  <c r="J15" i="33"/>
  <c r="AC15" i="33"/>
  <c r="F11" i="33"/>
  <c r="AA11" i="33"/>
  <c r="U40" i="33"/>
  <c r="F37" i="40"/>
  <c r="AA37" i="40"/>
  <c r="F36" i="40"/>
  <c r="AA36" i="40"/>
  <c r="H28" i="40"/>
  <c r="U28" i="40"/>
  <c r="F23" i="40"/>
  <c r="AA23" i="40"/>
  <c r="F17" i="40"/>
  <c r="AA17" i="40"/>
  <c r="J17" i="40"/>
  <c r="W17" i="40"/>
  <c r="F15" i="40"/>
  <c r="S15" i="40"/>
  <c r="H15" i="40"/>
  <c r="AB15" i="40"/>
  <c r="AC11" i="40"/>
  <c r="AB30" i="36"/>
  <c r="F29" i="35"/>
  <c r="H29" i="35"/>
  <c r="AB29" i="35"/>
  <c r="H33" i="37"/>
  <c r="AB33" i="37"/>
  <c r="F33" i="37"/>
  <c r="AA33" i="37"/>
  <c r="U34" i="37"/>
  <c r="S34" i="37"/>
  <c r="AA34" i="37"/>
  <c r="J43" i="34"/>
  <c r="AC43" i="34" s="1"/>
  <c r="AB42" i="34"/>
  <c r="J40" i="34"/>
  <c r="W40" i="34"/>
  <c r="F114" i="34"/>
  <c r="G114" i="34"/>
  <c r="H114" i="34" s="1"/>
  <c r="I114" i="34" s="1"/>
  <c r="J114" i="34" s="1"/>
  <c r="K114" i="34" s="1"/>
  <c r="L114" i="34" s="1"/>
  <c r="M114" i="34" s="1"/>
  <c r="H38" i="34"/>
  <c r="AB38" i="34"/>
  <c r="J36" i="34"/>
  <c r="W36" i="34"/>
  <c r="H25" i="34"/>
  <c r="AB25" i="34"/>
  <c r="J25" i="34"/>
  <c r="F17" i="34"/>
  <c r="AA17" i="34"/>
  <c r="S41" i="33"/>
  <c r="H37" i="33"/>
  <c r="AB37" i="33"/>
  <c r="H15" i="33"/>
  <c r="AB15" i="33"/>
  <c r="H11" i="33"/>
  <c r="AB11" i="33"/>
  <c r="F28" i="40"/>
  <c r="AA28" i="40"/>
  <c r="AC38" i="34"/>
  <c r="J11" i="33"/>
  <c r="W11" i="33" s="1"/>
  <c r="J42" i="21"/>
  <c r="AC42" i="21" s="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J46" i="21"/>
  <c r="W46" i="21" s="1"/>
  <c r="F46" i="21"/>
  <c r="AA46" i="21" s="1"/>
  <c r="H26" i="33"/>
  <c r="AB26" i="33" s="1"/>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F31" i="21"/>
  <c r="S31" i="21" s="1"/>
  <c r="F27" i="33"/>
  <c r="AA27" i="33" s="1"/>
  <c r="H13" i="33"/>
  <c r="U13" i="33" s="1"/>
  <c r="F13" i="33"/>
  <c r="S13" i="33" s="1"/>
  <c r="J29" i="33"/>
  <c r="AC29" i="33" s="1"/>
  <c r="H29" i="33"/>
  <c r="F29" i="33"/>
  <c r="S29" i="33"/>
  <c r="J31" i="33"/>
  <c r="F31" i="33"/>
  <c r="H45" i="33"/>
  <c r="U45" i="33" s="1"/>
  <c r="AB45" i="33"/>
  <c r="J45" i="33"/>
  <c r="W45" i="33" s="1"/>
  <c r="F45" i="33"/>
  <c r="S45" i="33" s="1"/>
  <c r="J14" i="34"/>
  <c r="W14" i="34"/>
  <c r="F14" i="34"/>
  <c r="S14" i="34"/>
  <c r="H14" i="34"/>
  <c r="H30" i="34"/>
  <c r="F30" i="34"/>
  <c r="S30" i="34"/>
  <c r="W30" i="34"/>
  <c r="H32" i="34"/>
  <c r="F32" i="34"/>
  <c r="J32" i="34"/>
  <c r="W32" i="34" s="1"/>
  <c r="H46" i="34"/>
  <c r="AB46" i="34" s="1"/>
  <c r="J46" i="34"/>
  <c r="W46" i="34" s="1"/>
  <c r="H11" i="35"/>
  <c r="AB11" i="35" s="1"/>
  <c r="J11" i="35"/>
  <c r="F11" i="35"/>
  <c r="S11" i="35"/>
  <c r="J26" i="36"/>
  <c r="H28" i="36"/>
  <c r="U28" i="36" s="1"/>
  <c r="H32" i="36"/>
  <c r="AB32" i="36" s="1"/>
  <c r="J32" i="36"/>
  <c r="W32" i="36" s="1"/>
  <c r="J11" i="36"/>
  <c r="AC11" i="36" s="1"/>
  <c r="H11" i="36"/>
  <c r="U11" i="36" s="1"/>
  <c r="F11" i="36"/>
  <c r="AA11" i="36" s="1"/>
  <c r="E89" i="37"/>
  <c r="F89" i="37" s="1"/>
  <c r="G89" i="37" s="1"/>
  <c r="H89" i="37" s="1"/>
  <c r="I89" i="37" s="1"/>
  <c r="J89" i="37" s="1"/>
  <c r="K89" i="37" s="1"/>
  <c r="L89" i="37" s="1"/>
  <c r="M89" i="37" s="1"/>
  <c r="J29" i="37"/>
  <c r="W29" i="37"/>
  <c r="F29" i="37"/>
  <c r="S29" i="37"/>
  <c r="H36" i="37"/>
  <c r="AB36" i="37"/>
  <c r="F107" i="37"/>
  <c r="J37" i="37"/>
  <c r="AC37" i="37" s="1"/>
  <c r="H37" i="37"/>
  <c r="U37" i="37" s="1"/>
  <c r="H40" i="37"/>
  <c r="U40" i="37" s="1"/>
  <c r="J40" i="37"/>
  <c r="AC40" i="37" s="1"/>
  <c r="F40" i="37"/>
  <c r="AA40" i="37" s="1"/>
  <c r="AC12" i="40"/>
  <c r="W12" i="40"/>
  <c r="H14" i="33"/>
  <c r="U14" i="33" s="1"/>
  <c r="F14" i="33"/>
  <c r="J14" i="33"/>
  <c r="H30" i="33"/>
  <c r="AB30" i="33" s="1"/>
  <c r="F30" i="33"/>
  <c r="H44" i="33"/>
  <c r="J44" i="33"/>
  <c r="AC44" i="33" s="1"/>
  <c r="F44" i="33"/>
  <c r="S44" i="33" s="1"/>
  <c r="J46" i="33"/>
  <c r="AC46" i="33" s="1"/>
  <c r="H46" i="33"/>
  <c r="AB46" i="33"/>
  <c r="H13" i="34"/>
  <c r="U13" i="34"/>
  <c r="J13" i="34"/>
  <c r="W13" i="34"/>
  <c r="F13" i="34"/>
  <c r="AA13" i="34"/>
  <c r="J29" i="34"/>
  <c r="F29" i="34"/>
  <c r="S29" i="34" s="1"/>
  <c r="AB29" i="34"/>
  <c r="J31" i="34"/>
  <c r="H31" i="34"/>
  <c r="F31" i="34"/>
  <c r="J45" i="34"/>
  <c r="W45" i="34"/>
  <c r="H47" i="34"/>
  <c r="U47" i="34"/>
  <c r="F47" i="34"/>
  <c r="S47" i="34"/>
  <c r="J47" i="34"/>
  <c r="J13" i="35"/>
  <c r="AC13" i="35" s="1"/>
  <c r="J25" i="35"/>
  <c r="W25" i="35" s="1"/>
  <c r="S25" i="35"/>
  <c r="H25" i="35"/>
  <c r="J35" i="35"/>
  <c r="AC35" i="35" s="1"/>
  <c r="F35" i="35"/>
  <c r="H35" i="35"/>
  <c r="AB35" i="35"/>
  <c r="J25" i="36"/>
  <c r="F25" i="36"/>
  <c r="S25" i="36" s="1"/>
  <c r="H25" i="36"/>
  <c r="H13" i="37"/>
  <c r="AB13" i="37"/>
  <c r="F13" i="37"/>
  <c r="S13" i="37"/>
  <c r="J13" i="37"/>
  <c r="W13" i="37"/>
  <c r="J28" i="37"/>
  <c r="AC28" i="37"/>
  <c r="H38" i="37"/>
  <c r="AB38" i="37"/>
  <c r="F38" i="37"/>
  <c r="S38" i="37" s="1"/>
  <c r="H43" i="39"/>
  <c r="J14" i="39"/>
  <c r="AC14" i="39"/>
  <c r="F14" i="39"/>
  <c r="H14" i="39"/>
  <c r="AB14" i="39" s="1"/>
  <c r="F12" i="40"/>
  <c r="S12" i="40" s="1"/>
  <c r="H12" i="40"/>
  <c r="AB12" i="40" s="1"/>
  <c r="H30" i="40"/>
  <c r="AB30" i="40" s="1"/>
  <c r="F33" i="40"/>
  <c r="AA33" i="40" s="1"/>
  <c r="H33" i="40"/>
  <c r="J35" i="40"/>
  <c r="AC35" i="40"/>
  <c r="J37" i="40"/>
  <c r="AC37" i="40"/>
  <c r="H13" i="40"/>
  <c r="U13" i="40"/>
  <c r="J13" i="40"/>
  <c r="W13" i="40"/>
  <c r="F13" i="40"/>
  <c r="AA13" i="40"/>
  <c r="F14" i="37"/>
  <c r="S14" i="37"/>
  <c r="F27" i="37"/>
  <c r="AA27" i="37"/>
  <c r="F13" i="39"/>
  <c r="H13" i="39"/>
  <c r="U13" i="39" s="1"/>
  <c r="H14" i="40"/>
  <c r="AB14" i="40" s="1"/>
  <c r="J14" i="40"/>
  <c r="W14" i="40" s="1"/>
  <c r="F14" i="40"/>
  <c r="AC14" i="37"/>
  <c r="J27" i="37"/>
  <c r="AC27" i="37" s="1"/>
  <c r="AA44" i="33"/>
  <c r="U46" i="33"/>
  <c r="J36" i="37"/>
  <c r="AC36" i="37"/>
  <c r="G105" i="37"/>
  <c r="J10" i="36"/>
  <c r="AC10" i="36" s="1"/>
  <c r="AB30" i="21"/>
  <c r="AA14" i="37"/>
  <c r="S11" i="36"/>
  <c r="AC30" i="34"/>
  <c r="AA14" i="34"/>
  <c r="U31" i="33"/>
  <c r="AC28" i="21"/>
  <c r="BA586" i="3"/>
  <c r="BA585" i="3"/>
  <c r="F17" i="21"/>
  <c r="H17" i="21"/>
  <c r="AB17" i="21" s="1"/>
  <c r="F15" i="21"/>
  <c r="S15" i="21" s="1"/>
  <c r="J41" i="39"/>
  <c r="W44" i="39"/>
  <c r="W35" i="39"/>
  <c r="U36" i="39"/>
  <c r="S35" i="39"/>
  <c r="G544" i="3"/>
  <c r="G540" i="3"/>
  <c r="G535" i="3"/>
  <c r="G532" i="3"/>
  <c r="G527" i="3"/>
  <c r="G518" i="3"/>
  <c r="G510" i="3"/>
  <c r="G504" i="3"/>
  <c r="G496" i="3"/>
  <c r="G584" i="3"/>
  <c r="G580" i="3"/>
  <c r="G576" i="3"/>
  <c r="G572" i="3"/>
  <c r="G564" i="3"/>
  <c r="G560" i="3"/>
  <c r="G554" i="3"/>
  <c r="BL584" i="3"/>
  <c r="BL580" i="3"/>
  <c r="BL576" i="3"/>
  <c r="BL568" i="3"/>
  <c r="BL564" i="3"/>
  <c r="BL560" i="3"/>
  <c r="BL554" i="3"/>
  <c r="BL526" i="3"/>
  <c r="BL582" i="3"/>
  <c r="BL578" i="3"/>
  <c r="AZ578" i="3" s="1"/>
  <c r="BL570" i="3"/>
  <c r="BL566" i="3"/>
  <c r="BL562" i="3"/>
  <c r="BL556" i="3"/>
  <c r="BL552" i="3"/>
  <c r="G533" i="3"/>
  <c r="G525" i="3"/>
  <c r="BA584" i="3"/>
  <c r="AZ584" i="3" s="1"/>
  <c r="BA582" i="3"/>
  <c r="AZ582" i="3"/>
  <c r="BA580" i="3"/>
  <c r="AZ580" i="3"/>
  <c r="BA578" i="3"/>
  <c r="BA576" i="3"/>
  <c r="AZ576" i="3"/>
  <c r="BA574" i="3"/>
  <c r="BA572" i="3"/>
  <c r="BA570" i="3"/>
  <c r="AZ570" i="3"/>
  <c r="BA568" i="3"/>
  <c r="AZ568" i="3"/>
  <c r="BA566" i="3"/>
  <c r="AZ566" i="3"/>
  <c r="BA564" i="3"/>
  <c r="AZ564" i="3"/>
  <c r="BA562" i="3"/>
  <c r="AZ562" i="3"/>
  <c r="BA560" i="3"/>
  <c r="BA558" i="3"/>
  <c r="AZ558" i="3" s="1"/>
  <c r="BA556" i="3"/>
  <c r="BA554" i="3"/>
  <c r="AZ554" i="3" s="1"/>
  <c r="BA552" i="3"/>
  <c r="AZ552" i="3" s="1"/>
  <c r="BA548" i="3"/>
  <c r="AZ548" i="3" s="1"/>
  <c r="BA530" i="3"/>
  <c r="BA510" i="3"/>
  <c r="BA587" i="3"/>
  <c r="AZ587" i="3" s="1"/>
  <c r="BA583" i="3"/>
  <c r="AZ583" i="3" s="1"/>
  <c r="BA581" i="3"/>
  <c r="BA579" i="3"/>
  <c r="BA577" i="3"/>
  <c r="BA575" i="3"/>
  <c r="BA573" i="3"/>
  <c r="BA571" i="3"/>
  <c r="BA569" i="3"/>
  <c r="AZ569" i="3" s="1"/>
  <c r="BA567" i="3"/>
  <c r="BA565" i="3"/>
  <c r="BA563" i="3"/>
  <c r="BA561" i="3"/>
  <c r="BA559" i="3"/>
  <c r="BA555" i="3"/>
  <c r="AZ555" i="3"/>
  <c r="BA553" i="3"/>
  <c r="BA549" i="3"/>
  <c r="BA519" i="3"/>
  <c r="AZ560" i="3"/>
  <c r="G583" i="3"/>
  <c r="G581" i="3"/>
  <c r="G579" i="3"/>
  <c r="G577" i="3"/>
  <c r="G575" i="3"/>
  <c r="G573" i="3"/>
  <c r="G571" i="3"/>
  <c r="G569" i="3"/>
  <c r="G567" i="3"/>
  <c r="G565" i="3"/>
  <c r="G563" i="3"/>
  <c r="G561" i="3"/>
  <c r="BL558" i="3"/>
  <c r="BA557" i="3"/>
  <c r="AZ557" i="3" s="1"/>
  <c r="AC557" i="3"/>
  <c r="G557" i="3"/>
  <c r="BQ557" i="3"/>
  <c r="BL557" i="3"/>
  <c r="BQ583" i="3"/>
  <c r="BL583" i="3" s="1"/>
  <c r="BQ581" i="3"/>
  <c r="BL581" i="3"/>
  <c r="AZ581" i="3" s="1"/>
  <c r="BQ579" i="3"/>
  <c r="BL579" i="3" s="1"/>
  <c r="AZ579" i="3"/>
  <c r="BQ577" i="3"/>
  <c r="BL577" i="3"/>
  <c r="AZ577" i="3" s="1"/>
  <c r="BQ575" i="3"/>
  <c r="BL575" i="3" s="1"/>
  <c r="BQ573" i="3"/>
  <c r="BL573" i="3" s="1"/>
  <c r="AZ573" i="3" s="1"/>
  <c r="BQ571" i="3"/>
  <c r="BL571" i="3" s="1"/>
  <c r="AZ571" i="3" s="1"/>
  <c r="BQ569" i="3"/>
  <c r="BL569" i="3"/>
  <c r="BQ567" i="3"/>
  <c r="BL567" i="3" s="1"/>
  <c r="BQ565" i="3"/>
  <c r="BL565" i="3" s="1"/>
  <c r="BQ563" i="3"/>
  <c r="BL563" i="3" s="1"/>
  <c r="AZ563" i="3" s="1"/>
  <c r="BQ561" i="3"/>
  <c r="BL561" i="3" s="1"/>
  <c r="AZ561" i="3" s="1"/>
  <c r="BQ559" i="3"/>
  <c r="BL559" i="3"/>
  <c r="G559" i="3"/>
  <c r="G555" i="3"/>
  <c r="G553" i="3"/>
  <c r="G549" i="3"/>
  <c r="G545" i="3"/>
  <c r="G543" i="3"/>
  <c r="G541" i="3"/>
  <c r="BQ555" i="3"/>
  <c r="BL555" i="3"/>
  <c r="BQ553" i="3"/>
  <c r="BL553" i="3"/>
  <c r="AZ553" i="3" s="1"/>
  <c r="BQ551" i="3"/>
  <c r="BL551" i="3" s="1"/>
  <c r="BQ549" i="3"/>
  <c r="BL549" i="3" s="1"/>
  <c r="AZ549" i="3" s="1"/>
  <c r="BQ547" i="3"/>
  <c r="BQ545" i="3"/>
  <c r="BQ543" i="3"/>
  <c r="BL543" i="3"/>
  <c r="BQ541" i="3"/>
  <c r="BQ539" i="3"/>
  <c r="BQ537" i="3"/>
  <c r="BQ535" i="3"/>
  <c r="BQ533" i="3"/>
  <c r="BQ531" i="3"/>
  <c r="BQ529" i="3"/>
  <c r="BQ527" i="3"/>
  <c r="BL527" i="3" s="1"/>
  <c r="BQ525" i="3"/>
  <c r="BQ523" i="3"/>
  <c r="BA521" i="3"/>
  <c r="AC521" i="3"/>
  <c r="G521" i="3"/>
  <c r="BQ521" i="3"/>
  <c r="G519" i="3"/>
  <c r="G513" i="3"/>
  <c r="G511" i="3"/>
  <c r="BQ519" i="3"/>
  <c r="BQ517" i="3"/>
  <c r="BQ515" i="3"/>
  <c r="BQ513" i="3"/>
  <c r="BQ511" i="3"/>
  <c r="AC509" i="3"/>
  <c r="BQ509" i="3"/>
  <c r="G507" i="3"/>
  <c r="G505" i="3"/>
  <c r="G503" i="3"/>
  <c r="G499" i="3"/>
  <c r="G497" i="3"/>
  <c r="BQ507" i="3"/>
  <c r="BQ505" i="3"/>
  <c r="BQ503" i="3"/>
  <c r="BL503" i="3" s="1"/>
  <c r="BQ501" i="3"/>
  <c r="BQ499" i="3"/>
  <c r="BL499" i="3" s="1"/>
  <c r="BQ497" i="3"/>
  <c r="BQ495" i="3"/>
  <c r="BQ493" i="3"/>
  <c r="S505" i="31"/>
  <c r="S503" i="31"/>
  <c r="S501" i="31"/>
  <c r="S499" i="31"/>
  <c r="O27" i="31"/>
  <c r="O28" i="31"/>
  <c r="O26" i="31"/>
  <c r="M27" i="31"/>
  <c r="M28" i="31"/>
  <c r="M26" i="31"/>
  <c r="I26" i="31"/>
  <c r="I25" i="31"/>
  <c r="Q26" i="31"/>
  <c r="K26" i="31"/>
  <c r="I27" i="31"/>
  <c r="Q27" i="31"/>
  <c r="K27" i="31"/>
  <c r="I28" i="31"/>
  <c r="Q28" i="31"/>
  <c r="K28" i="31"/>
  <c r="S21" i="40"/>
  <c r="H25" i="21"/>
  <c r="F25" i="21"/>
  <c r="S25" i="21" s="1"/>
  <c r="J25" i="21"/>
  <c r="E125" i="33"/>
  <c r="F125" i="33"/>
  <c r="G125" i="33" s="1"/>
  <c r="H43" i="33"/>
  <c r="H17" i="37"/>
  <c r="U17" i="37" s="1"/>
  <c r="AB27" i="37"/>
  <c r="U32" i="33"/>
  <c r="AA36" i="39"/>
  <c r="F39" i="33"/>
  <c r="AA39" i="33"/>
  <c r="E123" i="33"/>
  <c r="F123" i="33"/>
  <c r="G123" i="33" s="1"/>
  <c r="H123" i="33" s="1"/>
  <c r="F42" i="33"/>
  <c r="AA42" i="33" s="1"/>
  <c r="H28" i="34"/>
  <c r="F14" i="36"/>
  <c r="AA14" i="36"/>
  <c r="F22" i="36"/>
  <c r="F26" i="36"/>
  <c r="S26" i="36" s="1"/>
  <c r="H35" i="34"/>
  <c r="U35" i="34" s="1"/>
  <c r="F41" i="34"/>
  <c r="S41" i="34"/>
  <c r="H41" i="34"/>
  <c r="U41" i="34" s="1"/>
  <c r="J41" i="34"/>
  <c r="AC41" i="34" s="1"/>
  <c r="F10" i="35"/>
  <c r="S10" i="35" s="1"/>
  <c r="F24" i="35"/>
  <c r="AA24" i="35"/>
  <c r="H24" i="35"/>
  <c r="AB24" i="35" s="1"/>
  <c r="H23" i="37"/>
  <c r="AB23" i="37" s="1"/>
  <c r="J32" i="37"/>
  <c r="AC32" i="37" s="1"/>
  <c r="F36" i="37"/>
  <c r="AA36" i="37"/>
  <c r="F37" i="37"/>
  <c r="F32" i="40"/>
  <c r="S32" i="40"/>
  <c r="H32" i="40"/>
  <c r="AB32" i="40" s="1"/>
  <c r="J36" i="40"/>
  <c r="W36" i="40"/>
  <c r="H19" i="37"/>
  <c r="AB19" i="37" s="1"/>
  <c r="I123" i="33"/>
  <c r="J123" i="33" s="1"/>
  <c r="K123" i="33" s="1"/>
  <c r="L123" i="33" s="1"/>
  <c r="M123" i="33" s="1"/>
  <c r="H42" i="33"/>
  <c r="AB42" i="33" s="1"/>
  <c r="J43" i="33"/>
  <c r="AC43" i="33" s="1"/>
  <c r="U14" i="40"/>
  <c r="U35" i="35"/>
  <c r="AA12" i="35"/>
  <c r="W14" i="37"/>
  <c r="U33" i="37"/>
  <c r="U39" i="37"/>
  <c r="U26" i="37"/>
  <c r="AB13" i="34"/>
  <c r="AA13" i="33"/>
  <c r="AC45" i="33"/>
  <c r="W44" i="33"/>
  <c r="U11" i="33"/>
  <c r="U19" i="21"/>
  <c r="W44" i="21"/>
  <c r="U26" i="21"/>
  <c r="AC46" i="21"/>
  <c r="AB38" i="21"/>
  <c r="F43" i="33"/>
  <c r="AA43" i="33"/>
  <c r="W15" i="34"/>
  <c r="AC15" i="34"/>
  <c r="W40" i="37"/>
  <c r="G107" i="37"/>
  <c r="H107" i="37" s="1"/>
  <c r="I107" i="37" s="1"/>
  <c r="J107" i="37" s="1"/>
  <c r="K107" i="37" s="1"/>
  <c r="L107" i="37" s="1"/>
  <c r="M107" i="37" s="1"/>
  <c r="H37" i="21"/>
  <c r="U37" i="21"/>
  <c r="S42" i="21"/>
  <c r="H19" i="34"/>
  <c r="AB19" i="34" s="1"/>
  <c r="F36" i="35"/>
  <c r="S36" i="35" s="1"/>
  <c r="J9" i="37"/>
  <c r="W9" i="37" s="1"/>
  <c r="H9" i="37"/>
  <c r="U9" i="37"/>
  <c r="F9" i="37"/>
  <c r="S9" i="37" s="1"/>
  <c r="J12" i="37"/>
  <c r="H12" i="37"/>
  <c r="AB12" i="37"/>
  <c r="E71" i="37"/>
  <c r="F15" i="37"/>
  <c r="E94" i="37"/>
  <c r="F31" i="37"/>
  <c r="S31" i="37" s="1"/>
  <c r="F12" i="39"/>
  <c r="S12" i="39" s="1"/>
  <c r="J42" i="39"/>
  <c r="AC42" i="39" s="1"/>
  <c r="H21" i="40"/>
  <c r="AB21" i="40"/>
  <c r="F94" i="37"/>
  <c r="G94" i="37" s="1"/>
  <c r="H94" i="37" s="1"/>
  <c r="I94" i="37" s="1"/>
  <c r="J94" i="37" s="1"/>
  <c r="K94" i="37" s="1"/>
  <c r="L94" i="37" s="1"/>
  <c r="M94" i="37" s="1"/>
  <c r="H31" i="37"/>
  <c r="U31" i="37" s="1"/>
  <c r="F71" i="37"/>
  <c r="G71" i="37" s="1"/>
  <c r="J15" i="37"/>
  <c r="W15" i="37" s="1"/>
  <c r="AT6" i="3"/>
  <c r="AA25" i="21"/>
  <c r="H19" i="40"/>
  <c r="U19" i="40" s="1"/>
  <c r="F88" i="40"/>
  <c r="G88" i="40"/>
  <c r="F19" i="40"/>
  <c r="S19" i="40" s="1"/>
  <c r="AC13" i="40"/>
  <c r="W23" i="39"/>
  <c r="U45" i="39"/>
  <c r="AB45" i="39"/>
  <c r="AB44" i="39"/>
  <c r="U44" i="39"/>
  <c r="G100" i="39"/>
  <c r="H37" i="39"/>
  <c r="AC37" i="39"/>
  <c r="W37" i="39"/>
  <c r="H25" i="39"/>
  <c r="AB25" i="39" s="1"/>
  <c r="J25" i="39"/>
  <c r="F25" i="39"/>
  <c r="AA25" i="39" s="1"/>
  <c r="F15" i="39"/>
  <c r="H15" i="39"/>
  <c r="U15" i="39" s="1"/>
  <c r="J15" i="39"/>
  <c r="W15" i="39" s="1"/>
  <c r="H41" i="39"/>
  <c r="AB41" i="39"/>
  <c r="W27" i="39"/>
  <c r="AB34" i="39"/>
  <c r="U40" i="39"/>
  <c r="S42" i="39"/>
  <c r="AA41" i="39"/>
  <c r="W9" i="39"/>
  <c r="W8" i="39"/>
  <c r="J19" i="40"/>
  <c r="AC19" i="40" s="1"/>
  <c r="J50" i="40"/>
  <c r="H103" i="9"/>
  <c r="D8" i="53"/>
  <c r="B16" i="53"/>
  <c r="B33" i="72" s="1"/>
  <c r="C7" i="37"/>
  <c r="C52" i="37"/>
  <c r="D52" i="37" s="1"/>
  <c r="C7" i="36"/>
  <c r="C46" i="36" s="1"/>
  <c r="D46" i="36" s="1"/>
  <c r="E46" i="36" s="1"/>
  <c r="A118" i="9"/>
  <c r="A4" i="52"/>
  <c r="B41" i="72" s="1"/>
  <c r="J11" i="39"/>
  <c r="W11" i="39"/>
  <c r="F11" i="39"/>
  <c r="S11" i="39" s="1"/>
  <c r="AA11" i="39"/>
  <c r="G4" i="4"/>
  <c r="I4" i="4"/>
  <c r="A2" i="9"/>
  <c r="AZ20" i="3"/>
  <c r="AZ24" i="3"/>
  <c r="AZ28" i="3"/>
  <c r="AZ32" i="3"/>
  <c r="G524" i="3"/>
  <c r="G303" i="3"/>
  <c r="BL304" i="3"/>
  <c r="G305" i="3"/>
  <c r="BL306" i="3"/>
  <c r="BA308" i="3"/>
  <c r="AZ308" i="3"/>
  <c r="BA309" i="3"/>
  <c r="BL309" i="3"/>
  <c r="G310" i="3"/>
  <c r="BA311" i="3"/>
  <c r="G319" i="3"/>
  <c r="BL320" i="3"/>
  <c r="AZ320" i="3" s="1"/>
  <c r="G321" i="3"/>
  <c r="BL322" i="3"/>
  <c r="BA324" i="3"/>
  <c r="AZ324" i="3"/>
  <c r="BA325" i="3"/>
  <c r="BL325" i="3"/>
  <c r="AZ325" i="3" s="1"/>
  <c r="G326" i="3"/>
  <c r="BA327" i="3"/>
  <c r="G335" i="3"/>
  <c r="BL336" i="3"/>
  <c r="AZ336" i="3"/>
  <c r="G337" i="3"/>
  <c r="BL338" i="3"/>
  <c r="BA340" i="3"/>
  <c r="AZ340" i="3"/>
  <c r="BA341" i="3"/>
  <c r="BL341" i="3"/>
  <c r="AZ341" i="3" s="1"/>
  <c r="BA343" i="3"/>
  <c r="BA345" i="3"/>
  <c r="BL355" i="3"/>
  <c r="G356" i="3"/>
  <c r="BL357" i="3"/>
  <c r="BA359" i="3"/>
  <c r="AZ359" i="3" s="1"/>
  <c r="BA360" i="3"/>
  <c r="BL360" i="3"/>
  <c r="AZ360" i="3"/>
  <c r="G361" i="3"/>
  <c r="BA362" i="3"/>
  <c r="G370" i="3"/>
  <c r="BL371" i="3"/>
  <c r="AZ371" i="3" s="1"/>
  <c r="G372" i="3"/>
  <c r="BL373" i="3"/>
  <c r="BA375" i="3"/>
  <c r="AZ375" i="3"/>
  <c r="BA376" i="3"/>
  <c r="BL376" i="3"/>
  <c r="G377" i="3"/>
  <c r="BA378" i="3"/>
  <c r="BL378" i="3"/>
  <c r="G379" i="3"/>
  <c r="BA380" i="3"/>
  <c r="AZ380" i="3" s="1"/>
  <c r="G388" i="3"/>
  <c r="BL389" i="3"/>
  <c r="G390" i="3"/>
  <c r="BL391" i="3"/>
  <c r="BA393" i="3"/>
  <c r="AZ393" i="3"/>
  <c r="BA394" i="3"/>
  <c r="BL394" i="3"/>
  <c r="G113" i="3"/>
  <c r="BA115" i="3"/>
  <c r="AZ115" i="3" s="1"/>
  <c r="BL116" i="3"/>
  <c r="AZ116" i="3"/>
  <c r="G117" i="3"/>
  <c r="BA119" i="3"/>
  <c r="AZ119" i="3"/>
  <c r="BL120" i="3"/>
  <c r="G121" i="3"/>
  <c r="BA123" i="3"/>
  <c r="AZ123" i="3"/>
  <c r="BL124" i="3"/>
  <c r="AZ124" i="3"/>
  <c r="G125" i="3"/>
  <c r="BA127" i="3"/>
  <c r="AZ127" i="3"/>
  <c r="BL128" i="3"/>
  <c r="G129" i="3"/>
  <c r="BA131" i="3"/>
  <c r="AZ131" i="3"/>
  <c r="BL132" i="3"/>
  <c r="AZ132" i="3" s="1"/>
  <c r="G133" i="3"/>
  <c r="BA135" i="3"/>
  <c r="AZ135" i="3"/>
  <c r="BL136" i="3"/>
  <c r="AZ136" i="3"/>
  <c r="G137" i="3"/>
  <c r="BA139" i="3"/>
  <c r="AZ139" i="3" s="1"/>
  <c r="BL140" i="3"/>
  <c r="AZ140" i="3"/>
  <c r="G141" i="3"/>
  <c r="BA143" i="3"/>
  <c r="AZ143" i="3"/>
  <c r="BL144" i="3"/>
  <c r="AZ144" i="3" s="1"/>
  <c r="G145" i="3"/>
  <c r="BA147" i="3"/>
  <c r="AZ147" i="3"/>
  <c r="BL148" i="3"/>
  <c r="AZ148" i="3" s="1"/>
  <c r="G149" i="3"/>
  <c r="BA151" i="3"/>
  <c r="AZ151" i="3"/>
  <c r="BL152" i="3"/>
  <c r="G153" i="3"/>
  <c r="BA155" i="3"/>
  <c r="AZ155" i="3"/>
  <c r="BL156" i="3"/>
  <c r="AZ156" i="3"/>
  <c r="G157" i="3"/>
  <c r="BA159" i="3"/>
  <c r="BL160" i="3"/>
  <c r="G161" i="3"/>
  <c r="BA163" i="3"/>
  <c r="AZ163" i="3"/>
  <c r="BL164" i="3"/>
  <c r="AZ164" i="3"/>
  <c r="G165" i="3"/>
  <c r="BA167" i="3"/>
  <c r="AZ167" i="3" s="1"/>
  <c r="BL168" i="3"/>
  <c r="AZ168" i="3"/>
  <c r="G169" i="3"/>
  <c r="BA171" i="3"/>
  <c r="AZ171" i="3"/>
  <c r="BL172" i="3"/>
  <c r="G173" i="3"/>
  <c r="BA175" i="3"/>
  <c r="AZ175" i="3"/>
  <c r="BL176" i="3"/>
  <c r="G177" i="3"/>
  <c r="BA179" i="3"/>
  <c r="BL180" i="3"/>
  <c r="AZ180" i="3"/>
  <c r="G181" i="3"/>
  <c r="BA183" i="3"/>
  <c r="BL184" i="3"/>
  <c r="G185" i="3"/>
  <c r="BA187" i="3"/>
  <c r="AZ187" i="3" s="1"/>
  <c r="BL188" i="3"/>
  <c r="AZ188" i="3"/>
  <c r="G189" i="3"/>
  <c r="BA191" i="3"/>
  <c r="BL192" i="3"/>
  <c r="G193" i="3"/>
  <c r="BA195" i="3"/>
  <c r="AZ195" i="3" s="1"/>
  <c r="BL196" i="3"/>
  <c r="AZ196" i="3"/>
  <c r="G197" i="3"/>
  <c r="BA199" i="3"/>
  <c r="AZ199" i="3"/>
  <c r="BL200" i="3"/>
  <c r="AZ200" i="3"/>
  <c r="G201" i="3"/>
  <c r="BA203" i="3"/>
  <c r="AZ203" i="3"/>
  <c r="BL204" i="3"/>
  <c r="AZ39" i="3"/>
  <c r="AZ43" i="3"/>
  <c r="AZ47" i="3"/>
  <c r="AZ51" i="3"/>
  <c r="AZ55" i="3"/>
  <c r="AZ59" i="3"/>
  <c r="AZ63" i="3"/>
  <c r="AZ67" i="3"/>
  <c r="AZ71" i="3"/>
  <c r="AZ75" i="3"/>
  <c r="AZ79" i="3"/>
  <c r="AZ83" i="3"/>
  <c r="AZ152" i="3"/>
  <c r="AZ160" i="3"/>
  <c r="AZ192" i="3"/>
  <c r="AZ85" i="3"/>
  <c r="AZ89" i="3"/>
  <c r="AZ93" i="3"/>
  <c r="AZ97" i="3"/>
  <c r="AZ101" i="3"/>
  <c r="AZ105" i="3"/>
  <c r="AZ120" i="3"/>
  <c r="AZ128" i="3"/>
  <c r="G534" i="3"/>
  <c r="G512" i="3"/>
  <c r="G506" i="3"/>
  <c r="G498" i="3"/>
  <c r="G16" i="3"/>
  <c r="G15" i="3"/>
  <c r="BA304" i="3"/>
  <c r="AZ304" i="3" s="1"/>
  <c r="BA305" i="3"/>
  <c r="AZ305" i="3" s="1"/>
  <c r="BL305" i="3"/>
  <c r="G306" i="3"/>
  <c r="G309" i="3"/>
  <c r="BL310" i="3"/>
  <c r="BA312" i="3"/>
  <c r="AZ312" i="3"/>
  <c r="BA313" i="3"/>
  <c r="BL313" i="3"/>
  <c r="AZ313" i="3" s="1"/>
  <c r="G314" i="3"/>
  <c r="G317" i="3"/>
  <c r="BL318" i="3"/>
  <c r="BA320" i="3"/>
  <c r="BA321" i="3"/>
  <c r="BL321" i="3"/>
  <c r="AZ321" i="3" s="1"/>
  <c r="G322" i="3"/>
  <c r="G325" i="3"/>
  <c r="BL326" i="3"/>
  <c r="BA328" i="3"/>
  <c r="AZ328" i="3"/>
  <c r="BA329" i="3"/>
  <c r="BL329" i="3"/>
  <c r="AZ329" i="3" s="1"/>
  <c r="G330" i="3"/>
  <c r="G333" i="3"/>
  <c r="BL334" i="3"/>
  <c r="BA336" i="3"/>
  <c r="BA337" i="3"/>
  <c r="AZ337" i="3" s="1"/>
  <c r="BL337" i="3"/>
  <c r="G338" i="3"/>
  <c r="G341" i="3"/>
  <c r="BA342" i="3"/>
  <c r="BL342" i="3"/>
  <c r="AZ342" i="3" s="1"/>
  <c r="BA344" i="3"/>
  <c r="AZ344" i="3" s="1"/>
  <c r="BL344" i="3"/>
  <c r="BA346" i="3"/>
  <c r="BA347" i="3"/>
  <c r="AZ347" i="3" s="1"/>
  <c r="BL347" i="3"/>
  <c r="G350" i="3"/>
  <c r="BA351" i="3"/>
  <c r="AZ351" i="3" s="1"/>
  <c r="BL351" i="3"/>
  <c r="G352" i="3"/>
  <c r="G354" i="3"/>
  <c r="BA355" i="3"/>
  <c r="AZ355" i="3"/>
  <c r="BA356" i="3"/>
  <c r="AZ356" i="3"/>
  <c r="BL356" i="3"/>
  <c r="G357" i="3"/>
  <c r="G360" i="3"/>
  <c r="BL361" i="3"/>
  <c r="AZ361" i="3" s="1"/>
  <c r="BA363" i="3"/>
  <c r="AZ363" i="3"/>
  <c r="BA364" i="3"/>
  <c r="AZ364" i="3"/>
  <c r="BL364" i="3"/>
  <c r="G365" i="3"/>
  <c r="G368" i="3"/>
  <c r="BL369" i="3"/>
  <c r="AZ369" i="3" s="1"/>
  <c r="BA371" i="3"/>
  <c r="BA372" i="3"/>
  <c r="AZ372" i="3" s="1"/>
  <c r="BL372" i="3"/>
  <c r="G373" i="3"/>
  <c r="G376" i="3"/>
  <c r="BL377" i="3"/>
  <c r="AZ377" i="3" s="1"/>
  <c r="BL379" i="3"/>
  <c r="AZ379" i="3"/>
  <c r="BA381" i="3"/>
  <c r="AZ381" i="3"/>
  <c r="BA382" i="3"/>
  <c r="BL382" i="3"/>
  <c r="AZ382" i="3"/>
  <c r="G383" i="3"/>
  <c r="G386" i="3"/>
  <c r="BL387" i="3"/>
  <c r="BA389" i="3"/>
  <c r="AZ389" i="3"/>
  <c r="BA390" i="3"/>
  <c r="BL390" i="3"/>
  <c r="AZ390" i="3" s="1"/>
  <c r="G391" i="3"/>
  <c r="G394" i="3"/>
  <c r="AZ138" i="3"/>
  <c r="AZ142" i="3"/>
  <c r="AZ146" i="3"/>
  <c r="AZ150" i="3"/>
  <c r="AZ154" i="3"/>
  <c r="AZ162" i="3"/>
  <c r="AZ166" i="3"/>
  <c r="AZ174" i="3"/>
  <c r="AZ186" i="3"/>
  <c r="AZ190" i="3"/>
  <c r="AZ194" i="3"/>
  <c r="AZ198" i="3"/>
  <c r="AZ202" i="3"/>
  <c r="AZ206" i="3"/>
  <c r="BA16" i="3"/>
  <c r="AZ16" i="3"/>
  <c r="BL303" i="3"/>
  <c r="G304" i="3"/>
  <c r="BA306" i="3"/>
  <c r="AZ306" i="3"/>
  <c r="BL307" i="3"/>
  <c r="AZ307" i="3"/>
  <c r="G308" i="3"/>
  <c r="BA310" i="3"/>
  <c r="AZ310" i="3" s="1"/>
  <c r="BL311" i="3"/>
  <c r="AZ311" i="3"/>
  <c r="G312" i="3"/>
  <c r="BA314" i="3"/>
  <c r="AZ314" i="3" s="1"/>
  <c r="BL315" i="3"/>
  <c r="G316" i="3"/>
  <c r="BA318" i="3"/>
  <c r="AZ318" i="3" s="1"/>
  <c r="BL319" i="3"/>
  <c r="G320" i="3"/>
  <c r="BA322" i="3"/>
  <c r="AZ322" i="3" s="1"/>
  <c r="BL323" i="3"/>
  <c r="AZ323" i="3"/>
  <c r="G324" i="3"/>
  <c r="BA326" i="3"/>
  <c r="AZ326" i="3"/>
  <c r="BL327" i="3"/>
  <c r="AZ327" i="3"/>
  <c r="G328" i="3"/>
  <c r="BA330" i="3"/>
  <c r="AZ330" i="3"/>
  <c r="BL331" i="3"/>
  <c r="G332" i="3"/>
  <c r="BA334" i="3"/>
  <c r="AZ334" i="3"/>
  <c r="BL335" i="3"/>
  <c r="G336" i="3"/>
  <c r="BA338" i="3"/>
  <c r="AZ338" i="3"/>
  <c r="BL339" i="3"/>
  <c r="AZ339" i="3" s="1"/>
  <c r="G340" i="3"/>
  <c r="BL343" i="3"/>
  <c r="G344" i="3"/>
  <c r="G348" i="3"/>
  <c r="G355" i="3"/>
  <c r="AZ209" i="3"/>
  <c r="AZ214" i="3"/>
  <c r="AZ218" i="3"/>
  <c r="AZ222" i="3"/>
  <c r="G342" i="3"/>
  <c r="BL345" i="3"/>
  <c r="G346" i="3"/>
  <c r="AZ348" i="3"/>
  <c r="BL349" i="3"/>
  <c r="AZ349" i="3" s="1"/>
  <c r="BL352" i="3"/>
  <c r="AZ352" i="3" s="1"/>
  <c r="G353" i="3"/>
  <c r="BA357" i="3"/>
  <c r="AZ357" i="3" s="1"/>
  <c r="BL358" i="3"/>
  <c r="AZ358" i="3"/>
  <c r="G359" i="3"/>
  <c r="BA361" i="3"/>
  <c r="BL362" i="3"/>
  <c r="AZ362" i="3"/>
  <c r="G363" i="3"/>
  <c r="BA365" i="3"/>
  <c r="AZ365" i="3"/>
  <c r="BL366" i="3"/>
  <c r="G367" i="3"/>
  <c r="BA369" i="3"/>
  <c r="BL370" i="3"/>
  <c r="AZ370" i="3" s="1"/>
  <c r="G371" i="3"/>
  <c r="BA373" i="3"/>
  <c r="AZ373" i="3"/>
  <c r="BL374" i="3"/>
  <c r="G375" i="3"/>
  <c r="BA377" i="3"/>
  <c r="AZ229" i="3"/>
  <c r="AZ233" i="3"/>
  <c r="AZ237" i="3"/>
  <c r="AZ241" i="3"/>
  <c r="AZ245" i="3"/>
  <c r="AZ249" i="3"/>
  <c r="AZ253" i="3"/>
  <c r="AZ257" i="3"/>
  <c r="AZ261" i="3"/>
  <c r="AZ265" i="3"/>
  <c r="AZ269" i="3"/>
  <c r="BA379" i="3"/>
  <c r="BL380" i="3"/>
  <c r="G381" i="3"/>
  <c r="BA383" i="3"/>
  <c r="AZ383" i="3" s="1"/>
  <c r="BL384" i="3"/>
  <c r="AZ384" i="3"/>
  <c r="G385" i="3"/>
  <c r="BA387" i="3"/>
  <c r="AZ387" i="3"/>
  <c r="BL388" i="3"/>
  <c r="AZ388" i="3"/>
  <c r="G389" i="3"/>
  <c r="BA391" i="3"/>
  <c r="AZ391" i="3" s="1"/>
  <c r="BL392" i="3"/>
  <c r="AZ392" i="3"/>
  <c r="G393" i="3"/>
  <c r="AZ263" i="3"/>
  <c r="AZ283" i="3"/>
  <c r="AZ287" i="3"/>
  <c r="AZ291" i="3"/>
  <c r="AZ295" i="3"/>
  <c r="AZ299" i="3"/>
  <c r="AZ317" i="3"/>
  <c r="AZ333" i="3"/>
  <c r="G520" i="3"/>
  <c r="G17" i="3"/>
  <c r="BA17" i="3"/>
  <c r="AZ368" i="3"/>
  <c r="BA15" i="3"/>
  <c r="AZ15" i="3"/>
  <c r="AZ396" i="3"/>
  <c r="G509" i="3"/>
  <c r="AZ376" i="3"/>
  <c r="U36" i="40"/>
  <c r="F83" i="43"/>
  <c r="H85" i="43"/>
  <c r="F50" i="43"/>
  <c r="H54" i="43"/>
  <c r="F72" i="43"/>
  <c r="H75" i="43"/>
  <c r="U17" i="39"/>
  <c r="S14" i="35"/>
  <c r="U43" i="21"/>
  <c r="U35" i="21"/>
  <c r="AC35" i="21"/>
  <c r="G8" i="1"/>
  <c r="G10" i="1"/>
  <c r="W37" i="37"/>
  <c r="U13" i="37"/>
  <c r="U12" i="40"/>
  <c r="AA12" i="40"/>
  <c r="J37" i="33"/>
  <c r="F106" i="33"/>
  <c r="G106" i="33"/>
  <c r="H106" i="33"/>
  <c r="I106" i="33" s="1"/>
  <c r="J106" i="33" s="1"/>
  <c r="K106" i="33" s="1"/>
  <c r="L106" i="33"/>
  <c r="M106" i="33" s="1"/>
  <c r="J34" i="33"/>
  <c r="W34" i="33"/>
  <c r="F33" i="34"/>
  <c r="S33" i="34" s="1"/>
  <c r="H20" i="36"/>
  <c r="U20" i="36"/>
  <c r="J20" i="36"/>
  <c r="W24" i="36"/>
  <c r="J27" i="36"/>
  <c r="W27" i="36"/>
  <c r="AC33" i="40"/>
  <c r="F111" i="40"/>
  <c r="G111" i="40"/>
  <c r="H111" i="40" s="1"/>
  <c r="I111" i="40" s="1"/>
  <c r="J111" i="40" s="1"/>
  <c r="K111" i="40" s="1"/>
  <c r="L111" i="40" s="1"/>
  <c r="M111" i="40" s="1"/>
  <c r="H35" i="40"/>
  <c r="AB35" i="40"/>
  <c r="AC29" i="35"/>
  <c r="W29" i="35"/>
  <c r="H35" i="37"/>
  <c r="U35" i="37"/>
  <c r="AC14" i="35"/>
  <c r="H20" i="35"/>
  <c r="U20" i="35"/>
  <c r="F20" i="35"/>
  <c r="AB29" i="36"/>
  <c r="U29" i="36"/>
  <c r="H32" i="37"/>
  <c r="AB32" i="37" s="1"/>
  <c r="F96" i="37"/>
  <c r="J30" i="40"/>
  <c r="AC30" i="40"/>
  <c r="F30" i="40"/>
  <c r="AA30" i="40"/>
  <c r="AC21" i="40"/>
  <c r="S11" i="40"/>
  <c r="E98" i="40"/>
  <c r="F98" i="40"/>
  <c r="G98" i="40"/>
  <c r="H98" i="40"/>
  <c r="I98" i="40" s="1"/>
  <c r="J98" i="40" s="1"/>
  <c r="K98" i="40" s="1"/>
  <c r="L98" i="40" s="1"/>
  <c r="M98" i="40" s="1"/>
  <c r="F10" i="33"/>
  <c r="S10" i="33"/>
  <c r="F34" i="33"/>
  <c r="H34" i="33"/>
  <c r="F35" i="33"/>
  <c r="S35" i="33"/>
  <c r="F39" i="34"/>
  <c r="AA39" i="34"/>
  <c r="J39" i="34"/>
  <c r="W39" i="34"/>
  <c r="F40" i="34"/>
  <c r="S40" i="34"/>
  <c r="F43" i="34"/>
  <c r="S43" i="34"/>
  <c r="H44" i="34"/>
  <c r="AB44" i="34"/>
  <c r="AC38" i="39"/>
  <c r="F39" i="39"/>
  <c r="S39" i="39" s="1"/>
  <c r="J39" i="39"/>
  <c r="AC39" i="39"/>
  <c r="E96" i="39"/>
  <c r="F96" i="39" s="1"/>
  <c r="G96" i="39" s="1"/>
  <c r="AZ353" i="3"/>
  <c r="AZ354" i="3"/>
  <c r="C40" i="11"/>
  <c r="AZ215" i="3"/>
  <c r="AZ223" i="3"/>
  <c r="AZ227" i="3"/>
  <c r="AZ232" i="3"/>
  <c r="AZ235" i="3"/>
  <c r="AZ240" i="3"/>
  <c r="AZ243" i="3"/>
  <c r="AZ248" i="3"/>
  <c r="AZ251" i="3"/>
  <c r="AZ256" i="3"/>
  <c r="AZ259" i="3"/>
  <c r="AZ268" i="3"/>
  <c r="AZ271" i="3"/>
  <c r="AZ280" i="3"/>
  <c r="AZ296" i="3"/>
  <c r="AZ114" i="3"/>
  <c r="AZ117" i="3"/>
  <c r="AZ130" i="3"/>
  <c r="AZ133" i="3"/>
  <c r="AZ21" i="3"/>
  <c r="AZ29" i="3"/>
  <c r="AZ31" i="3"/>
  <c r="AZ33" i="3"/>
  <c r="AZ37" i="3"/>
  <c r="AZ42" i="3"/>
  <c r="AZ45" i="3"/>
  <c r="AZ50" i="3"/>
  <c r="AZ53" i="3"/>
  <c r="AZ58" i="3"/>
  <c r="AZ61" i="3"/>
  <c r="AZ66" i="3"/>
  <c r="AZ69" i="3"/>
  <c r="AZ72" i="3"/>
  <c r="AZ74" i="3"/>
  <c r="AZ77" i="3"/>
  <c r="AZ82" i="3"/>
  <c r="AZ86" i="3"/>
  <c r="AZ102" i="3"/>
  <c r="AZ110" i="3"/>
  <c r="F23" i="39"/>
  <c r="AA23" i="39"/>
  <c r="H27" i="36"/>
  <c r="U27" i="36"/>
  <c r="F27" i="36"/>
  <c r="AA27" i="36"/>
  <c r="H33" i="34"/>
  <c r="AB33" i="34" s="1"/>
  <c r="F32" i="37"/>
  <c r="AA32" i="37"/>
  <c r="G96" i="37"/>
  <c r="H96" i="37" s="1"/>
  <c r="I96" i="37" s="1"/>
  <c r="J96" i="37" s="1"/>
  <c r="K96" i="37" s="1"/>
  <c r="L96" i="37" s="1"/>
  <c r="M96" i="37" s="1"/>
  <c r="F20" i="36"/>
  <c r="AA20" i="36"/>
  <c r="J33" i="34"/>
  <c r="AC33" i="34" s="1"/>
  <c r="H23" i="39"/>
  <c r="U23" i="39"/>
  <c r="D48" i="9"/>
  <c r="M52" i="9" s="1"/>
  <c r="K9" i="1"/>
  <c r="M9" i="1" s="1"/>
  <c r="D93" i="9"/>
  <c r="K6" i="1"/>
  <c r="AP6" i="1"/>
  <c r="AC26" i="33"/>
  <c r="W26" i="33"/>
  <c r="AB34" i="36"/>
  <c r="U34" i="36"/>
  <c r="AB33" i="36"/>
  <c r="U33" i="36"/>
  <c r="AC12" i="39"/>
  <c r="W12" i="39"/>
  <c r="AC39" i="40"/>
  <c r="W39" i="40"/>
  <c r="AZ401" i="3"/>
  <c r="AZ412" i="3"/>
  <c r="AZ417" i="3"/>
  <c r="AZ433" i="3"/>
  <c r="AZ465" i="3"/>
  <c r="AZ586" i="3"/>
  <c r="W12" i="33"/>
  <c r="AC12" i="33"/>
  <c r="AA32" i="36"/>
  <c r="S32" i="36"/>
  <c r="AZ551" i="3"/>
  <c r="AZ408" i="3"/>
  <c r="AZ437" i="3"/>
  <c r="AZ457" i="3"/>
  <c r="AZ473" i="3"/>
  <c r="AZ490" i="3"/>
  <c r="BL14" i="3"/>
  <c r="AZ266" i="3"/>
  <c r="U30" i="33"/>
  <c r="AC13" i="34"/>
  <c r="AA47" i="34"/>
  <c r="W28" i="37"/>
  <c r="S19" i="39"/>
  <c r="F12" i="33"/>
  <c r="H12" i="39"/>
  <c r="U12" i="39"/>
  <c r="F39" i="40"/>
  <c r="S39" i="40" s="1"/>
  <c r="BA14" i="3"/>
  <c r="AZ14" i="3"/>
  <c r="AZ213" i="3"/>
  <c r="AZ224" i="3"/>
  <c r="AZ234" i="3"/>
  <c r="AZ238" i="3"/>
  <c r="AZ250" i="3"/>
  <c r="AZ254" i="3"/>
  <c r="AZ297" i="3"/>
  <c r="AZ149" i="3"/>
  <c r="AZ157" i="3"/>
  <c r="AZ165" i="3"/>
  <c r="AZ181" i="3"/>
  <c r="AZ189" i="3"/>
  <c r="AZ19" i="3"/>
  <c r="AZ35" i="3"/>
  <c r="AZ41" i="3"/>
  <c r="B12" i="1"/>
  <c r="E12" i="1" s="1"/>
  <c r="B10" i="1"/>
  <c r="E10" i="1"/>
  <c r="AZ80" i="3"/>
  <c r="AZ84" i="3"/>
  <c r="AZ88" i="3"/>
  <c r="AZ111" i="3"/>
  <c r="K12" i="1"/>
  <c r="M12" i="1" s="1"/>
  <c r="S13" i="1"/>
  <c r="AR13" i="1" s="1"/>
  <c r="R13" i="1"/>
  <c r="C42" i="1"/>
  <c r="B41" i="1"/>
  <c r="AB37" i="40"/>
  <c r="S35" i="40"/>
  <c r="U35" i="40"/>
  <c r="AC36" i="40"/>
  <c r="AA32" i="40"/>
  <c r="S17" i="40"/>
  <c r="S23" i="40"/>
  <c r="AC17" i="40"/>
  <c r="S30" i="40"/>
  <c r="AA19" i="40"/>
  <c r="S28" i="40"/>
  <c r="U21" i="40"/>
  <c r="AB19" i="40"/>
  <c r="U35" i="39"/>
  <c r="F32" i="39"/>
  <c r="F106" i="39"/>
  <c r="G106" i="39"/>
  <c r="H106" i="39" s="1"/>
  <c r="I106" i="39" s="1"/>
  <c r="J106" i="39" s="1"/>
  <c r="K106" i="39" s="1"/>
  <c r="L106" i="39" s="1"/>
  <c r="M106" i="39" s="1"/>
  <c r="AB27" i="39"/>
  <c r="U31" i="39"/>
  <c r="J21" i="39"/>
  <c r="W21" i="39" s="1"/>
  <c r="F21" i="39"/>
  <c r="G94" i="39"/>
  <c r="H21" i="39"/>
  <c r="U21" i="39" s="1"/>
  <c r="W19" i="39"/>
  <c r="U19" i="39"/>
  <c r="S17" i="39"/>
  <c r="AA12" i="39"/>
  <c r="S9" i="39"/>
  <c r="U14" i="39"/>
  <c r="AC13" i="39"/>
  <c r="S23" i="36"/>
  <c r="U26" i="36"/>
  <c r="AA26" i="36"/>
  <c r="AA34" i="36"/>
  <c r="W14" i="36"/>
  <c r="AB14" i="36"/>
  <c r="U22" i="36"/>
  <c r="S16" i="36"/>
  <c r="AA25" i="36"/>
  <c r="S24" i="36"/>
  <c r="U23" i="36"/>
  <c r="AB20" i="36"/>
  <c r="U16" i="36"/>
  <c r="S14" i="36"/>
  <c r="AA25" i="35"/>
  <c r="S23" i="35"/>
  <c r="W24" i="35"/>
  <c r="U29" i="35"/>
  <c r="U28" i="35"/>
  <c r="AB27" i="35"/>
  <c r="U36" i="35"/>
  <c r="U32" i="35"/>
  <c r="AA33" i="35"/>
  <c r="AC30" i="35"/>
  <c r="S32" i="35"/>
  <c r="AA36" i="35"/>
  <c r="S28" i="35"/>
  <c r="AB16" i="35"/>
  <c r="U22" i="35"/>
  <c r="AC20" i="35"/>
  <c r="S22" i="35"/>
  <c r="U14" i="35"/>
  <c r="AA11" i="35"/>
  <c r="AC9" i="35"/>
  <c r="W9" i="35"/>
  <c r="AC12" i="35"/>
  <c r="W13" i="35"/>
  <c r="F9" i="35"/>
  <c r="S9" i="35"/>
  <c r="H9" i="35"/>
  <c r="U9" i="35" s="1"/>
  <c r="AB40" i="37"/>
  <c r="W27" i="37"/>
  <c r="AC29" i="37"/>
  <c r="U29" i="37"/>
  <c r="S32" i="37"/>
  <c r="AB31" i="37"/>
  <c r="W30" i="37"/>
  <c r="S36" i="37"/>
  <c r="AA38" i="37"/>
  <c r="U32" i="37"/>
  <c r="W38" i="37"/>
  <c r="AC35" i="37"/>
  <c r="W39" i="37"/>
  <c r="S30" i="37"/>
  <c r="AC15" i="37"/>
  <c r="J17" i="37"/>
  <c r="W17" i="37"/>
  <c r="G73" i="37"/>
  <c r="F17" i="37"/>
  <c r="AA17" i="37"/>
  <c r="AB17" i="37"/>
  <c r="F75" i="37"/>
  <c r="G75" i="37" s="1"/>
  <c r="F19" i="37"/>
  <c r="F79" i="37"/>
  <c r="G79" i="37" s="1"/>
  <c r="F23" i="37"/>
  <c r="U23" i="37"/>
  <c r="U15" i="37"/>
  <c r="AC13" i="37"/>
  <c r="AA13" i="37"/>
  <c r="H10" i="37"/>
  <c r="AB10" i="37" s="1"/>
  <c r="F63" i="37"/>
  <c r="G63" i="37"/>
  <c r="H63" i="37" s="1"/>
  <c r="I63" i="37" s="1"/>
  <c r="J63" i="37" s="1"/>
  <c r="K63" i="37" s="1"/>
  <c r="L63" i="37" s="1"/>
  <c r="M63" i="37" s="1"/>
  <c r="F11" i="37"/>
  <c r="S11" i="37"/>
  <c r="AB8" i="34"/>
  <c r="U43" i="34"/>
  <c r="AC39" i="34"/>
  <c r="AC42" i="34"/>
  <c r="U39" i="34"/>
  <c r="AA25" i="34"/>
  <c r="S17" i="34"/>
  <c r="AA29" i="34"/>
  <c r="U15" i="34"/>
  <c r="S13" i="34"/>
  <c r="H10" i="34"/>
  <c r="AB10" i="34"/>
  <c r="F11" i="34"/>
  <c r="S11" i="34" s="1"/>
  <c r="F70" i="34"/>
  <c r="G70" i="34"/>
  <c r="H70" i="34"/>
  <c r="I70" i="34" s="1"/>
  <c r="J70" i="34" s="1"/>
  <c r="K70" i="34" s="1"/>
  <c r="L70" i="34" s="1"/>
  <c r="M70" i="34" s="1"/>
  <c r="W42" i="33"/>
  <c r="AA35" i="33"/>
  <c r="S27" i="33"/>
  <c r="S32" i="33"/>
  <c r="AA29" i="33"/>
  <c r="W38" i="33"/>
  <c r="H41" i="33"/>
  <c r="F121" i="33"/>
  <c r="G121" i="33"/>
  <c r="H121" i="33"/>
  <c r="I121" i="33" s="1"/>
  <c r="J121" i="33" s="1"/>
  <c r="K121" i="33" s="1"/>
  <c r="L121" i="33" s="1"/>
  <c r="M121" i="33" s="1"/>
  <c r="U42" i="33"/>
  <c r="S42" i="33"/>
  <c r="F36" i="33"/>
  <c r="G111" i="33"/>
  <c r="H111" i="33"/>
  <c r="G108" i="33"/>
  <c r="H108" i="33" s="1"/>
  <c r="I108" i="33" s="1"/>
  <c r="J108" i="33" s="1"/>
  <c r="K108" i="33" s="1"/>
  <c r="L108" i="33" s="1"/>
  <c r="M108" i="33" s="1"/>
  <c r="J35" i="33"/>
  <c r="AC35" i="33"/>
  <c r="S37" i="33"/>
  <c r="AA37" i="33"/>
  <c r="S39" i="33"/>
  <c r="F101" i="33"/>
  <c r="G101" i="33" s="1"/>
  <c r="H101" i="33" s="1"/>
  <c r="I101" i="33" s="1"/>
  <c r="J101" i="33" s="1"/>
  <c r="K101" i="33" s="1"/>
  <c r="L101" i="33" s="1"/>
  <c r="M101" i="33" s="1"/>
  <c r="J32" i="33"/>
  <c r="S46" i="33"/>
  <c r="W43" i="33"/>
  <c r="S43" i="33"/>
  <c r="F91" i="33"/>
  <c r="G91" i="33" s="1"/>
  <c r="H91" i="33" s="1"/>
  <c r="I91" i="33" s="1"/>
  <c r="J91" i="33" s="1"/>
  <c r="K91" i="33" s="1"/>
  <c r="L91" i="33" s="1"/>
  <c r="M91" i="33" s="1"/>
  <c r="H27" i="33"/>
  <c r="F87" i="33"/>
  <c r="H25" i="33"/>
  <c r="F25" i="33"/>
  <c r="J23" i="33"/>
  <c r="W23" i="33" s="1"/>
  <c r="F85" i="33"/>
  <c r="H23" i="33"/>
  <c r="U23" i="33" s="1"/>
  <c r="F81" i="33"/>
  <c r="G81" i="33" s="1"/>
  <c r="F19" i="33"/>
  <c r="W19" i="33"/>
  <c r="J17" i="33"/>
  <c r="F79" i="33"/>
  <c r="G79" i="33" s="1"/>
  <c r="S15" i="33"/>
  <c r="W15" i="33"/>
  <c r="U9" i="33"/>
  <c r="J10" i="33"/>
  <c r="W10" i="33" s="1"/>
  <c r="H10" i="33"/>
  <c r="U10" i="33"/>
  <c r="AC11" i="33"/>
  <c r="AB14" i="33"/>
  <c r="W43" i="21"/>
  <c r="W36" i="21"/>
  <c r="W41" i="21"/>
  <c r="AB39" i="21"/>
  <c r="AA43" i="21"/>
  <c r="S39" i="21"/>
  <c r="AA38" i="21"/>
  <c r="AA36" i="21"/>
  <c r="AC40" i="21"/>
  <c r="J15" i="21"/>
  <c r="W15" i="21" s="1"/>
  <c r="AC15" i="21"/>
  <c r="F77" i="21"/>
  <c r="G77" i="21"/>
  <c r="F23" i="21"/>
  <c r="S23" i="21" s="1"/>
  <c r="E85" i="21"/>
  <c r="F85" i="21"/>
  <c r="G85" i="21" s="1"/>
  <c r="AA14" i="21"/>
  <c r="D120" i="9"/>
  <c r="D121" i="9"/>
  <c r="D7" i="52" s="1"/>
  <c r="F34" i="67"/>
  <c r="F62" i="67"/>
  <c r="M20" i="67"/>
  <c r="F34" i="15"/>
  <c r="F62" i="15" s="1"/>
  <c r="G13" i="3"/>
  <c r="BA13" i="3"/>
  <c r="AZ13" i="3" s="1"/>
  <c r="BL17" i="3"/>
  <c r="BL13" i="3"/>
  <c r="J56" i="9"/>
  <c r="J57" i="9"/>
  <c r="J59" i="9" s="1"/>
  <c r="J61" i="9" s="1"/>
  <c r="U29" i="34"/>
  <c r="E5" i="6"/>
  <c r="D9" i="11" s="1"/>
  <c r="C9" i="11" s="1"/>
  <c r="E32" i="6"/>
  <c r="G1" i="68"/>
  <c r="K1" i="12"/>
  <c r="E19" i="69"/>
  <c r="E19" i="68"/>
  <c r="E19" i="11"/>
  <c r="E1" i="73"/>
  <c r="G22" i="69"/>
  <c r="G22" i="68"/>
  <c r="G26" i="12"/>
  <c r="G22" i="11"/>
  <c r="B19" i="53"/>
  <c r="B37" i="72" s="1"/>
  <c r="C7" i="39"/>
  <c r="C67" i="39"/>
  <c r="C7" i="35"/>
  <c r="C48" i="35" s="1"/>
  <c r="D48" i="35" s="1"/>
  <c r="E48" i="35" s="1"/>
  <c r="F48" i="35" s="1"/>
  <c r="G48" i="35" s="1"/>
  <c r="H48" i="35" s="1"/>
  <c r="I48" i="35" s="1"/>
  <c r="J48" i="35" s="1"/>
  <c r="K48" i="35" s="1"/>
  <c r="C7" i="33"/>
  <c r="C7" i="40"/>
  <c r="C63" i="40"/>
  <c r="M47" i="9"/>
  <c r="G23" i="43"/>
  <c r="L20" i="6"/>
  <c r="B6" i="1"/>
  <c r="E6" i="1" s="1"/>
  <c r="K11" i="1"/>
  <c r="M11" i="1" s="1"/>
  <c r="O11" i="1"/>
  <c r="B9" i="1"/>
  <c r="E9" i="1"/>
  <c r="K7" i="1"/>
  <c r="M7" i="1" s="1"/>
  <c r="O7" i="1"/>
  <c r="P7" i="1"/>
  <c r="G1" i="15"/>
  <c r="G1" i="69"/>
  <c r="G1" i="67"/>
  <c r="W23" i="40"/>
  <c r="S37" i="40"/>
  <c r="AB28" i="40"/>
  <c r="W28" i="40"/>
  <c r="W34" i="40"/>
  <c r="W19" i="40"/>
  <c r="S36" i="40"/>
  <c r="W37" i="40"/>
  <c r="AC14" i="40"/>
  <c r="S13" i="40"/>
  <c r="S33" i="40"/>
  <c r="AA15" i="40"/>
  <c r="U11" i="40"/>
  <c r="AB13" i="40"/>
  <c r="U15" i="40"/>
  <c r="AB17" i="40"/>
  <c r="U8" i="40"/>
  <c r="S8" i="40"/>
  <c r="U42" i="39"/>
  <c r="U41" i="39"/>
  <c r="W25" i="39"/>
  <c r="AC25" i="39"/>
  <c r="AB13" i="39"/>
  <c r="AA13" i="39"/>
  <c r="S13" i="39"/>
  <c r="S14" i="39"/>
  <c r="AA14" i="39"/>
  <c r="U43" i="39"/>
  <c r="AB43" i="39"/>
  <c r="AB11" i="39"/>
  <c r="U11" i="39"/>
  <c r="AA27" i="39"/>
  <c r="S27" i="39"/>
  <c r="AC17" i="39"/>
  <c r="W31" i="39"/>
  <c r="S23" i="39"/>
  <c r="AA45" i="39"/>
  <c r="AB39" i="39"/>
  <c r="W34" i="39"/>
  <c r="U38" i="39"/>
  <c r="S8" i="39"/>
  <c r="U32" i="36"/>
  <c r="W29" i="36"/>
  <c r="AB28" i="36"/>
  <c r="W22" i="36"/>
  <c r="W23" i="36"/>
  <c r="S9" i="36"/>
  <c r="AB20" i="35"/>
  <c r="AC25" i="35"/>
  <c r="S24" i="35"/>
  <c r="U24" i="35"/>
  <c r="W35" i="35"/>
  <c r="AA16" i="35"/>
  <c r="AA35" i="37"/>
  <c r="W36" i="37"/>
  <c r="S27" i="37"/>
  <c r="W32" i="37"/>
  <c r="U36" i="37"/>
  <c r="S40" i="37"/>
  <c r="U38" i="37"/>
  <c r="AB37" i="37"/>
  <c r="AC34" i="37"/>
  <c r="AB35" i="37"/>
  <c r="AA31" i="37"/>
  <c r="U19" i="37"/>
  <c r="AA29" i="37"/>
  <c r="U8" i="37"/>
  <c r="AB40" i="34"/>
  <c r="AC45" i="34"/>
  <c r="AA30" i="34"/>
  <c r="AB47" i="34"/>
  <c r="U25" i="34"/>
  <c r="AC14" i="34"/>
  <c r="AC32" i="34"/>
  <c r="AC29" i="34"/>
  <c r="W29" i="34"/>
  <c r="S32" i="34"/>
  <c r="AA32" i="34"/>
  <c r="U30" i="34"/>
  <c r="AB30" i="34"/>
  <c r="AA8" i="34"/>
  <c r="S8" i="34"/>
  <c r="U32" i="34"/>
  <c r="AB32" i="34"/>
  <c r="U14" i="34"/>
  <c r="AB14" i="34"/>
  <c r="W35" i="34"/>
  <c r="AB28"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I101" i="21"/>
  <c r="J101" i="21" s="1"/>
  <c r="K101" i="21" s="1"/>
  <c r="L101" i="21" s="1"/>
  <c r="M101" i="21" s="1"/>
  <c r="F33" i="21"/>
  <c r="AA33" i="21"/>
  <c r="J33" i="21"/>
  <c r="AC33" i="21" s="1"/>
  <c r="H33" i="21"/>
  <c r="AB33" i="21"/>
  <c r="F37" i="21"/>
  <c r="AA37" i="21" s="1"/>
  <c r="AA26" i="21"/>
  <c r="AB14" i="21"/>
  <c r="U40" i="21"/>
  <c r="U13" i="21"/>
  <c r="AB13" i="21"/>
  <c r="S35" i="21"/>
  <c r="J37" i="21"/>
  <c r="W37" i="21"/>
  <c r="H15" i="21"/>
  <c r="AB15" i="21" s="1"/>
  <c r="J17" i="21"/>
  <c r="AC19" i="21"/>
  <c r="W39" i="21"/>
  <c r="AC14" i="21"/>
  <c r="W30" i="21"/>
  <c r="S46" i="21"/>
  <c r="H45" i="21"/>
  <c r="U45" i="21" s="1"/>
  <c r="F29" i="21"/>
  <c r="S29" i="21"/>
  <c r="F13" i="21"/>
  <c r="AC38" i="21"/>
  <c r="H32" i="21"/>
  <c r="AB32" i="21" s="1"/>
  <c r="U32" i="21"/>
  <c r="H9" i="21"/>
  <c r="AB9" i="21"/>
  <c r="J9" i="21"/>
  <c r="W9" i="21"/>
  <c r="J32" i="21"/>
  <c r="W32" i="21"/>
  <c r="F32" i="21"/>
  <c r="AA32" i="21" s="1"/>
  <c r="S32" i="21"/>
  <c r="AA31" i="21"/>
  <c r="U17" i="21"/>
  <c r="W29" i="21"/>
  <c r="S19" i="21"/>
  <c r="S9" i="21"/>
  <c r="AA9" i="21"/>
  <c r="K141" i="21"/>
  <c r="K144" i="21"/>
  <c r="K143" i="21"/>
  <c r="U27" i="21"/>
  <c r="AB44" i="21"/>
  <c r="AA30" i="21"/>
  <c r="W13" i="21"/>
  <c r="W42" i="21"/>
  <c r="F10" i="21"/>
  <c r="S10" i="21" s="1"/>
  <c r="AA10" i="21"/>
  <c r="K145" i="21"/>
  <c r="AA29" i="21"/>
  <c r="W31" i="21"/>
  <c r="S27" i="21"/>
  <c r="AA15" i="21"/>
  <c r="AC27" i="21"/>
  <c r="AC26" i="21"/>
  <c r="S28" i="21"/>
  <c r="AC34" i="21"/>
  <c r="AB36" i="21"/>
  <c r="W30" i="40"/>
  <c r="C19" i="39"/>
  <c r="C15" i="40"/>
  <c r="C17" i="40"/>
  <c r="C23" i="40"/>
  <c r="C21" i="40"/>
  <c r="U30" i="40"/>
  <c r="B56" i="43"/>
  <c r="B67" i="43"/>
  <c r="B51" i="43"/>
  <c r="B54" i="43"/>
  <c r="B58" i="43"/>
  <c r="B62" i="43"/>
  <c r="B65" i="43"/>
  <c r="B69" i="43"/>
  <c r="D23" i="15"/>
  <c r="D22" i="15"/>
  <c r="F30" i="11"/>
  <c r="C48" i="11" s="1"/>
  <c r="F28" i="67"/>
  <c r="M18" i="67"/>
  <c r="F32" i="67"/>
  <c r="F60" i="67" s="1"/>
  <c r="M18" i="15"/>
  <c r="F28" i="15"/>
  <c r="AA39" i="40"/>
  <c r="S12" i="33"/>
  <c r="AA12" i="33"/>
  <c r="J32" i="39"/>
  <c r="AC32" i="39" s="1"/>
  <c r="H32" i="39"/>
  <c r="AA32" i="39"/>
  <c r="S32" i="39"/>
  <c r="AB21" i="39"/>
  <c r="AC17" i="37"/>
  <c r="S17" i="37"/>
  <c r="J19" i="37"/>
  <c r="S19" i="37"/>
  <c r="AA19" i="37"/>
  <c r="J23" i="37"/>
  <c r="J10" i="37"/>
  <c r="W10" i="37"/>
  <c r="H11" i="37"/>
  <c r="AB11" i="37" s="1"/>
  <c r="H11" i="34"/>
  <c r="U11" i="34"/>
  <c r="J10" i="34"/>
  <c r="AC10" i="34" s="1"/>
  <c r="W35" i="33"/>
  <c r="I111" i="33"/>
  <c r="J111" i="33" s="1"/>
  <c r="K111" i="33" s="1"/>
  <c r="L111" i="33"/>
  <c r="M111" i="33"/>
  <c r="J36" i="33"/>
  <c r="W36" i="33"/>
  <c r="H36" i="33"/>
  <c r="AB36" i="33" s="1"/>
  <c r="U36" i="33"/>
  <c r="U27" i="33"/>
  <c r="AB27" i="33"/>
  <c r="J27" i="33"/>
  <c r="U25" i="33"/>
  <c r="AB25" i="33"/>
  <c r="G87" i="33"/>
  <c r="H87" i="33" s="1"/>
  <c r="I87" i="33" s="1"/>
  <c r="J87" i="33" s="1"/>
  <c r="K87" i="33" s="1"/>
  <c r="L87" i="33" s="1"/>
  <c r="M87" i="33" s="1"/>
  <c r="J25" i="33"/>
  <c r="W25" i="33" s="1"/>
  <c r="AB23" i="33"/>
  <c r="F23" i="33"/>
  <c r="AA23" i="33" s="1"/>
  <c r="G85" i="33"/>
  <c r="AC23" i="33"/>
  <c r="H19" i="33"/>
  <c r="AB19" i="33" s="1"/>
  <c r="H17" i="33"/>
  <c r="F17" i="33"/>
  <c r="AA17" i="33" s="1"/>
  <c r="AA23" i="21"/>
  <c r="J23" i="21"/>
  <c r="AC23" i="21"/>
  <c r="H23" i="21"/>
  <c r="AB23" i="21" s="1"/>
  <c r="AP7" i="1"/>
  <c r="C36" i="69" s="1"/>
  <c r="U9" i="21"/>
  <c r="W23" i="37"/>
  <c r="AC23" i="37"/>
  <c r="J11" i="37"/>
  <c r="AC11" i="37"/>
  <c r="J11" i="34"/>
  <c r="AC11" i="34" s="1"/>
  <c r="AC25" i="33"/>
  <c r="S23" i="33"/>
  <c r="U17" i="33"/>
  <c r="AB17" i="33"/>
  <c r="U23" i="21"/>
  <c r="H109" i="9"/>
  <c r="H112" i="9"/>
  <c r="D21" i="53"/>
  <c r="B39" i="72" s="1"/>
  <c r="H111" i="9"/>
  <c r="D126" i="9"/>
  <c r="AD3" i="71"/>
  <c r="P29" i="43" s="1"/>
  <c r="J1" i="73"/>
  <c r="H50" i="43"/>
  <c r="C22" i="71"/>
  <c r="D22" i="71" s="1"/>
  <c r="D23" i="71"/>
  <c r="D24" i="71"/>
  <c r="U24" i="71"/>
  <c r="S24" i="71"/>
  <c r="T24" i="71"/>
  <c r="AB22" i="71"/>
  <c r="X20" i="71"/>
  <c r="X19" i="71"/>
  <c r="AA20" i="71"/>
  <c r="AA19" i="71"/>
  <c r="X23" i="71"/>
  <c r="Y19" i="71"/>
  <c r="Z19" i="71" s="1"/>
  <c r="AB20" i="71"/>
  <c r="AB19" i="71"/>
  <c r="S20" i="71"/>
  <c r="Y20" i="71"/>
  <c r="Z20" i="71"/>
  <c r="X3" i="71"/>
  <c r="C21" i="68"/>
  <c r="C40" i="68"/>
  <c r="U31" i="40"/>
  <c r="AB31" i="40"/>
  <c r="AZ520" i="3"/>
  <c r="AZ504" i="3"/>
  <c r="S37" i="37"/>
  <c r="AA37" i="37"/>
  <c r="AC17" i="21"/>
  <c r="W17" i="21"/>
  <c r="S20" i="36"/>
  <c r="AZ17" i="3"/>
  <c r="U37" i="39"/>
  <c r="AB37" i="39"/>
  <c r="U43" i="33"/>
  <c r="AB43" i="33"/>
  <c r="AZ567" i="3"/>
  <c r="AZ575" i="3"/>
  <c r="S35" i="35"/>
  <c r="AA35" i="35"/>
  <c r="W47" i="34"/>
  <c r="AC47" i="34"/>
  <c r="W31" i="33"/>
  <c r="AC31" i="33"/>
  <c r="AB29" i="21"/>
  <c r="U29" i="21"/>
  <c r="AC16" i="35"/>
  <c r="W16" i="35"/>
  <c r="F45" i="21"/>
  <c r="J45" i="21"/>
  <c r="AZ343" i="3"/>
  <c r="AA17" i="21"/>
  <c r="S17" i="21"/>
  <c r="U33" i="40"/>
  <c r="AB33" i="40"/>
  <c r="AC25" i="36"/>
  <c r="W25" i="36"/>
  <c r="AA14" i="33"/>
  <c r="S14" i="33"/>
  <c r="AC26" i="36"/>
  <c r="W26" i="36"/>
  <c r="AC25" i="34"/>
  <c r="W25" i="34"/>
  <c r="W15" i="40"/>
  <c r="AC15" i="40"/>
  <c r="AB24" i="36"/>
  <c r="U24" i="36"/>
  <c r="J13" i="36"/>
  <c r="W13" i="36" s="1"/>
  <c r="F13" i="36"/>
  <c r="H27" i="40"/>
  <c r="AB27" i="40" s="1"/>
  <c r="F27" i="40"/>
  <c r="S27" i="40" s="1"/>
  <c r="J27" i="40"/>
  <c r="AC27" i="40" s="1"/>
  <c r="J31" i="40"/>
  <c r="F31" i="40"/>
  <c r="BL547" i="3"/>
  <c r="BA547" i="3"/>
  <c r="AZ547" i="3" s="1"/>
  <c r="BL546" i="3"/>
  <c r="BA546" i="3"/>
  <c r="AZ546" i="3"/>
  <c r="BA544" i="3"/>
  <c r="BA543" i="3"/>
  <c r="AZ543" i="3" s="1"/>
  <c r="BL542" i="3"/>
  <c r="AZ542" i="3"/>
  <c r="BL541" i="3"/>
  <c r="BA541" i="3"/>
  <c r="BL540" i="3"/>
  <c r="BA540" i="3"/>
  <c r="AZ540" i="3" s="1"/>
  <c r="BL539" i="3"/>
  <c r="AZ539" i="3" s="1"/>
  <c r="BA539" i="3"/>
  <c r="BL538" i="3"/>
  <c r="AZ538" i="3" s="1"/>
  <c r="BL537" i="3"/>
  <c r="AZ537" i="3" s="1"/>
  <c r="BL536" i="3"/>
  <c r="BA536" i="3"/>
  <c r="AZ536" i="3"/>
  <c r="BA535" i="3"/>
  <c r="BL534" i="3"/>
  <c r="AZ534" i="3" s="1"/>
  <c r="BL533" i="3"/>
  <c r="BA533" i="3"/>
  <c r="BL532" i="3"/>
  <c r="BA532" i="3"/>
  <c r="BL531" i="3"/>
  <c r="BA531" i="3"/>
  <c r="BL530" i="3"/>
  <c r="AZ530" i="3" s="1"/>
  <c r="BL529" i="3"/>
  <c r="BL528" i="3"/>
  <c r="AZ528" i="3" s="1"/>
  <c r="BA528" i="3"/>
  <c r="BA527" i="3"/>
  <c r="AZ527" i="3"/>
  <c r="BA526" i="3"/>
  <c r="AZ526" i="3" s="1"/>
  <c r="BL525" i="3"/>
  <c r="BA525" i="3"/>
  <c r="BL524" i="3"/>
  <c r="AZ524" i="3" s="1"/>
  <c r="BA524" i="3"/>
  <c r="BL523" i="3"/>
  <c r="AZ523" i="3" s="1"/>
  <c r="BA523" i="3"/>
  <c r="BL522" i="3"/>
  <c r="BA522" i="3"/>
  <c r="AZ522" i="3"/>
  <c r="BL521" i="3"/>
  <c r="AZ521" i="3" s="1"/>
  <c r="BL520" i="3"/>
  <c r="BL519" i="3"/>
  <c r="AZ519" i="3" s="1"/>
  <c r="BL518" i="3"/>
  <c r="BA518" i="3"/>
  <c r="BL517" i="3"/>
  <c r="BA517" i="3"/>
  <c r="AZ517" i="3"/>
  <c r="BL516" i="3"/>
  <c r="AZ516" i="3" s="1"/>
  <c r="BA516" i="3"/>
  <c r="BA515" i="3"/>
  <c r="AZ515" i="3"/>
  <c r="BL514" i="3"/>
  <c r="AZ514" i="3" s="1"/>
  <c r="BA514" i="3"/>
  <c r="BA513" i="3"/>
  <c r="BL512" i="3"/>
  <c r="BA512" i="3"/>
  <c r="AZ512" i="3"/>
  <c r="BL511" i="3"/>
  <c r="AZ511" i="3" s="1"/>
  <c r="BL510" i="3"/>
  <c r="BL509" i="3"/>
  <c r="AZ509" i="3"/>
  <c r="BA508" i="3"/>
  <c r="BA507" i="3"/>
  <c r="AZ507" i="3"/>
  <c r="BL506" i="3"/>
  <c r="BA506" i="3"/>
  <c r="AZ506" i="3"/>
  <c r="BL505" i="3"/>
  <c r="AZ505" i="3" s="1"/>
  <c r="BA505" i="3"/>
  <c r="BA503" i="3"/>
  <c r="AZ503" i="3" s="1"/>
  <c r="BL502" i="3"/>
  <c r="BA502" i="3"/>
  <c r="AZ502" i="3"/>
  <c r="BL501" i="3"/>
  <c r="BL500" i="3"/>
  <c r="BA500" i="3"/>
  <c r="AZ500" i="3"/>
  <c r="BA499" i="3"/>
  <c r="AZ499" i="3" s="1"/>
  <c r="BP5" i="3"/>
  <c r="BK5" i="3"/>
  <c r="BC5" i="3"/>
  <c r="BT5" i="3"/>
  <c r="BL497" i="3"/>
  <c r="BA497" i="3"/>
  <c r="AZ497" i="3" s="1"/>
  <c r="BL496" i="3"/>
  <c r="BO5" i="3"/>
  <c r="BF5" i="3"/>
  <c r="BA496" i="3"/>
  <c r="BB5" i="3"/>
  <c r="BS5" i="3"/>
  <c r="BL495" i="3"/>
  <c r="BA495" i="3"/>
  <c r="BI5" i="3"/>
  <c r="BA494" i="3"/>
  <c r="AZ494" i="3"/>
  <c r="BE5" i="3"/>
  <c r="AC5" i="3"/>
  <c r="G494" i="3"/>
  <c r="BR5" i="3"/>
  <c r="BM5" i="3"/>
  <c r="BL493" i="3"/>
  <c r="BH5" i="3"/>
  <c r="BD5" i="3"/>
  <c r="G493" i="3"/>
  <c r="H5" i="3"/>
  <c r="AZ510" i="3"/>
  <c r="W41" i="39"/>
  <c r="AC41" i="39"/>
  <c r="AC9" i="21"/>
  <c r="S23" i="37"/>
  <c r="AA23" i="37"/>
  <c r="F48" i="9"/>
  <c r="O52" i="9"/>
  <c r="F31" i="12"/>
  <c r="C31" i="12" s="1"/>
  <c r="F30" i="69"/>
  <c r="C30" i="69" s="1"/>
  <c r="D68" i="9"/>
  <c r="F30" i="68"/>
  <c r="F48" i="68"/>
  <c r="F52" i="9"/>
  <c r="F32" i="15"/>
  <c r="F60" i="15"/>
  <c r="F54" i="9"/>
  <c r="AB12" i="39"/>
  <c r="AA15" i="39"/>
  <c r="S15" i="39"/>
  <c r="W12" i="37"/>
  <c r="AC12" i="37"/>
  <c r="AA22" i="36"/>
  <c r="S22" i="36"/>
  <c r="AB25" i="21"/>
  <c r="U25" i="21"/>
  <c r="BQ5" i="3"/>
  <c r="F28" i="6"/>
  <c r="E28" i="6" s="1"/>
  <c r="BA493" i="3"/>
  <c r="AZ493" i="3" s="1"/>
  <c r="U25" i="36"/>
  <c r="AB25" i="36"/>
  <c r="S31" i="34"/>
  <c r="AA31" i="34"/>
  <c r="H13" i="36"/>
  <c r="U46" i="21"/>
  <c r="AB46" i="21"/>
  <c r="W28" i="34"/>
  <c r="AC28" i="34"/>
  <c r="U28" i="34"/>
  <c r="AB28" i="34"/>
  <c r="W23" i="21"/>
  <c r="AB32" i="39"/>
  <c r="U32" i="39"/>
  <c r="AC46" i="34"/>
  <c r="U32" i="40"/>
  <c r="AA21" i="39"/>
  <c r="S21" i="39"/>
  <c r="U25" i="39"/>
  <c r="S37" i="39"/>
  <c r="AB34" i="33"/>
  <c r="U34" i="33"/>
  <c r="BN5" i="3"/>
  <c r="G29" i="6"/>
  <c r="S15" i="37"/>
  <c r="AA15" i="37"/>
  <c r="W25" i="21"/>
  <c r="AC25" i="21"/>
  <c r="AZ565" i="3"/>
  <c r="BA498" i="3"/>
  <c r="AA14" i="40"/>
  <c r="S14" i="40"/>
  <c r="U25" i="35"/>
  <c r="AB25" i="35"/>
  <c r="AB29" i="33"/>
  <c r="U29" i="33"/>
  <c r="W31" i="34"/>
  <c r="AC31" i="34"/>
  <c r="AA15" i="34"/>
  <c r="S15" i="34"/>
  <c r="AB23" i="40"/>
  <c r="U23" i="40"/>
  <c r="W45" i="39"/>
  <c r="AC45" i="39"/>
  <c r="AC8" i="40"/>
  <c r="W8" i="40"/>
  <c r="W9" i="40"/>
  <c r="AC9" i="40"/>
  <c r="S34" i="21"/>
  <c r="F12" i="21"/>
  <c r="S12" i="21" s="1"/>
  <c r="J12" i="21"/>
  <c r="AC12" i="21" s="1"/>
  <c r="H12" i="21"/>
  <c r="B94" i="43"/>
  <c r="B73" i="43"/>
  <c r="C21" i="39"/>
  <c r="F9" i="34"/>
  <c r="AA9" i="34"/>
  <c r="J9" i="34"/>
  <c r="H9" i="34"/>
  <c r="E82" i="34"/>
  <c r="F82" i="34"/>
  <c r="G82" i="34" s="1"/>
  <c r="F19" i="34"/>
  <c r="J19" i="34"/>
  <c r="W19" i="34" s="1"/>
  <c r="J34" i="35"/>
  <c r="W34" i="35" s="1"/>
  <c r="F34" i="35"/>
  <c r="D6" i="52"/>
  <c r="AC34" i="33"/>
  <c r="S31" i="39"/>
  <c r="AC11" i="39"/>
  <c r="W35" i="40"/>
  <c r="S29" i="35"/>
  <c r="AA29" i="35"/>
  <c r="U34" i="35"/>
  <c r="W11" i="35"/>
  <c r="AC11" i="35"/>
  <c r="AC36" i="39"/>
  <c r="W36" i="39"/>
  <c r="G587" i="3"/>
  <c r="B99" i="43"/>
  <c r="B76" i="43"/>
  <c r="C27" i="39"/>
  <c r="AC40" i="33"/>
  <c r="W40" i="33"/>
  <c r="E80" i="34"/>
  <c r="F80" i="34"/>
  <c r="G80" i="34" s="1"/>
  <c r="J17" i="34"/>
  <c r="H23" i="35"/>
  <c r="J23" i="35"/>
  <c r="W23" i="35" s="1"/>
  <c r="J12" i="36"/>
  <c r="W12" i="36" s="1"/>
  <c r="F12" i="36"/>
  <c r="AA12" i="36" s="1"/>
  <c r="J43" i="39"/>
  <c r="F43" i="39"/>
  <c r="AA43" i="39" s="1"/>
  <c r="AA40" i="40"/>
  <c r="S40" i="40"/>
  <c r="BL574" i="3"/>
  <c r="AZ574" i="3"/>
  <c r="BL572" i="3"/>
  <c r="AZ572" i="3"/>
  <c r="G568" i="3"/>
  <c r="BL498" i="3"/>
  <c r="H45" i="34"/>
  <c r="F45" i="34"/>
  <c r="AA45" i="34" s="1"/>
  <c r="F13" i="35"/>
  <c r="H13" i="35"/>
  <c r="AB13" i="35" s="1"/>
  <c r="J9" i="36"/>
  <c r="H9" i="36"/>
  <c r="AB9" i="36" s="1"/>
  <c r="AC31" i="37"/>
  <c r="W31" i="37"/>
  <c r="BL585" i="3"/>
  <c r="AZ585" i="3"/>
  <c r="J12" i="34"/>
  <c r="H12" i="34"/>
  <c r="U12" i="34" s="1"/>
  <c r="U12" i="36"/>
  <c r="AB12" i="36"/>
  <c r="J33" i="36"/>
  <c r="W33" i="36" s="1"/>
  <c r="AC33" i="36"/>
  <c r="F33" i="36"/>
  <c r="J26" i="37"/>
  <c r="AC26" i="37" s="1"/>
  <c r="F26" i="37"/>
  <c r="F28" i="37"/>
  <c r="S28" i="37" s="1"/>
  <c r="H28" i="37"/>
  <c r="AB9" i="39"/>
  <c r="U9" i="39"/>
  <c r="AA38" i="39"/>
  <c r="S38" i="39"/>
  <c r="F38" i="40"/>
  <c r="J38" i="40"/>
  <c r="H38" i="40"/>
  <c r="AB38" i="40" s="1"/>
  <c r="BA550" i="3"/>
  <c r="AZ550" i="3"/>
  <c r="AZ404" i="3"/>
  <c r="AZ464" i="3"/>
  <c r="AZ467" i="3"/>
  <c r="AZ472" i="3"/>
  <c r="AZ475" i="3"/>
  <c r="AZ479" i="3"/>
  <c r="AZ483" i="3"/>
  <c r="G582" i="3"/>
  <c r="G552" i="3"/>
  <c r="AZ405" i="3"/>
  <c r="AZ422" i="3"/>
  <c r="AZ435" i="3"/>
  <c r="AZ445" i="3"/>
  <c r="AZ454" i="3"/>
  <c r="AZ462" i="3"/>
  <c r="AZ468" i="3"/>
  <c r="AZ416" i="3"/>
  <c r="AZ418" i="3"/>
  <c r="AZ430" i="3"/>
  <c r="AZ447" i="3"/>
  <c r="A15" i="62"/>
  <c r="B61" i="72" s="1"/>
  <c r="BA491" i="3"/>
  <c r="AZ491" i="3"/>
  <c r="BA315" i="3"/>
  <c r="AZ315" i="3" s="1"/>
  <c r="BA319" i="3"/>
  <c r="AZ319" i="3"/>
  <c r="BL332" i="3"/>
  <c r="AZ332" i="3" s="1"/>
  <c r="BL346" i="3"/>
  <c r="AZ346" i="3"/>
  <c r="BL350" i="3"/>
  <c r="AZ350" i="3" s="1"/>
  <c r="G351" i="3"/>
  <c r="BA366" i="3"/>
  <c r="AZ366" i="3"/>
  <c r="BA374" i="3"/>
  <c r="AZ374" i="3" s="1"/>
  <c r="G382" i="3"/>
  <c r="BA386" i="3"/>
  <c r="AZ386" i="3" s="1"/>
  <c r="AZ216" i="3"/>
  <c r="AZ262" i="3"/>
  <c r="AZ264" i="3"/>
  <c r="AZ274" i="3"/>
  <c r="AZ277" i="3"/>
  <c r="AZ300" i="3"/>
  <c r="AZ129" i="3"/>
  <c r="AZ137" i="3"/>
  <c r="AZ211" i="3"/>
  <c r="AZ219" i="3"/>
  <c r="BA489" i="3"/>
  <c r="AZ489" i="3" s="1"/>
  <c r="BA303" i="3"/>
  <c r="AZ303" i="3"/>
  <c r="BL316" i="3"/>
  <c r="AZ316" i="3" s="1"/>
  <c r="BA331" i="3"/>
  <c r="AZ331" i="3"/>
  <c r="BA335" i="3"/>
  <c r="AZ335" i="3" s="1"/>
  <c r="BA350" i="3"/>
  <c r="BL367" i="3"/>
  <c r="AZ367" i="3" s="1"/>
  <c r="G380" i="3"/>
  <c r="G384" i="3"/>
  <c r="G387" i="3"/>
  <c r="AZ208" i="3"/>
  <c r="AZ210" i="3"/>
  <c r="AZ230" i="3"/>
  <c r="AZ242" i="3"/>
  <c r="AZ244" i="3"/>
  <c r="AZ247" i="3"/>
  <c r="AZ284" i="3"/>
  <c r="AZ293" i="3"/>
  <c r="AZ294" i="3"/>
  <c r="AZ122" i="3"/>
  <c r="AZ141" i="3"/>
  <c r="BA158" i="3"/>
  <c r="AZ158" i="3" s="1"/>
  <c r="G162" i="3"/>
  <c r="BL170" i="3"/>
  <c r="G171" i="3"/>
  <c r="BA173" i="3"/>
  <c r="AZ173" i="3"/>
  <c r="BL177" i="3"/>
  <c r="AZ177" i="3"/>
  <c r="BL179" i="3"/>
  <c r="AZ179" i="3"/>
  <c r="G180" i="3"/>
  <c r="BL183" i="3"/>
  <c r="AZ183" i="3" s="1"/>
  <c r="G194" i="3"/>
  <c r="BL197" i="3"/>
  <c r="AZ197" i="3"/>
  <c r="G200" i="3"/>
  <c r="AZ18" i="3"/>
  <c r="AZ40" i="3"/>
  <c r="AZ46" i="3"/>
  <c r="AZ81" i="3"/>
  <c r="AZ92" i="3"/>
  <c r="AZ98" i="3"/>
  <c r="AZ99" i="3"/>
  <c r="BA161" i="3"/>
  <c r="AZ161" i="3" s="1"/>
  <c r="BA172" i="3"/>
  <c r="AZ172" i="3" s="1"/>
  <c r="BL182" i="3"/>
  <c r="AZ182" i="3"/>
  <c r="AZ185" i="3"/>
  <c r="BL153" i="3"/>
  <c r="AZ153" i="3"/>
  <c r="BL159" i="3"/>
  <c r="AZ159" i="3" s="1"/>
  <c r="G168" i="3"/>
  <c r="BA170" i="3"/>
  <c r="BA176" i="3"/>
  <c r="AZ176" i="3" s="1"/>
  <c r="BA178" i="3"/>
  <c r="AZ178" i="3"/>
  <c r="BA184" i="3"/>
  <c r="AZ184" i="3" s="1"/>
  <c r="BL191" i="3"/>
  <c r="AZ191" i="3"/>
  <c r="BA193" i="3"/>
  <c r="AZ193" i="3" s="1"/>
  <c r="BA204" i="3"/>
  <c r="AZ204" i="3"/>
  <c r="AZ205" i="3"/>
  <c r="AZ23" i="3"/>
  <c r="BL26" i="3"/>
  <c r="AZ26" i="3"/>
  <c r="AZ30" i="3"/>
  <c r="AZ36" i="3"/>
  <c r="AZ60" i="3"/>
  <c r="AZ65" i="3"/>
  <c r="AZ70" i="3"/>
  <c r="AZ76" i="3"/>
  <c r="T64" i="71"/>
  <c r="D64" i="71"/>
  <c r="C39" i="71"/>
  <c r="D38" i="71"/>
  <c r="P65" i="71"/>
  <c r="P66" i="71"/>
  <c r="D30" i="71"/>
  <c r="C31" i="71"/>
  <c r="C32" i="71" s="1"/>
  <c r="D32" i="71" s="1"/>
  <c r="Q66" i="71"/>
  <c r="Q65" i="71"/>
  <c r="C7" i="34"/>
  <c r="C7" i="82"/>
  <c r="G7" i="82" s="1"/>
  <c r="D46" i="71"/>
  <c r="C47" i="71"/>
  <c r="D47" i="71"/>
  <c r="S25" i="40"/>
  <c r="B57" i="43"/>
  <c r="AA18" i="36"/>
  <c r="B28" i="71"/>
  <c r="S28" i="71" s="1"/>
  <c r="X26" i="71"/>
  <c r="AB10" i="71"/>
  <c r="E23" i="71"/>
  <c r="E22" i="71"/>
  <c r="E21" i="71" s="1"/>
  <c r="E20" i="71" s="1"/>
  <c r="V24" i="71"/>
  <c r="X21" i="71"/>
  <c r="AA18" i="71"/>
  <c r="X18" i="71"/>
  <c r="X14" i="71"/>
  <c r="X17" i="71"/>
  <c r="E27" i="71"/>
  <c r="E26" i="71" s="1"/>
  <c r="X28" i="71"/>
  <c r="F30" i="71"/>
  <c r="F31" i="71" s="1"/>
  <c r="F32" i="71" s="1"/>
  <c r="V32" i="71" s="1"/>
  <c r="E34" i="71"/>
  <c r="E35" i="71"/>
  <c r="E36" i="71" s="1"/>
  <c r="U36" i="71" s="1"/>
  <c r="AA33" i="71"/>
  <c r="X33" i="71"/>
  <c r="X34" i="71"/>
  <c r="AB35" i="71"/>
  <c r="Y9" i="71"/>
  <c r="Z9" i="71"/>
  <c r="Y10" i="71"/>
  <c r="Z10" i="71" s="1"/>
  <c r="Y39" i="71"/>
  <c r="Z39" i="71"/>
  <c r="B75" i="71"/>
  <c r="B74" i="71"/>
  <c r="AA24" i="71"/>
  <c r="Y21" i="71"/>
  <c r="Z21" i="71"/>
  <c r="AB23" i="71"/>
  <c r="AB21" i="71"/>
  <c r="Y14" i="71"/>
  <c r="Z14" i="71"/>
  <c r="U29" i="39"/>
  <c r="Y31" i="71"/>
  <c r="Z31" i="71"/>
  <c r="AB36" i="71"/>
  <c r="AB24" i="71"/>
  <c r="AA22" i="71"/>
  <c r="Y18" i="71"/>
  <c r="Z18" i="71"/>
  <c r="AA12" i="71"/>
  <c r="AA17" i="71"/>
  <c r="AA28" i="71"/>
  <c r="AA3" i="71"/>
  <c r="Q68" i="71"/>
  <c r="X25" i="71"/>
  <c r="Y28" i="71"/>
  <c r="Z28" i="71"/>
  <c r="E31" i="71"/>
  <c r="E32" i="71" s="1"/>
  <c r="U32" i="71" s="1"/>
  <c r="X9" i="71"/>
  <c r="X10" i="71"/>
  <c r="AA9" i="71"/>
  <c r="AA10" i="71"/>
  <c r="C43" i="71"/>
  <c r="C44" i="71" s="1"/>
  <c r="Y25" i="71"/>
  <c r="Z25" i="71" s="1"/>
  <c r="Y27" i="71"/>
  <c r="Z27" i="71" s="1"/>
  <c r="X24" i="71"/>
  <c r="Y17" i="71"/>
  <c r="Z17" i="71"/>
  <c r="AB17" i="71"/>
  <c r="AB14" i="71"/>
  <c r="Y24" i="71"/>
  <c r="Z24" i="71"/>
  <c r="AA21" i="71"/>
  <c r="AB18" i="71"/>
  <c r="X12" i="71"/>
  <c r="Y12" i="71"/>
  <c r="Z12" i="71" s="1"/>
  <c r="Y23" i="71"/>
  <c r="Z23" i="71" s="1"/>
  <c r="AA23" i="71"/>
  <c r="X22" i="71"/>
  <c r="AA15" i="71"/>
  <c r="AB12" i="71"/>
  <c r="AA14" i="71"/>
  <c r="X13" i="71"/>
  <c r="Y13" i="71"/>
  <c r="Z13" i="71" s="1"/>
  <c r="AB9" i="71"/>
  <c r="N56" i="9"/>
  <c r="AB15" i="71"/>
  <c r="AB13" i="71"/>
  <c r="AA11" i="71"/>
  <c r="X11" i="71"/>
  <c r="Y11" i="71"/>
  <c r="Z11" i="71" s="1"/>
  <c r="Y22" i="71"/>
  <c r="Z22" i="71" s="1"/>
  <c r="X15" i="71"/>
  <c r="AB11" i="71"/>
  <c r="AA13" i="71"/>
  <c r="U38" i="34"/>
  <c r="U21" i="34"/>
  <c r="W44" i="34"/>
  <c r="AB41" i="34"/>
  <c r="AC40" i="34"/>
  <c r="S44" i="34"/>
  <c r="AA42" i="34"/>
  <c r="F112" i="34"/>
  <c r="G112" i="34" s="1"/>
  <c r="H112" i="34" s="1"/>
  <c r="I112" i="34" s="1"/>
  <c r="J112" i="34" s="1"/>
  <c r="K112" i="34" s="1"/>
  <c r="L112" i="34" s="1"/>
  <c r="M112" i="34" s="1"/>
  <c r="AB36" i="34"/>
  <c r="U44" i="34"/>
  <c r="AA36" i="34"/>
  <c r="AB35" i="34"/>
  <c r="AA33" i="34"/>
  <c r="W8" i="34"/>
  <c r="AA21" i="34"/>
  <c r="U19" i="34"/>
  <c r="AB17" i="34"/>
  <c r="W41" i="34"/>
  <c r="AA41" i="34"/>
  <c r="AA40" i="34"/>
  <c r="S39" i="34"/>
  <c r="AA38" i="34"/>
  <c r="W43" i="34"/>
  <c r="AA43" i="34"/>
  <c r="AC36" i="34"/>
  <c r="S35" i="34"/>
  <c r="C40" i="69"/>
  <c r="D19" i="53"/>
  <c r="D16" i="53"/>
  <c r="D17" i="53" s="1"/>
  <c r="B36" i="72" s="1"/>
  <c r="C28" i="67"/>
  <c r="C7" i="21"/>
  <c r="H83" i="43"/>
  <c r="D74" i="43"/>
  <c r="E50" i="43"/>
  <c r="B48" i="43" s="1"/>
  <c r="H78" i="43"/>
  <c r="AC32" i="36"/>
  <c r="W31" i="36"/>
  <c r="AC34" i="36"/>
  <c r="AA31" i="36"/>
  <c r="S28" i="36"/>
  <c r="S30" i="36"/>
  <c r="S29" i="36"/>
  <c r="W8" i="36"/>
  <c r="AB8" i="36"/>
  <c r="W11" i="36"/>
  <c r="S8" i="36"/>
  <c r="AB11" i="36"/>
  <c r="AB10" i="35"/>
  <c r="U30" i="35"/>
  <c r="AA30" i="35"/>
  <c r="W32" i="35"/>
  <c r="W33" i="35"/>
  <c r="AA9" i="35"/>
  <c r="S8" i="35"/>
  <c r="U11" i="35"/>
  <c r="AB37" i="21"/>
  <c r="AC37" i="21"/>
  <c r="S33" i="21"/>
  <c r="AC36" i="33"/>
  <c r="S33" i="37"/>
  <c r="AC9" i="37"/>
  <c r="W11" i="37"/>
  <c r="AA8" i="37"/>
  <c r="AA9" i="37"/>
  <c r="AA12" i="37"/>
  <c r="AB9" i="37"/>
  <c r="U11" i="37"/>
  <c r="U12" i="37"/>
  <c r="AC8" i="37"/>
  <c r="S9" i="34"/>
  <c r="U33" i="21"/>
  <c r="AB13" i="33"/>
  <c r="S8" i="33"/>
  <c r="U8" i="33"/>
  <c r="W8" i="21"/>
  <c r="S8" i="21"/>
  <c r="AA11" i="21"/>
  <c r="AC11" i="21"/>
  <c r="AB11" i="21"/>
  <c r="F53" i="9"/>
  <c r="C5" i="11"/>
  <c r="C4" i="12"/>
  <c r="I4" i="6"/>
  <c r="L19" i="6"/>
  <c r="L27" i="6" s="1"/>
  <c r="M6" i="1"/>
  <c r="O6" i="1"/>
  <c r="T13" i="1"/>
  <c r="C58" i="21"/>
  <c r="D58" i="21" s="1"/>
  <c r="C58" i="33"/>
  <c r="D58" i="33" s="1"/>
  <c r="E58" i="33" s="1"/>
  <c r="C28" i="15"/>
  <c r="W10" i="36"/>
  <c r="U10" i="36"/>
  <c r="S10" i="36"/>
  <c r="AA10" i="35"/>
  <c r="W10" i="35"/>
  <c r="U10" i="37"/>
  <c r="S10" i="37"/>
  <c r="AC10" i="37"/>
  <c r="W10" i="34"/>
  <c r="U10" i="34"/>
  <c r="S10" i="34"/>
  <c r="AA10" i="33"/>
  <c r="AC10" i="33"/>
  <c r="AB10" i="33"/>
  <c r="U10" i="21"/>
  <c r="W10" i="21"/>
  <c r="AB27" i="36"/>
  <c r="S27" i="36"/>
  <c r="AC27" i="36"/>
  <c r="AC8" i="35"/>
  <c r="U8" i="35"/>
  <c r="H26" i="35"/>
  <c r="AB26" i="35" s="1"/>
  <c r="F26" i="35"/>
  <c r="J26" i="35"/>
  <c r="W33" i="37"/>
  <c r="AA11" i="37"/>
  <c r="AB11" i="34"/>
  <c r="AA11" i="34"/>
  <c r="AC32" i="21"/>
  <c r="AB8" i="21"/>
  <c r="P74" i="67"/>
  <c r="H58" i="43"/>
  <c r="H51" i="43"/>
  <c r="H56" i="43"/>
  <c r="D72" i="43"/>
  <c r="D76" i="43"/>
  <c r="D80" i="43"/>
  <c r="P61" i="15"/>
  <c r="C94" i="9"/>
  <c r="C92" i="9"/>
  <c r="C48" i="68"/>
  <c r="C30" i="68"/>
  <c r="C30" i="11"/>
  <c r="C21" i="69"/>
  <c r="J84" i="43"/>
  <c r="J85" i="43"/>
  <c r="J86" i="43"/>
  <c r="J87" i="43"/>
  <c r="J88" i="43"/>
  <c r="J89" i="43"/>
  <c r="J90" i="43"/>
  <c r="D83" i="43"/>
  <c r="E83" i="43"/>
  <c r="B81" i="43" s="1"/>
  <c r="D69" i="43"/>
  <c r="D73" i="43"/>
  <c r="D75" i="43"/>
  <c r="D79" i="43"/>
  <c r="D22" i="67"/>
  <c r="AQ13" i="1"/>
  <c r="E8" i="6"/>
  <c r="P11" i="1"/>
  <c r="D19" i="12"/>
  <c r="C19" i="12" s="1"/>
  <c r="O9" i="1"/>
  <c r="P9" i="1"/>
  <c r="O12" i="1"/>
  <c r="P12" i="1"/>
  <c r="O8" i="1"/>
  <c r="P8" i="1"/>
  <c r="H73" i="43"/>
  <c r="H90" i="43"/>
  <c r="O23" i="43"/>
  <c r="I18" i="43"/>
  <c r="E17" i="43" s="1"/>
  <c r="C17" i="43"/>
  <c r="A1" i="79"/>
  <c r="H55" i="43"/>
  <c r="H86" i="43"/>
  <c r="H87" i="43"/>
  <c r="H89" i="43"/>
  <c r="H88" i="43"/>
  <c r="H84" i="43"/>
  <c r="C69" i="39"/>
  <c r="D67" i="39"/>
  <c r="D69" i="39" s="1"/>
  <c r="T35" i="4"/>
  <c r="A19" i="51"/>
  <c r="B14" i="72"/>
  <c r="H110" i="9"/>
  <c r="D18" i="53" s="1"/>
  <c r="B35" i="72" s="1"/>
  <c r="H52" i="43"/>
  <c r="K5" i="4"/>
  <c r="B47" i="48" s="1"/>
  <c r="Y8" i="71"/>
  <c r="Z8" i="71" s="1"/>
  <c r="X8" i="71"/>
  <c r="AB8" i="71"/>
  <c r="AA8" i="71"/>
  <c r="B8" i="74"/>
  <c r="C8" i="74" s="1"/>
  <c r="D127" i="9"/>
  <c r="D13" i="52"/>
  <c r="D12" i="52"/>
  <c r="H76" i="43"/>
  <c r="H72" i="43"/>
  <c r="H53" i="43"/>
  <c r="H79" i="43"/>
  <c r="D124" i="9"/>
  <c r="D125" i="9" s="1"/>
  <c r="D11" i="52" s="1"/>
  <c r="H74" i="43"/>
  <c r="H57" i="43"/>
  <c r="H80" i="43"/>
  <c r="H77" i="43"/>
  <c r="E44" i="43"/>
  <c r="AC21" i="39"/>
  <c r="AB23" i="39"/>
  <c r="AB15" i="39"/>
  <c r="AC15" i="39"/>
  <c r="S25" i="39"/>
  <c r="W39" i="39"/>
  <c r="W42" i="39"/>
  <c r="W14" i="39"/>
  <c r="S29" i="39"/>
  <c r="E11" i="43"/>
  <c r="E9" i="43"/>
  <c r="E10" i="43"/>
  <c r="E8" i="43"/>
  <c r="D23" i="67"/>
  <c r="G25" i="12"/>
  <c r="G41" i="11"/>
  <c r="G27" i="12"/>
  <c r="G41" i="68"/>
  <c r="D63" i="40"/>
  <c r="E63" i="40" s="1"/>
  <c r="C65" i="40"/>
  <c r="D9" i="53"/>
  <c r="B25" i="72" s="1"/>
  <c r="B24" i="72"/>
  <c r="K120" i="9"/>
  <c r="A18" i="62"/>
  <c r="B64" i="72" s="1"/>
  <c r="Y16" i="71"/>
  <c r="Z16" i="71" s="1"/>
  <c r="Y15" i="71"/>
  <c r="Z15" i="71"/>
  <c r="AA16" i="71"/>
  <c r="AB3" i="71"/>
  <c r="B16" i="71"/>
  <c r="S16" i="71" s="1"/>
  <c r="X16" i="71"/>
  <c r="AB16" i="71"/>
  <c r="Y3" i="71"/>
  <c r="Z3" i="71"/>
  <c r="AF3" i="71"/>
  <c r="K1" i="73"/>
  <c r="D9" i="69"/>
  <c r="C9" i="69" s="1"/>
  <c r="D9" i="68"/>
  <c r="C9" i="68" s="1"/>
  <c r="AB28" i="37"/>
  <c r="U28" i="37"/>
  <c r="AC9" i="36"/>
  <c r="W9" i="36"/>
  <c r="U45" i="34"/>
  <c r="AB45" i="34"/>
  <c r="AC12" i="36"/>
  <c r="W17" i="34"/>
  <c r="AC17" i="34"/>
  <c r="AA34" i="35"/>
  <c r="S34" i="35"/>
  <c r="G28" i="6"/>
  <c r="G30" i="6" s="1"/>
  <c r="G31" i="6" s="1"/>
  <c r="AC13" i="36"/>
  <c r="AA45" i="21"/>
  <c r="S45" i="21"/>
  <c r="B15" i="71"/>
  <c r="B14" i="71" s="1"/>
  <c r="B13" i="71"/>
  <c r="B12" i="71" s="1"/>
  <c r="D43" i="71"/>
  <c r="D39" i="71"/>
  <c r="C40" i="71"/>
  <c r="D40" i="71" s="1"/>
  <c r="AZ170" i="3"/>
  <c r="U38" i="40"/>
  <c r="AA28" i="37"/>
  <c r="U13" i="35"/>
  <c r="S43" i="39"/>
  <c r="AC23" i="35"/>
  <c r="AC34" i="35"/>
  <c r="AB9" i="34"/>
  <c r="U9" i="34"/>
  <c r="AB12" i="21"/>
  <c r="U12" i="21"/>
  <c r="AA27" i="40"/>
  <c r="C59" i="82"/>
  <c r="I7" i="82"/>
  <c r="D31" i="71"/>
  <c r="AC38" i="40"/>
  <c r="W38" i="40"/>
  <c r="AA26" i="37"/>
  <c r="S26" i="37"/>
  <c r="S33" i="36"/>
  <c r="AA33" i="36"/>
  <c r="AB12" i="34"/>
  <c r="S13" i="35"/>
  <c r="AA13" i="35"/>
  <c r="W43" i="39"/>
  <c r="AC43" i="39"/>
  <c r="U23" i="35"/>
  <c r="AB23" i="35"/>
  <c r="AC19" i="34"/>
  <c r="AC9" i="34"/>
  <c r="W9" i="34"/>
  <c r="AB13" i="36"/>
  <c r="U13" i="36"/>
  <c r="AZ496" i="3"/>
  <c r="S31" i="40"/>
  <c r="AA31" i="40"/>
  <c r="U27" i="40"/>
  <c r="E7" i="34"/>
  <c r="G7" i="34"/>
  <c r="AA38" i="40"/>
  <c r="S38" i="40"/>
  <c r="W26" i="37"/>
  <c r="W12" i="34"/>
  <c r="AC12" i="34"/>
  <c r="U9" i="36"/>
  <c r="S45" i="34"/>
  <c r="S12" i="36"/>
  <c r="S19" i="34"/>
  <c r="AA19" i="34"/>
  <c r="F29" i="6"/>
  <c r="E29" i="6" s="1"/>
  <c r="K15" i="1" s="1"/>
  <c r="AZ518" i="3"/>
  <c r="AZ525" i="3"/>
  <c r="AZ531" i="3"/>
  <c r="AZ533" i="3"/>
  <c r="AC31" i="40"/>
  <c r="W31" i="40"/>
  <c r="S13" i="36"/>
  <c r="AA13" i="36"/>
  <c r="W45" i="21"/>
  <c r="AC45" i="21"/>
  <c r="P6" i="1"/>
  <c r="C13" i="12"/>
  <c r="E56" i="39"/>
  <c r="AA26" i="35"/>
  <c r="S26" i="35"/>
  <c r="AC26" i="35"/>
  <c r="W26" i="35"/>
  <c r="E51" i="40"/>
  <c r="C7" i="43"/>
  <c r="D10" i="52"/>
  <c r="B7" i="74"/>
  <c r="C7" i="74"/>
  <c r="D65" i="40"/>
  <c r="P28" i="43"/>
  <c r="B66" i="40" s="1"/>
  <c r="P25" i="43"/>
  <c r="AE11" i="1"/>
  <c r="AE9" i="1"/>
  <c r="AE7" i="1"/>
  <c r="AE8" i="1"/>
  <c r="AE12" i="1"/>
  <c r="AE10" i="1"/>
  <c r="F30" i="6"/>
  <c r="T44" i="71"/>
  <c r="D44" i="71"/>
  <c r="T40" i="71"/>
  <c r="AG11" i="1"/>
  <c r="AG9" i="1"/>
  <c r="AG10" i="1"/>
  <c r="AG8" i="1"/>
  <c r="AG12" i="1"/>
  <c r="AG7" i="1"/>
  <c r="AG6" i="1"/>
  <c r="O14" i="1"/>
  <c r="M18" i="9"/>
  <c r="B118" i="9" s="1"/>
  <c r="D3" i="34"/>
  <c r="S8" i="1"/>
  <c r="E8" i="70"/>
  <c r="B22" i="31"/>
  <c r="T21" i="31" s="1"/>
  <c r="C26" i="31"/>
  <c r="C27" i="31"/>
  <c r="C28" i="31"/>
  <c r="C25" i="31"/>
  <c r="S11" i="1"/>
  <c r="AQ11" i="1" s="1"/>
  <c r="E11" i="70"/>
  <c r="S9" i="1"/>
  <c r="S7" i="1"/>
  <c r="T7" i="1" s="1"/>
  <c r="E7" i="70"/>
  <c r="S10" i="1"/>
  <c r="AR10" i="1" s="1"/>
  <c r="E10" i="70"/>
  <c r="S12" i="1"/>
  <c r="T12" i="1" s="1"/>
  <c r="P14" i="1"/>
  <c r="B2" i="74"/>
  <c r="R10" i="1"/>
  <c r="R7" i="1"/>
  <c r="E12" i="70"/>
  <c r="F34" i="11"/>
  <c r="C36" i="11" s="1"/>
  <c r="F11" i="12"/>
  <c r="C23" i="12" s="1"/>
  <c r="E9" i="70"/>
  <c r="T11" i="1"/>
  <c r="R11" i="1"/>
  <c r="R9" i="1"/>
  <c r="D7" i="74"/>
  <c r="R8" i="1"/>
  <c r="R12" i="1"/>
  <c r="C19" i="69"/>
  <c r="L48" i="35"/>
  <c r="M48" i="35" s="1"/>
  <c r="N48" i="35" s="1"/>
  <c r="O48" i="35" s="1"/>
  <c r="B2" i="21"/>
  <c r="B2" i="33"/>
  <c r="B2" i="36"/>
  <c r="B3" i="36" s="1"/>
  <c r="B2" i="35"/>
  <c r="B3" i="35" s="1"/>
  <c r="B2" i="37"/>
  <c r="R28" i="31"/>
  <c r="S28" i="31" s="1"/>
  <c r="R27" i="31"/>
  <c r="S27" i="31"/>
  <c r="R26" i="31"/>
  <c r="S26" i="31" s="1"/>
  <c r="D5" i="73"/>
  <c r="F8" i="15"/>
  <c r="F7" i="67"/>
  <c r="B11" i="76"/>
  <c r="D4" i="73"/>
  <c r="F36" i="67"/>
  <c r="F37" i="67"/>
  <c r="F6" i="15"/>
  <c r="B9" i="76"/>
  <c r="M9" i="67"/>
  <c r="B10" i="76"/>
  <c r="F16" i="15"/>
  <c r="M21" i="15"/>
  <c r="F41" i="15"/>
  <c r="M23" i="67"/>
  <c r="M29" i="67"/>
  <c r="M27" i="15"/>
  <c r="M6" i="67"/>
  <c r="F40" i="15"/>
  <c r="F3" i="73"/>
  <c r="F37" i="15"/>
  <c r="AO10" i="1"/>
  <c r="M6" i="15"/>
  <c r="E9" i="76"/>
  <c r="AO9" i="1"/>
  <c r="L47" i="15"/>
  <c r="M8" i="15"/>
  <c r="F42" i="67"/>
  <c r="C76" i="67"/>
  <c r="M8" i="67"/>
  <c r="D2" i="82"/>
  <c r="D2" i="37"/>
  <c r="D2" i="21"/>
  <c r="F38" i="67"/>
  <c r="D2" i="35"/>
  <c r="E8" i="76"/>
  <c r="AO7" i="1"/>
  <c r="B8" i="76"/>
  <c r="F9" i="67"/>
  <c r="E10" i="76"/>
  <c r="M22" i="15"/>
  <c r="AO8" i="1"/>
  <c r="F7" i="73"/>
  <c r="AO13" i="1"/>
  <c r="L47" i="67"/>
  <c r="F8" i="67"/>
  <c r="F26" i="15"/>
  <c r="E2" i="68"/>
  <c r="F7" i="15"/>
  <c r="J15" i="15"/>
  <c r="F42" i="15"/>
  <c r="M24" i="67"/>
  <c r="M22" i="67"/>
  <c r="F16" i="67"/>
  <c r="E13" i="76"/>
  <c r="D2" i="33"/>
  <c r="M28" i="67"/>
  <c r="M23" i="15"/>
  <c r="F36" i="15"/>
  <c r="M26" i="15"/>
  <c r="M26" i="67"/>
  <c r="C76" i="15"/>
  <c r="F13" i="15"/>
  <c r="E12" i="76"/>
  <c r="F38" i="15"/>
  <c r="F4" i="73"/>
  <c r="F26" i="67"/>
  <c r="D3" i="73"/>
  <c r="D2" i="36"/>
  <c r="F20" i="31"/>
  <c r="C14" i="15"/>
  <c r="F35" i="15"/>
  <c r="F5" i="73"/>
  <c r="F6" i="73"/>
  <c r="E2" i="69"/>
  <c r="F43" i="15"/>
  <c r="M24" i="15"/>
  <c r="AO12" i="1"/>
  <c r="L48" i="15"/>
  <c r="E7" i="76"/>
  <c r="D2" i="34"/>
  <c r="M29" i="15"/>
  <c r="J15" i="67"/>
  <c r="B13" i="76"/>
  <c r="F40" i="67"/>
  <c r="D6" i="73"/>
  <c r="D7" i="73"/>
  <c r="E11" i="76"/>
  <c r="M27" i="67"/>
  <c r="M28" i="15"/>
  <c r="F9" i="15"/>
  <c r="B12" i="76"/>
  <c r="L48" i="67"/>
  <c r="B7" i="76"/>
  <c r="M9" i="15"/>
  <c r="AO11" i="1"/>
  <c r="F43" i="67"/>
  <c r="F63" i="40" l="1"/>
  <c r="E65" i="40"/>
  <c r="E7" i="89"/>
  <c r="F7" i="89" s="1"/>
  <c r="S7" i="89" s="1"/>
  <c r="E67" i="39"/>
  <c r="G7" i="89"/>
  <c r="H7" i="89" s="1"/>
  <c r="U7" i="89" s="1"/>
  <c r="F31" i="15"/>
  <c r="U23" i="89"/>
  <c r="AC23" i="89"/>
  <c r="P16" i="1"/>
  <c r="C11" i="12" s="1"/>
  <c r="C15" i="12" s="1"/>
  <c r="S44" i="89"/>
  <c r="W40" i="89"/>
  <c r="S40" i="89"/>
  <c r="U40" i="89"/>
  <c r="H37" i="89"/>
  <c r="U37" i="89" s="1"/>
  <c r="J37" i="89"/>
  <c r="AC37" i="89" s="1"/>
  <c r="F37" i="89"/>
  <c r="S37" i="89" s="1"/>
  <c r="C18" i="9"/>
  <c r="D18" i="9" s="1"/>
  <c r="AA7" i="89"/>
  <c r="AB37" i="89"/>
  <c r="S32" i="89"/>
  <c r="AA32" i="89"/>
  <c r="AB32" i="89"/>
  <c r="U32" i="89"/>
  <c r="AB14" i="89"/>
  <c r="U14" i="89"/>
  <c r="AA27" i="89"/>
  <c r="S27" i="89"/>
  <c r="AC32" i="89"/>
  <c r="W32" i="89"/>
  <c r="AB7" i="89"/>
  <c r="AB27" i="89"/>
  <c r="U27" i="89"/>
  <c r="W7" i="89"/>
  <c r="AC7" i="89"/>
  <c r="G63" i="40"/>
  <c r="F65" i="40"/>
  <c r="S12" i="71"/>
  <c r="B11" i="71"/>
  <c r="B10" i="71" s="1"/>
  <c r="B9" i="71" s="1"/>
  <c r="B8" i="71" s="1"/>
  <c r="B7" i="71" s="1"/>
  <c r="B6" i="71" s="1"/>
  <c r="B5" i="71" s="1"/>
  <c r="K14" i="1"/>
  <c r="E30" i="6"/>
  <c r="E19" i="71"/>
  <c r="E18" i="71" s="1"/>
  <c r="E17" i="71" s="1"/>
  <c r="E16" i="71" s="1"/>
  <c r="V20" i="71"/>
  <c r="AQ7" i="1"/>
  <c r="AR9" i="1"/>
  <c r="T9" i="1"/>
  <c r="P27" i="43"/>
  <c r="B70" i="39" s="1"/>
  <c r="B27" i="71"/>
  <c r="B26" i="71" s="1"/>
  <c r="P26" i="43"/>
  <c r="F27" i="6"/>
  <c r="F31" i="6" s="1"/>
  <c r="AB9" i="35"/>
  <c r="B38" i="72"/>
  <c r="D20" i="53"/>
  <c r="B40" i="72" s="1"/>
  <c r="U19" i="33"/>
  <c r="AC19" i="37"/>
  <c r="W19" i="37"/>
  <c r="AA39" i="39"/>
  <c r="C34" i="69"/>
  <c r="C35" i="69" s="1"/>
  <c r="AA20" i="35"/>
  <c r="S20" i="35"/>
  <c r="D8" i="74"/>
  <c r="AR7" i="1"/>
  <c r="T32" i="71"/>
  <c r="U26" i="35"/>
  <c r="AA12" i="21"/>
  <c r="W12" i="21"/>
  <c r="E7" i="82"/>
  <c r="W27" i="40"/>
  <c r="W33" i="21"/>
  <c r="C59" i="34"/>
  <c r="D59" i="34" s="1"/>
  <c r="E59" i="34" s="1"/>
  <c r="I7" i="34"/>
  <c r="AZ498" i="3"/>
  <c r="C21" i="71"/>
  <c r="AZ532" i="3"/>
  <c r="AZ541" i="3"/>
  <c r="W11" i="34"/>
  <c r="W32" i="39"/>
  <c r="S37" i="21"/>
  <c r="W27" i="33"/>
  <c r="AC27" i="33"/>
  <c r="AA19" i="33"/>
  <c r="S19" i="33"/>
  <c r="C24" i="12"/>
  <c r="C77" i="9"/>
  <c r="C74" i="9" s="1"/>
  <c r="AC20" i="36"/>
  <c r="W20" i="36"/>
  <c r="AZ345" i="3"/>
  <c r="AZ309" i="3"/>
  <c r="B34" i="72"/>
  <c r="F48" i="69"/>
  <c r="C48" i="69"/>
  <c r="AZ495" i="3"/>
  <c r="S17" i="33"/>
  <c r="AB45" i="21"/>
  <c r="U15" i="21"/>
  <c r="AA25" i="33"/>
  <c r="S25" i="33"/>
  <c r="W32" i="33"/>
  <c r="AC32" i="33"/>
  <c r="S36" i="33"/>
  <c r="AA36" i="33"/>
  <c r="U41" i="33"/>
  <c r="AB41" i="33"/>
  <c r="S34" i="33"/>
  <c r="AA34" i="33"/>
  <c r="E72" i="43"/>
  <c r="B70" i="43" s="1"/>
  <c r="S13" i="21"/>
  <c r="AA13" i="21"/>
  <c r="AC17" i="33"/>
  <c r="W17" i="33"/>
  <c r="W37" i="33"/>
  <c r="AC37" i="33"/>
  <c r="AC25" i="37"/>
  <c r="W25" i="37"/>
  <c r="AZ394" i="3"/>
  <c r="AZ378" i="3"/>
  <c r="AZ559" i="3"/>
  <c r="AZ556" i="3"/>
  <c r="U31" i="34"/>
  <c r="AB31" i="34"/>
  <c r="H23" i="34"/>
  <c r="F23" i="34"/>
  <c r="F86" i="34"/>
  <c r="G86" i="34" s="1"/>
  <c r="J23" i="34"/>
  <c r="BL545" i="3"/>
  <c r="AZ545" i="3" s="1"/>
  <c r="AA45" i="33"/>
  <c r="U26" i="33"/>
  <c r="S28" i="34"/>
  <c r="H31" i="21"/>
  <c r="F9" i="33"/>
  <c r="J36" i="35"/>
  <c r="F25" i="37"/>
  <c r="H25" i="37"/>
  <c r="BL544" i="3"/>
  <c r="AZ544" i="3" s="1"/>
  <c r="BL513" i="3"/>
  <c r="AZ513" i="3" s="1"/>
  <c r="BG5" i="3"/>
  <c r="AZ402" i="3"/>
  <c r="AZ403" i="3"/>
  <c r="AZ410" i="3"/>
  <c r="AZ459" i="3"/>
  <c r="W29" i="33"/>
  <c r="U33" i="35"/>
  <c r="S26" i="33"/>
  <c r="S40" i="21"/>
  <c r="S27" i="35"/>
  <c r="F39" i="37"/>
  <c r="AC28" i="35"/>
  <c r="H14" i="37"/>
  <c r="F44" i="39"/>
  <c r="H40" i="40"/>
  <c r="G566" i="3"/>
  <c r="G556" i="3"/>
  <c r="BA529" i="3"/>
  <c r="AZ529" i="3" s="1"/>
  <c r="BL535" i="3"/>
  <c r="AZ535" i="3" s="1"/>
  <c r="BA501" i="3"/>
  <c r="AZ501" i="3" s="1"/>
  <c r="BJ5" i="3"/>
  <c r="AZ400" i="3"/>
  <c r="AZ407" i="3"/>
  <c r="AZ421" i="3"/>
  <c r="AZ424" i="3"/>
  <c r="AZ446" i="3"/>
  <c r="H12" i="33"/>
  <c r="G570" i="3"/>
  <c r="G546" i="3"/>
  <c r="G523" i="3"/>
  <c r="BL508" i="3"/>
  <c r="AZ508" i="3" s="1"/>
  <c r="G495" i="3"/>
  <c r="C24" i="43"/>
  <c r="A24" i="51"/>
  <c r="B18" i="72" s="1"/>
  <c r="BL406" i="3"/>
  <c r="BL415" i="3"/>
  <c r="AZ415" i="3" s="1"/>
  <c r="AZ419" i="3"/>
  <c r="BA423" i="3"/>
  <c r="AZ423" i="3" s="1"/>
  <c r="BA426" i="3"/>
  <c r="BA429" i="3"/>
  <c r="AZ429" i="3" s="1"/>
  <c r="BL434" i="3"/>
  <c r="BL436" i="3"/>
  <c r="G437" i="3"/>
  <c r="BA439" i="3"/>
  <c r="AZ439" i="3" s="1"/>
  <c r="BA441" i="3"/>
  <c r="AZ441" i="3" s="1"/>
  <c r="BL449" i="3"/>
  <c r="G450" i="3"/>
  <c r="BL455" i="3"/>
  <c r="AZ455" i="3" s="1"/>
  <c r="BA461" i="3"/>
  <c r="AZ461" i="3" s="1"/>
  <c r="AZ463" i="3"/>
  <c r="AZ471" i="3"/>
  <c r="AZ482" i="3"/>
  <c r="AZ397" i="3"/>
  <c r="AZ225" i="3"/>
  <c r="AZ226" i="3"/>
  <c r="AZ255" i="3"/>
  <c r="AZ258" i="3"/>
  <c r="BA406" i="3"/>
  <c r="AZ406" i="3" s="1"/>
  <c r="BL411" i="3"/>
  <c r="AZ411" i="3" s="1"/>
  <c r="BL414" i="3"/>
  <c r="BA432" i="3"/>
  <c r="AZ432" i="3" s="1"/>
  <c r="BA434" i="3"/>
  <c r="AZ434" i="3" s="1"/>
  <c r="BL442" i="3"/>
  <c r="BL443" i="3"/>
  <c r="AZ443" i="3" s="1"/>
  <c r="G445" i="3"/>
  <c r="BA450" i="3"/>
  <c r="AZ450" i="3" s="1"/>
  <c r="BL451" i="3"/>
  <c r="AZ451" i="3" s="1"/>
  <c r="BL452" i="3"/>
  <c r="AZ452" i="3" s="1"/>
  <c r="G453" i="3"/>
  <c r="BA458" i="3"/>
  <c r="AZ458" i="3" s="1"/>
  <c r="AZ470" i="3"/>
  <c r="AZ476" i="3"/>
  <c r="AZ487" i="3"/>
  <c r="AZ221" i="3"/>
  <c r="AZ260" i="3"/>
  <c r="AZ267" i="3"/>
  <c r="G413" i="3"/>
  <c r="BA414" i="3"/>
  <c r="BA420" i="3"/>
  <c r="AZ420" i="3" s="1"/>
  <c r="BL425" i="3"/>
  <c r="AZ425" i="3" s="1"/>
  <c r="BL426" i="3"/>
  <c r="G427" i="3"/>
  <c r="G428" i="3"/>
  <c r="BL428" i="3"/>
  <c r="AZ428" i="3" s="1"/>
  <c r="BL429" i="3"/>
  <c r="G430" i="3"/>
  <c r="BL431" i="3"/>
  <c r="BA436" i="3"/>
  <c r="AZ436" i="3" s="1"/>
  <c r="BL438" i="3"/>
  <c r="G440" i="3"/>
  <c r="G448" i="3"/>
  <c r="BA449" i="3"/>
  <c r="AZ449" i="3" s="1"/>
  <c r="G454" i="3"/>
  <c r="G457" i="3"/>
  <c r="BL460" i="3"/>
  <c r="AZ460" i="3" s="1"/>
  <c r="G461" i="3"/>
  <c r="G462" i="3"/>
  <c r="C36" i="68"/>
  <c r="AZ431" i="3"/>
  <c r="AZ438" i="3"/>
  <c r="AZ442" i="3"/>
  <c r="AZ481" i="3"/>
  <c r="AZ276" i="3"/>
  <c r="BA278" i="3"/>
  <c r="AZ278" i="3" s="1"/>
  <c r="G281" i="3"/>
  <c r="BL281" i="3"/>
  <c r="AZ281" i="3" s="1"/>
  <c r="AZ103" i="3"/>
  <c r="BA273" i="3"/>
  <c r="AZ273" i="3" s="1"/>
  <c r="BL288" i="3"/>
  <c r="AZ288" i="3" s="1"/>
  <c r="BL290" i="3"/>
  <c r="AZ290" i="3" s="1"/>
  <c r="AZ125" i="3"/>
  <c r="AZ126" i="3"/>
  <c r="AZ22" i="3"/>
  <c r="AZ34" i="3"/>
  <c r="AZ64" i="3"/>
  <c r="AZ73" i="3"/>
  <c r="AZ96" i="3"/>
  <c r="AZ27" i="3"/>
  <c r="AZ54" i="3"/>
  <c r="AZ78" i="3"/>
  <c r="AZ87" i="3"/>
  <c r="BA275" i="3"/>
  <c r="AZ275" i="3" s="1"/>
  <c r="G279" i="3"/>
  <c r="BL279" i="3"/>
  <c r="AZ279" i="3" s="1"/>
  <c r="BA282" i="3"/>
  <c r="AZ282" i="3" s="1"/>
  <c r="BL286" i="3"/>
  <c r="AZ286" i="3" s="1"/>
  <c r="AZ302" i="3"/>
  <c r="BL104" i="3"/>
  <c r="AZ104" i="3" s="1"/>
  <c r="BA107" i="3"/>
  <c r="AZ107" i="3" s="1"/>
  <c r="T28" i="71"/>
  <c r="D28" i="71"/>
  <c r="U28" i="71" s="1"/>
  <c r="C27" i="71"/>
  <c r="BA90" i="3"/>
  <c r="AZ90" i="3" s="1"/>
  <c r="G95" i="3"/>
  <c r="BL109" i="3"/>
  <c r="G110" i="3"/>
  <c r="D51" i="71"/>
  <c r="C52" i="71"/>
  <c r="BA94" i="3"/>
  <c r="AZ94" i="3" s="1"/>
  <c r="C44" i="43"/>
  <c r="D59" i="71"/>
  <c r="C60" i="71"/>
  <c r="G93" i="3"/>
  <c r="G98" i="3"/>
  <c r="G108" i="3"/>
  <c r="BA109" i="3"/>
  <c r="AZ109" i="3" s="1"/>
  <c r="BA112" i="3"/>
  <c r="AZ112" i="3" s="1"/>
  <c r="F3" i="35"/>
  <c r="C34" i="71"/>
  <c r="Y33" i="71"/>
  <c r="Z33" i="71" s="1"/>
  <c r="D84" i="71"/>
  <c r="C83" i="71"/>
  <c r="N25" i="79"/>
  <c r="U27" i="79"/>
  <c r="S32" i="79"/>
  <c r="S30" i="79"/>
  <c r="S33" i="79"/>
  <c r="S29" i="79"/>
  <c r="S34" i="79"/>
  <c r="S31" i="79"/>
  <c r="M1" i="43"/>
  <c r="N12" i="43"/>
  <c r="M2" i="43"/>
  <c r="M4" i="43"/>
  <c r="N6" i="43"/>
  <c r="N8" i="43"/>
  <c r="M11" i="43"/>
  <c r="N2" i="43"/>
  <c r="N4" i="43"/>
  <c r="N10" i="43"/>
  <c r="M7" i="43"/>
  <c r="M9" i="43"/>
  <c r="M12" i="43"/>
  <c r="M3" i="43"/>
  <c r="C6" i="43" s="1"/>
  <c r="M5" i="43"/>
  <c r="N11" i="43"/>
  <c r="N7" i="43"/>
  <c r="N9" i="43"/>
  <c r="N3" i="43"/>
  <c r="F61" i="43" s="1"/>
  <c r="M8" i="43"/>
  <c r="N5" i="43"/>
  <c r="M10" i="43"/>
  <c r="P7" i="79"/>
  <c r="T5" i="79"/>
  <c r="W5" i="79" s="1"/>
  <c r="T3" i="79"/>
  <c r="W3" i="79" s="1"/>
  <c r="T6" i="79"/>
  <c r="W6" i="79" s="1"/>
  <c r="M3" i="79"/>
  <c r="P3" i="79" s="1"/>
  <c r="T7" i="79"/>
  <c r="W7" i="79" s="1"/>
  <c r="S5" i="79"/>
  <c r="L3" i="79"/>
  <c r="S6" i="79"/>
  <c r="S28" i="79"/>
  <c r="S27" i="79"/>
  <c r="C37" i="34"/>
  <c r="Y6" i="1"/>
  <c r="C37" i="82"/>
  <c r="AB9" i="82"/>
  <c r="U9" i="82"/>
  <c r="AB10" i="82"/>
  <c r="U10" i="82"/>
  <c r="AB11" i="82"/>
  <c r="U11" i="82"/>
  <c r="AB12" i="82"/>
  <c r="U12" i="82"/>
  <c r="U13" i="82"/>
  <c r="AB13" i="82"/>
  <c r="U14" i="82"/>
  <c r="AB14" i="82"/>
  <c r="AA15" i="82"/>
  <c r="S15" i="82"/>
  <c r="AA23" i="82"/>
  <c r="S23" i="82"/>
  <c r="AA25" i="82"/>
  <c r="S25" i="82"/>
  <c r="AB39" i="82"/>
  <c r="U39" i="82"/>
  <c r="AB40" i="82"/>
  <c r="U40" i="82"/>
  <c r="AB41" i="82"/>
  <c r="U41" i="82"/>
  <c r="AC47" i="82"/>
  <c r="W47" i="82"/>
  <c r="AB21" i="33"/>
  <c r="W29" i="39"/>
  <c r="B68" i="43"/>
  <c r="C56" i="71"/>
  <c r="C70" i="71"/>
  <c r="D70" i="71" s="1"/>
  <c r="AA26" i="71"/>
  <c r="AB26" i="71"/>
  <c r="AB28" i="71"/>
  <c r="AB25" i="71"/>
  <c r="Y26" i="71"/>
  <c r="Z26" i="71" s="1"/>
  <c r="AA36" i="71"/>
  <c r="AA32" i="71"/>
  <c r="Y29" i="71"/>
  <c r="Z29" i="71" s="1"/>
  <c r="E38" i="71"/>
  <c r="E39" i="71" s="1"/>
  <c r="E40" i="71" s="1"/>
  <c r="U40" i="71" s="1"/>
  <c r="AA29" i="71"/>
  <c r="AB29" i="71"/>
  <c r="AB30" i="71"/>
  <c r="AB32" i="71"/>
  <c r="Y36" i="71"/>
  <c r="Z36" i="71" s="1"/>
  <c r="X37" i="71"/>
  <c r="AB38" i="71"/>
  <c r="B67" i="71"/>
  <c r="F22" i="71"/>
  <c r="F21" i="71" s="1"/>
  <c r="F20" i="71" s="1"/>
  <c r="F19" i="71" s="1"/>
  <c r="F18" i="71" s="1"/>
  <c r="F17" i="71" s="1"/>
  <c r="F16" i="71" s="1"/>
  <c r="F15" i="71" s="1"/>
  <c r="F14" i="71" s="1"/>
  <c r="F13" i="71" s="1"/>
  <c r="F12" i="71" s="1"/>
  <c r="F11" i="71" s="1"/>
  <c r="F10" i="71" s="1"/>
  <c r="F9" i="71" s="1"/>
  <c r="F8" i="71" s="1"/>
  <c r="F7" i="71" s="1"/>
  <c r="F6" i="71" s="1"/>
  <c r="F5" i="71" s="1"/>
  <c r="M6" i="43"/>
  <c r="AC18" i="35"/>
  <c r="U18" i="36"/>
  <c r="B77" i="43"/>
  <c r="D79" i="71"/>
  <c r="AA25" i="71"/>
  <c r="N68" i="71"/>
  <c r="P68" i="71"/>
  <c r="F71" i="71"/>
  <c r="F70" i="71" s="1"/>
  <c r="C29" i="39"/>
  <c r="AB33" i="71"/>
  <c r="X31" i="71"/>
  <c r="X29" i="71"/>
  <c r="X30" i="71"/>
  <c r="AA35" i="71"/>
  <c r="F38" i="71"/>
  <c r="F39" i="71" s="1"/>
  <c r="F40" i="71" s="1"/>
  <c r="V40" i="71" s="1"/>
  <c r="C32" i="77"/>
  <c r="C38" i="77" s="1"/>
  <c r="C39" i="77" s="1"/>
  <c r="D23" i="77"/>
  <c r="C29" i="77"/>
  <c r="N1" i="43"/>
  <c r="S25" i="79"/>
  <c r="C75" i="71"/>
  <c r="R24" i="77"/>
  <c r="R35" i="77"/>
  <c r="U34" i="77" s="1"/>
  <c r="K3" i="79"/>
  <c r="N3" i="79"/>
  <c r="U5" i="79"/>
  <c r="U3" i="79"/>
  <c r="T9" i="79"/>
  <c r="W9" i="79" s="1"/>
  <c r="T10" i="79"/>
  <c r="W10" i="79" s="1"/>
  <c r="T8" i="79"/>
  <c r="W8" i="79" s="1"/>
  <c r="S13" i="79"/>
  <c r="S7" i="79"/>
  <c r="S10" i="79"/>
  <c r="S9" i="79"/>
  <c r="S12" i="79"/>
  <c r="S11" i="79"/>
  <c r="R15" i="79"/>
  <c r="R14" i="79"/>
  <c r="R13" i="79"/>
  <c r="S17" i="79"/>
  <c r="S16" i="79"/>
  <c r="S15" i="79"/>
  <c r="J27" i="82"/>
  <c r="AC27" i="82" s="1"/>
  <c r="H27" i="82"/>
  <c r="F27" i="82"/>
  <c r="S27" i="82" s="1"/>
  <c r="R12" i="79"/>
  <c r="R10" i="79"/>
  <c r="R8" i="79"/>
  <c r="R11" i="79"/>
  <c r="R5" i="79"/>
  <c r="R6" i="79"/>
  <c r="R9" i="79"/>
  <c r="R3" i="79"/>
  <c r="L25" i="79"/>
  <c r="T28" i="79"/>
  <c r="W28" i="79" s="1"/>
  <c r="T25" i="79"/>
  <c r="W25" i="79" s="1"/>
  <c r="T31" i="79"/>
  <c r="W31" i="79" s="1"/>
  <c r="T32" i="79"/>
  <c r="W32" i="79" s="1"/>
  <c r="T29" i="79"/>
  <c r="W29" i="79" s="1"/>
  <c r="P33" i="79"/>
  <c r="T30" i="79"/>
  <c r="W30" i="79" s="1"/>
  <c r="U31" i="79"/>
  <c r="U32" i="79"/>
  <c r="U28" i="79"/>
  <c r="U30" i="79"/>
  <c r="T35" i="79"/>
  <c r="W35" i="79" s="1"/>
  <c r="T36" i="79"/>
  <c r="W36" i="79" s="1"/>
  <c r="T34" i="79"/>
  <c r="W34" i="79" s="1"/>
  <c r="T37" i="79"/>
  <c r="W37" i="79" s="1"/>
  <c r="S43" i="82"/>
  <c r="AA43" i="82"/>
  <c r="M56" i="9"/>
  <c r="K56" i="9"/>
  <c r="R5" i="77"/>
  <c r="U5" i="77" s="1"/>
  <c r="S3" i="79"/>
  <c r="AD5" i="79"/>
  <c r="AA3" i="79"/>
  <c r="AD3" i="79" s="1"/>
  <c r="AB3" i="79"/>
  <c r="M25" i="79"/>
  <c r="P25" i="79" s="1"/>
  <c r="T27" i="79"/>
  <c r="W27" i="79" s="1"/>
  <c r="AD34" i="79"/>
  <c r="U37" i="79"/>
  <c r="S12" i="82"/>
  <c r="AC9" i="82"/>
  <c r="W9" i="82"/>
  <c r="AC10" i="82"/>
  <c r="W10" i="82"/>
  <c r="W12" i="82"/>
  <c r="AC12" i="82"/>
  <c r="S11" i="82"/>
  <c r="W23" i="82"/>
  <c r="AC23" i="82"/>
  <c r="AA10" i="82"/>
  <c r="S10" i="82"/>
  <c r="AB33" i="82"/>
  <c r="U33" i="82"/>
  <c r="AC46" i="82"/>
  <c r="W46" i="82"/>
  <c r="C34" i="34"/>
  <c r="S38" i="82"/>
  <c r="W14" i="82"/>
  <c r="S19" i="82"/>
  <c r="U46" i="82"/>
  <c r="F46" i="82"/>
  <c r="F47" i="82"/>
  <c r="U33" i="34"/>
  <c r="W33" i="34"/>
  <c r="J27" i="34"/>
  <c r="F27" i="34"/>
  <c r="AA27" i="34" s="1"/>
  <c r="F90" i="34"/>
  <c r="G90" i="34" s="1"/>
  <c r="H90" i="34" s="1"/>
  <c r="I90" i="34" s="1"/>
  <c r="J90" i="34" s="1"/>
  <c r="K90" i="34" s="1"/>
  <c r="L90" i="34" s="1"/>
  <c r="M90" i="34" s="1"/>
  <c r="H27" i="34"/>
  <c r="AA27" i="82"/>
  <c r="S46" i="34"/>
  <c r="AA46" i="34"/>
  <c r="U46" i="34"/>
  <c r="S27" i="34"/>
  <c r="AC33" i="82"/>
  <c r="U8" i="82"/>
  <c r="AA8" i="82"/>
  <c r="W27" i="82"/>
  <c r="T10" i="1"/>
  <c r="AQ9" i="1"/>
  <c r="AR12" i="1"/>
  <c r="O16" i="1"/>
  <c r="H16" i="1"/>
  <c r="AQ10" i="1"/>
  <c r="AQ12" i="1"/>
  <c r="AR11" i="1"/>
  <c r="T8" i="1"/>
  <c r="AQ8" i="1"/>
  <c r="AR8" i="1"/>
  <c r="J34" i="82"/>
  <c r="F34" i="82"/>
  <c r="H34" i="82"/>
  <c r="Q16" i="1"/>
  <c r="Q17" i="1" s="1"/>
  <c r="F7" i="34"/>
  <c r="F59" i="34"/>
  <c r="G59" i="34" s="1"/>
  <c r="H59" i="34" s="1"/>
  <c r="I59" i="34" s="1"/>
  <c r="J59" i="34" s="1"/>
  <c r="K59" i="34" s="1"/>
  <c r="L59" i="34" s="1"/>
  <c r="M59" i="34" s="1"/>
  <c r="N59" i="34" s="1"/>
  <c r="O59" i="34" s="1"/>
  <c r="E52" i="37"/>
  <c r="F7" i="35"/>
  <c r="J7" i="35"/>
  <c r="H7" i="35"/>
  <c r="F46" i="36"/>
  <c r="G46" i="36" s="1"/>
  <c r="H46" i="36" s="1"/>
  <c r="I46" i="36" s="1"/>
  <c r="J46" i="36" s="1"/>
  <c r="K46" i="36" s="1"/>
  <c r="L46" i="36" s="1"/>
  <c r="M46" i="36" s="1"/>
  <c r="N46" i="36" s="1"/>
  <c r="O46" i="36" s="1"/>
  <c r="J7" i="36"/>
  <c r="F7" i="36"/>
  <c r="H7" i="36"/>
  <c r="J7" i="34"/>
  <c r="F58" i="33"/>
  <c r="E58" i="21"/>
  <c r="C7" i="78"/>
  <c r="D7" i="78" s="1"/>
  <c r="C6" i="78"/>
  <c r="D6" i="78" s="1"/>
  <c r="C5" i="78"/>
  <c r="D5" i="78" s="1"/>
  <c r="H7" i="34"/>
  <c r="D59" i="82"/>
  <c r="G6" i="1"/>
  <c r="G16" i="1" s="1"/>
  <c r="B10" i="70"/>
  <c r="B7" i="70"/>
  <c r="J20" i="15"/>
  <c r="B12" i="70"/>
  <c r="B11" i="70"/>
  <c r="B8" i="70"/>
  <c r="Q71" i="67"/>
  <c r="J53" i="15"/>
  <c r="L56" i="15" s="1"/>
  <c r="J57" i="15"/>
  <c r="J55" i="15" s="1"/>
  <c r="J58" i="15" s="1"/>
  <c r="Q50" i="15" s="1"/>
  <c r="I54" i="15"/>
  <c r="F64" i="67"/>
  <c r="B9" i="70"/>
  <c r="F63" i="15"/>
  <c r="C62" i="15" s="1"/>
  <c r="C34" i="15"/>
  <c r="F65" i="15"/>
  <c r="B13" i="70"/>
  <c r="F51" i="67"/>
  <c r="I1" i="73"/>
  <c r="B39" i="1" s="1"/>
  <c r="C18" i="15"/>
  <c r="C15" i="15"/>
  <c r="F51" i="15"/>
  <c r="F64" i="15"/>
  <c r="F66" i="67"/>
  <c r="C27" i="67"/>
  <c r="M59" i="67"/>
  <c r="N59" i="67"/>
  <c r="L59" i="67"/>
  <c r="L58" i="67"/>
  <c r="F71" i="67"/>
  <c r="L58" i="15"/>
  <c r="M59" i="15"/>
  <c r="L59" i="15"/>
  <c r="N59" i="15"/>
  <c r="F50" i="67"/>
  <c r="M7" i="67"/>
  <c r="J6" i="67" s="1"/>
  <c r="F68" i="15"/>
  <c r="Q71" i="15"/>
  <c r="F68" i="67"/>
  <c r="F69" i="15"/>
  <c r="M7" i="15"/>
  <c r="J6" i="15" s="1"/>
  <c r="F50" i="15"/>
  <c r="F59" i="15" s="1"/>
  <c r="C27" i="15"/>
  <c r="F66" i="15"/>
  <c r="J53" i="67"/>
  <c r="J57" i="67"/>
  <c r="J55" i="67" s="1"/>
  <c r="J58" i="67" s="1"/>
  <c r="Q50" i="67" s="1"/>
  <c r="L56" i="67"/>
  <c r="I54" i="67"/>
  <c r="L57" i="67"/>
  <c r="L60" i="67"/>
  <c r="F65" i="67"/>
  <c r="C6" i="15"/>
  <c r="F71" i="15"/>
  <c r="F14" i="49"/>
  <c r="H14" i="49" s="1"/>
  <c r="F12" i="49"/>
  <c r="H12" i="49" s="1"/>
  <c r="F10" i="49"/>
  <c r="H10" i="49" s="1"/>
  <c r="F8" i="49"/>
  <c r="H8" i="49" s="1"/>
  <c r="F6" i="49"/>
  <c r="H6" i="49" s="1"/>
  <c r="F4" i="49"/>
  <c r="H4" i="49" s="1"/>
  <c r="B12" i="49"/>
  <c r="D12" i="49" s="1"/>
  <c r="B8" i="49"/>
  <c r="B4" i="49"/>
  <c r="D4" i="49" s="1"/>
  <c r="B11" i="49"/>
  <c r="B7" i="49"/>
  <c r="D7" i="49" s="1"/>
  <c r="F15" i="49"/>
  <c r="H15" i="49" s="1"/>
  <c r="F13" i="49"/>
  <c r="H13" i="49" s="1"/>
  <c r="F11" i="49"/>
  <c r="H11" i="49" s="1"/>
  <c r="F9" i="49"/>
  <c r="H9" i="49" s="1"/>
  <c r="F7" i="49"/>
  <c r="H7" i="49" s="1"/>
  <c r="F5" i="49"/>
  <c r="H5" i="49" s="1"/>
  <c r="B14" i="49"/>
  <c r="D14" i="49" s="1"/>
  <c r="B10" i="49"/>
  <c r="D10" i="49" s="1"/>
  <c r="B6" i="49"/>
  <c r="D6" i="49" s="1"/>
  <c r="B13" i="49"/>
  <c r="D13" i="49" s="1"/>
  <c r="B9" i="49"/>
  <c r="D9" i="49" s="1"/>
  <c r="C16" i="67"/>
  <c r="C16" i="15"/>
  <c r="F13" i="67"/>
  <c r="G1" i="73"/>
  <c r="C17" i="15"/>
  <c r="F59" i="67" l="1"/>
  <c r="E69" i="39"/>
  <c r="F67" i="39"/>
  <c r="M17" i="15"/>
  <c r="M17" i="67"/>
  <c r="W37" i="89"/>
  <c r="C12" i="12"/>
  <c r="AA37" i="89"/>
  <c r="R49" i="89" s="1"/>
  <c r="C38" i="69"/>
  <c r="V49" i="89"/>
  <c r="I49" i="89" s="1"/>
  <c r="T49" i="89"/>
  <c r="G49" i="89" s="1"/>
  <c r="G58" i="33"/>
  <c r="H58" i="33" s="1"/>
  <c r="I58" i="33" s="1"/>
  <c r="J58" i="33" s="1"/>
  <c r="K58" i="33" s="1"/>
  <c r="L58" i="33" s="1"/>
  <c r="M58" i="33" s="1"/>
  <c r="N58" i="33" s="1"/>
  <c r="O58" i="33" s="1"/>
  <c r="H7" i="33"/>
  <c r="U7" i="33" s="1"/>
  <c r="F52" i="37"/>
  <c r="G52" i="37" s="1"/>
  <c r="H52" i="37" s="1"/>
  <c r="I52" i="37" s="1"/>
  <c r="J52" i="37" s="1"/>
  <c r="K52" i="37" s="1"/>
  <c r="L52" i="37" s="1"/>
  <c r="M52" i="37" s="1"/>
  <c r="N52" i="37" s="1"/>
  <c r="O52" i="37" s="1"/>
  <c r="H7" i="37"/>
  <c r="U7" i="37" s="1"/>
  <c r="N67" i="71"/>
  <c r="B66" i="71"/>
  <c r="E37" i="82"/>
  <c r="F37" i="82" s="1"/>
  <c r="I37" i="82"/>
  <c r="J37" i="82" s="1"/>
  <c r="G37" i="82"/>
  <c r="H37" i="82" s="1"/>
  <c r="D83" i="71"/>
  <c r="C82" i="71"/>
  <c r="D82" i="71" s="1"/>
  <c r="C26" i="71"/>
  <c r="D26" i="71" s="1"/>
  <c r="D27" i="71"/>
  <c r="AZ414" i="3"/>
  <c r="AZ5" i="3" s="1"/>
  <c r="AB14" i="37"/>
  <c r="U14" i="37"/>
  <c r="E12" i="6"/>
  <c r="E10" i="6"/>
  <c r="AA25" i="37"/>
  <c r="S25" i="37"/>
  <c r="AB23" i="34"/>
  <c r="U23" i="34"/>
  <c r="E15" i="6"/>
  <c r="E14" i="6"/>
  <c r="BA5" i="3"/>
  <c r="E27" i="6" s="1"/>
  <c r="E11" i="6"/>
  <c r="K16" i="1"/>
  <c r="M14" i="1"/>
  <c r="M16" i="1" s="1"/>
  <c r="N16" i="1" s="1"/>
  <c r="F50" i="69" s="1"/>
  <c r="AA47" i="82"/>
  <c r="S47" i="82"/>
  <c r="D75" i="71"/>
  <c r="C74" i="71"/>
  <c r="D74" i="71" s="1"/>
  <c r="D38" i="77"/>
  <c r="D39" i="77" s="1"/>
  <c r="E23" i="77"/>
  <c r="D29" i="77"/>
  <c r="D26" i="77"/>
  <c r="D32" i="77" s="1"/>
  <c r="H64" i="43"/>
  <c r="G64" i="43" s="1"/>
  <c r="H69" i="43"/>
  <c r="G69" i="43" s="1"/>
  <c r="H62" i="43"/>
  <c r="G62" i="43" s="1"/>
  <c r="H65" i="43"/>
  <c r="G65" i="43" s="1"/>
  <c r="H63" i="43"/>
  <c r="G63" i="43" s="1"/>
  <c r="H68" i="43"/>
  <c r="G68" i="43" s="1"/>
  <c r="H67" i="43"/>
  <c r="G67" i="43" s="1"/>
  <c r="H66" i="43"/>
  <c r="G66" i="43" s="1"/>
  <c r="H61" i="43"/>
  <c r="G61" i="43" s="1"/>
  <c r="AC36" i="35"/>
  <c r="W36" i="35"/>
  <c r="W23" i="34"/>
  <c r="AC23" i="34"/>
  <c r="D21" i="71"/>
  <c r="C20" i="71"/>
  <c r="BL5" i="3"/>
  <c r="S46" i="82"/>
  <c r="AA46" i="82"/>
  <c r="U27" i="82"/>
  <c r="AB27" i="82"/>
  <c r="D56" i="71"/>
  <c r="T56" i="71"/>
  <c r="I37" i="34"/>
  <c r="J37" i="34" s="1"/>
  <c r="G37" i="34"/>
  <c r="H37" i="34" s="1"/>
  <c r="E37" i="34"/>
  <c r="F37" i="34" s="1"/>
  <c r="C5" i="43"/>
  <c r="D5" i="43"/>
  <c r="T60" i="71"/>
  <c r="D60" i="71"/>
  <c r="D52" i="71"/>
  <c r="T52" i="71"/>
  <c r="U40" i="40"/>
  <c r="AB40" i="40"/>
  <c r="S39" i="37"/>
  <c r="AA39" i="37"/>
  <c r="AA9" i="33"/>
  <c r="S9" i="33"/>
  <c r="G5" i="3"/>
  <c r="B3" i="3" s="1"/>
  <c r="E430" i="3" s="1"/>
  <c r="E15" i="71"/>
  <c r="E14" i="71" s="1"/>
  <c r="E13" i="71" s="1"/>
  <c r="E12" i="71" s="1"/>
  <c r="V16" i="71"/>
  <c r="J34" i="34"/>
  <c r="H34" i="34"/>
  <c r="F34" i="34"/>
  <c r="C23" i="43"/>
  <c r="C35" i="71"/>
  <c r="D34" i="71"/>
  <c r="E437" i="3"/>
  <c r="AZ426" i="3"/>
  <c r="U12" i="33"/>
  <c r="AB12" i="33"/>
  <c r="S44" i="39"/>
  <c r="AA44" i="39"/>
  <c r="U25" i="37"/>
  <c r="AB25" i="37"/>
  <c r="U31" i="21"/>
  <c r="AB31" i="21"/>
  <c r="AA23" i="34"/>
  <c r="S23" i="34"/>
  <c r="E13" i="6"/>
  <c r="G65" i="40"/>
  <c r="H63" i="40"/>
  <c r="AB27" i="34"/>
  <c r="U27" i="34"/>
  <c r="W27" i="34"/>
  <c r="AC27" i="34"/>
  <c r="F50" i="68"/>
  <c r="C34" i="11"/>
  <c r="C34" i="68"/>
  <c r="L16" i="1"/>
  <c r="F27" i="69"/>
  <c r="F27" i="11"/>
  <c r="F27" i="68"/>
  <c r="F28" i="12"/>
  <c r="C29" i="12" s="1"/>
  <c r="D28" i="12" s="1"/>
  <c r="AB34" i="82"/>
  <c r="U34" i="82"/>
  <c r="S34" i="82"/>
  <c r="AA34" i="82"/>
  <c r="AC34" i="82"/>
  <c r="W34" i="82"/>
  <c r="F58" i="21"/>
  <c r="G58" i="21" s="1"/>
  <c r="H58" i="21" s="1"/>
  <c r="I58" i="21" s="1"/>
  <c r="J58" i="21" s="1"/>
  <c r="K58" i="21" s="1"/>
  <c r="L58" i="21" s="1"/>
  <c r="M58" i="21" s="1"/>
  <c r="N58" i="21" s="1"/>
  <c r="O58" i="21" s="1"/>
  <c r="AB7" i="33"/>
  <c r="T48" i="33" s="1"/>
  <c r="G48" i="33" s="1"/>
  <c r="S7" i="36"/>
  <c r="AA7" i="36"/>
  <c r="R36" i="36" s="1"/>
  <c r="U7" i="35"/>
  <c r="AB7" i="35"/>
  <c r="T38" i="35" s="1"/>
  <c r="G38" i="35" s="1"/>
  <c r="AB7" i="37"/>
  <c r="T42" i="37" s="1"/>
  <c r="G42" i="37" s="1"/>
  <c r="AA7" i="34"/>
  <c r="S7" i="34"/>
  <c r="F10" i="39"/>
  <c r="H10" i="39"/>
  <c r="J10" i="39"/>
  <c r="J10" i="40"/>
  <c r="F10" i="40"/>
  <c r="H10" i="40"/>
  <c r="J7" i="21"/>
  <c r="W7" i="36"/>
  <c r="AC7" i="36"/>
  <c r="V36" i="36" s="1"/>
  <c r="I36" i="36" s="1"/>
  <c r="W7" i="35"/>
  <c r="AC7" i="35"/>
  <c r="V38" i="35" s="1"/>
  <c r="I38" i="35" s="1"/>
  <c r="E59" i="82"/>
  <c r="W7" i="34"/>
  <c r="AC7" i="34"/>
  <c r="S7" i="35"/>
  <c r="AA7" i="35"/>
  <c r="R38" i="35" s="1"/>
  <c r="J7" i="37"/>
  <c r="AB7" i="34"/>
  <c r="U7" i="34"/>
  <c r="F7" i="21"/>
  <c r="F7" i="33"/>
  <c r="U7" i="36"/>
  <c r="AB7" i="36"/>
  <c r="T36" i="36" s="1"/>
  <c r="G36" i="36" s="1"/>
  <c r="F7" i="37"/>
  <c r="B40" i="1"/>
  <c r="F22" i="11" s="1"/>
  <c r="C19" i="15"/>
  <c r="C4" i="4"/>
  <c r="D8" i="49"/>
  <c r="Q57" i="67"/>
  <c r="Q66" i="67"/>
  <c r="J18" i="67"/>
  <c r="J19" i="67"/>
  <c r="Q73" i="15"/>
  <c r="Q60" i="15"/>
  <c r="C49" i="15"/>
  <c r="C32" i="15"/>
  <c r="C33" i="15"/>
  <c r="J18" i="15"/>
  <c r="J19" i="15"/>
  <c r="Q60" i="67"/>
  <c r="Q73" i="67"/>
  <c r="F11" i="67"/>
  <c r="C53" i="67" s="1"/>
  <c r="M11" i="67"/>
  <c r="J10" i="67" s="1"/>
  <c r="J5" i="67" s="1"/>
  <c r="F11" i="15"/>
  <c r="M11" i="15"/>
  <c r="J10" i="15" s="1"/>
  <c r="J5" i="15" s="1"/>
  <c r="D11" i="49"/>
  <c r="E4" i="4"/>
  <c r="B5" i="62" s="1"/>
  <c r="B73" i="72" s="1"/>
  <c r="F1" i="67"/>
  <c r="Q52" i="67"/>
  <c r="Q61" i="15"/>
  <c r="Q74" i="15"/>
  <c r="Q61" i="67"/>
  <c r="Q74" i="67"/>
  <c r="C49" i="67"/>
  <c r="Q52" i="15"/>
  <c r="F1" i="15"/>
  <c r="AE6" i="1"/>
  <c r="J7" i="33" l="1"/>
  <c r="H7" i="21"/>
  <c r="F69" i="39"/>
  <c r="G67" i="39"/>
  <c r="F50" i="11"/>
  <c r="G53" i="89"/>
  <c r="H53" i="89" s="1"/>
  <c r="G54" i="89"/>
  <c r="H54" i="89" s="1"/>
  <c r="E49" i="89"/>
  <c r="I54" i="89" s="1"/>
  <c r="J54" i="89" s="1"/>
  <c r="R50" i="89"/>
  <c r="I53" i="89"/>
  <c r="J53" i="89" s="1"/>
  <c r="AY6" i="3"/>
  <c r="E3" i="6"/>
  <c r="I63" i="40"/>
  <c r="H65" i="40"/>
  <c r="E281" i="3"/>
  <c r="W37" i="34"/>
  <c r="AC37" i="34"/>
  <c r="E413" i="3"/>
  <c r="M61" i="43"/>
  <c r="N61" i="43" s="1"/>
  <c r="K61" i="43"/>
  <c r="M63" i="43"/>
  <c r="N63" i="43" s="1"/>
  <c r="K63" i="43"/>
  <c r="M64" i="43"/>
  <c r="N64" i="43" s="1"/>
  <c r="K64" i="43"/>
  <c r="E64" i="39"/>
  <c r="E60" i="40"/>
  <c r="E427" i="3"/>
  <c r="N65" i="71"/>
  <c r="N66" i="71"/>
  <c r="E108" i="3"/>
  <c r="AA34" i="34"/>
  <c r="S34" i="34"/>
  <c r="E11" i="71"/>
  <c r="E10" i="71" s="1"/>
  <c r="E9" i="71" s="1"/>
  <c r="E8" i="71" s="1"/>
  <c r="E7" i="71" s="1"/>
  <c r="E6" i="71" s="1"/>
  <c r="E5" i="71" s="1"/>
  <c r="V12" i="71"/>
  <c r="E570" i="3"/>
  <c r="E546" i="3"/>
  <c r="E454" i="3"/>
  <c r="M66" i="43"/>
  <c r="N66" i="43" s="1"/>
  <c r="K66" i="43"/>
  <c r="M65" i="43"/>
  <c r="N65" i="43" s="1"/>
  <c r="K65" i="43"/>
  <c r="E56" i="40"/>
  <c r="E60" i="39"/>
  <c r="E16" i="6"/>
  <c r="E556" i="3"/>
  <c r="AB37" i="82"/>
  <c r="U37" i="82"/>
  <c r="E58" i="40"/>
  <c r="E62" i="39"/>
  <c r="AB34" i="34"/>
  <c r="U34" i="34"/>
  <c r="E18" i="3"/>
  <c r="E179" i="3"/>
  <c r="E199" i="3"/>
  <c r="E131" i="3"/>
  <c r="E266" i="3"/>
  <c r="E21" i="3"/>
  <c r="E460" i="3"/>
  <c r="E33" i="3"/>
  <c r="E144" i="3"/>
  <c r="E449" i="3"/>
  <c r="E355" i="3"/>
  <c r="E500" i="3"/>
  <c r="E409" i="3"/>
  <c r="E232" i="3"/>
  <c r="E65" i="3"/>
  <c r="E469" i="3"/>
  <c r="E492" i="3"/>
  <c r="E123" i="3"/>
  <c r="E178" i="3"/>
  <c r="E238" i="3"/>
  <c r="E73" i="3"/>
  <c r="E236" i="3"/>
  <c r="E558" i="3"/>
  <c r="E316" i="3"/>
  <c r="E282" i="3"/>
  <c r="E396" i="3"/>
  <c r="V6" i="3"/>
  <c r="E130" i="3"/>
  <c r="E550" i="3"/>
  <c r="E245" i="3"/>
  <c r="E293" i="3"/>
  <c r="E370" i="3"/>
  <c r="E340" i="3"/>
  <c r="E170" i="3"/>
  <c r="E242" i="3"/>
  <c r="E253" i="3"/>
  <c r="E511" i="3"/>
  <c r="E519" i="3"/>
  <c r="E433" i="3"/>
  <c r="E567" i="3"/>
  <c r="E107" i="3"/>
  <c r="E414" i="3"/>
  <c r="E476" i="3"/>
  <c r="E186" i="3"/>
  <c r="E44" i="3"/>
  <c r="E343" i="3"/>
  <c r="E555" i="3"/>
  <c r="E270" i="3"/>
  <c r="E538" i="3"/>
  <c r="E216" i="3"/>
  <c r="E183" i="3"/>
  <c r="E91" i="3"/>
  <c r="E586" i="3"/>
  <c r="E347" i="3"/>
  <c r="E265" i="3"/>
  <c r="E325" i="3"/>
  <c r="E60" i="3"/>
  <c r="E483" i="3"/>
  <c r="E105" i="3"/>
  <c r="E277" i="3"/>
  <c r="E472" i="3"/>
  <c r="E577" i="3"/>
  <c r="E146" i="3"/>
  <c r="E362" i="3"/>
  <c r="E89" i="3"/>
  <c r="AO6" i="3"/>
  <c r="E557" i="3"/>
  <c r="E70" i="3"/>
  <c r="E377" i="3"/>
  <c r="E526" i="3"/>
  <c r="E509" i="3"/>
  <c r="E201" i="3"/>
  <c r="M6" i="3"/>
  <c r="E215" i="3"/>
  <c r="E563" i="3"/>
  <c r="E161" i="3"/>
  <c r="E423" i="3"/>
  <c r="X6" i="3"/>
  <c r="E147" i="3"/>
  <c r="E38" i="3"/>
  <c r="E119" i="3"/>
  <c r="E507" i="3"/>
  <c r="E122" i="3"/>
  <c r="E306" i="3"/>
  <c r="E532" i="3"/>
  <c r="E288" i="3"/>
  <c r="E475" i="3"/>
  <c r="E257" i="3"/>
  <c r="E397" i="3"/>
  <c r="E379" i="3"/>
  <c r="E432" i="3"/>
  <c r="E272" i="3"/>
  <c r="E29" i="3"/>
  <c r="E153" i="3"/>
  <c r="E574" i="3"/>
  <c r="E390" i="3"/>
  <c r="E418" i="3"/>
  <c r="E213" i="3"/>
  <c r="E254" i="3"/>
  <c r="AN6" i="3"/>
  <c r="E510" i="3"/>
  <c r="E233" i="3"/>
  <c r="E488" i="3"/>
  <c r="E243" i="3"/>
  <c r="E312" i="3"/>
  <c r="E118" i="3"/>
  <c r="E255" i="3"/>
  <c r="E197" i="3"/>
  <c r="E79" i="3"/>
  <c r="E394" i="3"/>
  <c r="E480" i="3"/>
  <c r="E114" i="3"/>
  <c r="E518" i="3"/>
  <c r="E333" i="3"/>
  <c r="E193" i="3"/>
  <c r="E111" i="3"/>
  <c r="E585" i="3"/>
  <c r="E162" i="3"/>
  <c r="E143" i="3"/>
  <c r="E180" i="3"/>
  <c r="E346" i="3"/>
  <c r="E133" i="3"/>
  <c r="E74" i="3"/>
  <c r="E345" i="3"/>
  <c r="AJ6" i="3"/>
  <c r="E278" i="3"/>
  <c r="E502" i="3"/>
  <c r="E376" i="3"/>
  <c r="E438" i="3"/>
  <c r="E145" i="3"/>
  <c r="E426" i="3"/>
  <c r="E237" i="3"/>
  <c r="E402" i="3"/>
  <c r="E525" i="3"/>
  <c r="E76" i="3"/>
  <c r="E484" i="3"/>
  <c r="E459" i="3"/>
  <c r="E46" i="3"/>
  <c r="E534" i="3"/>
  <c r="E349" i="3"/>
  <c r="E416" i="3"/>
  <c r="E138" i="3"/>
  <c r="E323" i="3"/>
  <c r="E24" i="3"/>
  <c r="E57" i="3"/>
  <c r="E209" i="3"/>
  <c r="E467" i="3"/>
  <c r="E258" i="3"/>
  <c r="E536" i="3"/>
  <c r="E226" i="3"/>
  <c r="E262" i="3"/>
  <c r="AE6" i="3"/>
  <c r="I6" i="3"/>
  <c r="E404" i="3"/>
  <c r="E125" i="3"/>
  <c r="E569" i="3"/>
  <c r="E407" i="3"/>
  <c r="E395" i="3"/>
  <c r="E61" i="3"/>
  <c r="E336" i="3"/>
  <c r="E365" i="3"/>
  <c r="E219" i="3"/>
  <c r="E393" i="3"/>
  <c r="E314" i="3"/>
  <c r="E573" i="3"/>
  <c r="E571" i="3"/>
  <c r="E150" i="3"/>
  <c r="E549" i="3"/>
  <c r="E515" i="3"/>
  <c r="AS6" i="3"/>
  <c r="E210" i="3"/>
  <c r="E175" i="3"/>
  <c r="E388" i="3"/>
  <c r="E533" i="3"/>
  <c r="E380" i="3"/>
  <c r="E528" i="3"/>
  <c r="E134" i="3"/>
  <c r="E124" i="3"/>
  <c r="E363" i="3"/>
  <c r="E234" i="3"/>
  <c r="E202" i="3"/>
  <c r="E543" i="3"/>
  <c r="E545" i="3"/>
  <c r="K6" i="3"/>
  <c r="E587" i="3"/>
  <c r="E171" i="3"/>
  <c r="E227" i="3"/>
  <c r="Z6" i="3"/>
  <c r="E531" i="3"/>
  <c r="E211" i="3"/>
  <c r="E217" i="3"/>
  <c r="E579" i="3"/>
  <c r="E514" i="3"/>
  <c r="E335" i="3"/>
  <c r="E172" i="3"/>
  <c r="E191" i="3"/>
  <c r="E246" i="3"/>
  <c r="E101" i="3"/>
  <c r="E339" i="3"/>
  <c r="E276" i="3"/>
  <c r="E564" i="3"/>
  <c r="E136" i="3"/>
  <c r="E313" i="3"/>
  <c r="W6" i="3"/>
  <c r="E168" i="3"/>
  <c r="U6" i="3"/>
  <c r="E547" i="3"/>
  <c r="E126" i="3"/>
  <c r="E53" i="3"/>
  <c r="E328" i="3"/>
  <c r="E97" i="3"/>
  <c r="E338" i="3"/>
  <c r="E304" i="3"/>
  <c r="E221" i="3"/>
  <c r="E353" i="3"/>
  <c r="E200" i="3"/>
  <c r="E163" i="3"/>
  <c r="E584" i="3"/>
  <c r="E470" i="3"/>
  <c r="E87" i="3"/>
  <c r="E442" i="3"/>
  <c r="E386" i="3"/>
  <c r="E104" i="3"/>
  <c r="E220" i="3"/>
  <c r="E575" i="3"/>
  <c r="E139" i="3"/>
  <c r="E48" i="3"/>
  <c r="E250" i="3"/>
  <c r="AL6" i="3"/>
  <c r="E364" i="3"/>
  <c r="E490" i="3"/>
  <c r="E120" i="3"/>
  <c r="E55" i="3"/>
  <c r="E576" i="3"/>
  <c r="E88" i="3"/>
  <c r="E553" i="3"/>
  <c r="E151" i="3"/>
  <c r="E320" i="3"/>
  <c r="E260" i="3"/>
  <c r="E382" i="3"/>
  <c r="E583" i="3"/>
  <c r="E62" i="3"/>
  <c r="E455" i="3"/>
  <c r="E401" i="3"/>
  <c r="E188" i="3"/>
  <c r="E99" i="3"/>
  <c r="E458" i="3"/>
  <c r="E351" i="3"/>
  <c r="E269" i="3"/>
  <c r="E478" i="3"/>
  <c r="E447" i="3"/>
  <c r="E331" i="3"/>
  <c r="E530" i="3"/>
  <c r="E410" i="3"/>
  <c r="AR6" i="3"/>
  <c r="E231" i="3"/>
  <c r="E361" i="3"/>
  <c r="E301" i="3"/>
  <c r="E399" i="3"/>
  <c r="E20" i="3"/>
  <c r="E100" i="3"/>
  <c r="E25" i="3"/>
  <c r="E16" i="3"/>
  <c r="AK6" i="3"/>
  <c r="E560" i="3"/>
  <c r="E468" i="3"/>
  <c r="E214" i="3"/>
  <c r="E368" i="3"/>
  <c r="E485" i="3"/>
  <c r="E489" i="3"/>
  <c r="E273" i="3"/>
  <c r="E268" i="3"/>
  <c r="E431" i="3"/>
  <c r="E263" i="3"/>
  <c r="E539" i="3"/>
  <c r="E218" i="3"/>
  <c r="E40" i="3"/>
  <c r="E116" i="3"/>
  <c r="E352" i="3"/>
  <c r="E529" i="3"/>
  <c r="E537" i="3"/>
  <c r="E208" i="3"/>
  <c r="E196" i="3"/>
  <c r="E411" i="3"/>
  <c r="E403" i="3"/>
  <c r="E291" i="3"/>
  <c r="E319" i="3"/>
  <c r="O6" i="3"/>
  <c r="S6" i="3"/>
  <c r="E321" i="3"/>
  <c r="E565" i="3"/>
  <c r="E159" i="3"/>
  <c r="E280" i="3"/>
  <c r="E37" i="3"/>
  <c r="E66" i="3"/>
  <c r="E264" i="3"/>
  <c r="E292" i="3"/>
  <c r="E251" i="3"/>
  <c r="E554" i="3"/>
  <c r="E212" i="3"/>
  <c r="E152" i="3"/>
  <c r="E86" i="3"/>
  <c r="E348" i="3"/>
  <c r="E499" i="3"/>
  <c r="E42" i="3"/>
  <c r="E287" i="3"/>
  <c r="AF6" i="3"/>
  <c r="E248" i="3"/>
  <c r="E137" i="3"/>
  <c r="E486" i="3"/>
  <c r="Q6" i="3"/>
  <c r="E274" i="3"/>
  <c r="AG6" i="3"/>
  <c r="E295" i="3"/>
  <c r="N6" i="3"/>
  <c r="E358" i="3"/>
  <c r="E230" i="3"/>
  <c r="E117" i="3"/>
  <c r="E578" i="3"/>
  <c r="E391" i="3"/>
  <c r="E112" i="3"/>
  <c r="E43" i="3"/>
  <c r="J6" i="3"/>
  <c r="E45" i="3"/>
  <c r="E527" i="3"/>
  <c r="E72" i="3"/>
  <c r="E318" i="3"/>
  <c r="E271" i="3"/>
  <c r="E477" i="3"/>
  <c r="E27" i="3"/>
  <c r="E384" i="3"/>
  <c r="E305" i="3"/>
  <c r="E337" i="3"/>
  <c r="E561" i="3"/>
  <c r="E185" i="3"/>
  <c r="E503" i="3"/>
  <c r="E350" i="3"/>
  <c r="E310" i="3"/>
  <c r="E289" i="3"/>
  <c r="E15" i="3"/>
  <c r="AH6" i="3"/>
  <c r="E77" i="3"/>
  <c r="E228" i="3"/>
  <c r="E406" i="3"/>
  <c r="E315" i="3"/>
  <c r="E204" i="3"/>
  <c r="E400" i="3"/>
  <c r="E28" i="3"/>
  <c r="E572" i="3"/>
  <c r="E322" i="3"/>
  <c r="E247" i="3"/>
  <c r="AB6" i="3"/>
  <c r="E69" i="3"/>
  <c r="E535" i="3"/>
  <c r="AI6" i="3"/>
  <c r="E522" i="3"/>
  <c r="E50" i="3"/>
  <c r="E473" i="3"/>
  <c r="E419" i="3"/>
  <c r="E329" i="3"/>
  <c r="E157" i="3"/>
  <c r="E474" i="3"/>
  <c r="E471" i="3"/>
  <c r="E357" i="3"/>
  <c r="E207" i="3"/>
  <c r="E548" i="3"/>
  <c r="E71" i="3"/>
  <c r="E317" i="3"/>
  <c r="E501" i="3"/>
  <c r="E359" i="3"/>
  <c r="E298" i="3"/>
  <c r="E17" i="3"/>
  <c r="AA6" i="3"/>
  <c r="E513" i="3"/>
  <c r="E516" i="3"/>
  <c r="E13" i="3"/>
  <c r="E562" i="3"/>
  <c r="E31" i="3"/>
  <c r="E505" i="3"/>
  <c r="E441" i="3"/>
  <c r="E508" i="3"/>
  <c r="E439" i="3"/>
  <c r="E36" i="3"/>
  <c r="E568" i="3"/>
  <c r="E106" i="3"/>
  <c r="E182" i="3"/>
  <c r="E311" i="3"/>
  <c r="E385" i="3"/>
  <c r="L6" i="3"/>
  <c r="E224" i="3"/>
  <c r="E14" i="3"/>
  <c r="E92" i="3"/>
  <c r="E506" i="3"/>
  <c r="E494" i="3"/>
  <c r="E405" i="3"/>
  <c r="E308" i="3"/>
  <c r="E389" i="3"/>
  <c r="E521" i="3"/>
  <c r="E142" i="3"/>
  <c r="E309" i="3"/>
  <c r="E156" i="3"/>
  <c r="E344" i="3"/>
  <c r="E443" i="3"/>
  <c r="E559" i="3"/>
  <c r="E290" i="3"/>
  <c r="E392" i="3"/>
  <c r="E85" i="3"/>
  <c r="E261" i="3"/>
  <c r="E129" i="3"/>
  <c r="E422" i="3"/>
  <c r="E465" i="3"/>
  <c r="E327" i="3"/>
  <c r="E109" i="3"/>
  <c r="E387" i="3"/>
  <c r="E135" i="3"/>
  <c r="E52" i="3"/>
  <c r="E54" i="3"/>
  <c r="E367" i="3"/>
  <c r="AM6" i="3"/>
  <c r="E285" i="3"/>
  <c r="E302" i="3"/>
  <c r="E194" i="3"/>
  <c r="E303" i="3"/>
  <c r="E582" i="3"/>
  <c r="E39" i="3"/>
  <c r="E190" i="3"/>
  <c r="E82" i="3"/>
  <c r="R6" i="3"/>
  <c r="E297" i="3"/>
  <c r="E451" i="3"/>
  <c r="E75" i="3"/>
  <c r="Y6" i="3"/>
  <c r="H6" i="3" s="1"/>
  <c r="E373" i="3"/>
  <c r="E436" i="3"/>
  <c r="E342" i="3"/>
  <c r="E95" i="3"/>
  <c r="E517" i="3"/>
  <c r="E284" i="3"/>
  <c r="E158" i="3"/>
  <c r="E446" i="3"/>
  <c r="E249" i="3"/>
  <c r="E206" i="3"/>
  <c r="E463" i="3"/>
  <c r="E481" i="3"/>
  <c r="E252" i="3"/>
  <c r="E334" i="3"/>
  <c r="E551" i="3"/>
  <c r="E456" i="3"/>
  <c r="E356" i="3"/>
  <c r="E49" i="3"/>
  <c r="E184" i="3"/>
  <c r="E497" i="3"/>
  <c r="E47" i="3"/>
  <c r="E360" i="3"/>
  <c r="E466" i="3"/>
  <c r="E354" i="3"/>
  <c r="E324" i="3"/>
  <c r="E378" i="3"/>
  <c r="E58" i="3"/>
  <c r="E96" i="3"/>
  <c r="E372" i="3"/>
  <c r="E330" i="3"/>
  <c r="E32" i="3"/>
  <c r="E166" i="3"/>
  <c r="E286" i="3"/>
  <c r="E192" i="3"/>
  <c r="E307" i="3"/>
  <c r="E371" i="3"/>
  <c r="E408" i="3"/>
  <c r="E94" i="3"/>
  <c r="E491" i="3"/>
  <c r="E98" i="3"/>
  <c r="E283" i="3"/>
  <c r="E369" i="3"/>
  <c r="E132" i="3"/>
  <c r="E68" i="3"/>
  <c r="E428" i="3"/>
  <c r="E240" i="3"/>
  <c r="E83" i="3"/>
  <c r="E421" i="3"/>
  <c r="E383" i="3"/>
  <c r="E222" i="3"/>
  <c r="E524" i="3"/>
  <c r="E493" i="3"/>
  <c r="E429" i="3"/>
  <c r="E448" i="3"/>
  <c r="E181" i="3"/>
  <c r="E487" i="3"/>
  <c r="E504" i="3"/>
  <c r="E127" i="3"/>
  <c r="E80" i="3"/>
  <c r="E435" i="3"/>
  <c r="E140" i="3"/>
  <c r="E115" i="3"/>
  <c r="E267" i="3"/>
  <c r="E195" i="3"/>
  <c r="E464" i="3"/>
  <c r="E375" i="3"/>
  <c r="E148" i="3"/>
  <c r="E81" i="3"/>
  <c r="E482" i="3"/>
  <c r="E417" i="3"/>
  <c r="E452" i="3"/>
  <c r="E381" i="3"/>
  <c r="E566" i="3"/>
  <c r="AQ6" i="3"/>
  <c r="E434" i="3"/>
  <c r="E203" i="3"/>
  <c r="E581" i="3"/>
  <c r="E239" i="3"/>
  <c r="E415" i="3"/>
  <c r="E420" i="3"/>
  <c r="E103" i="3"/>
  <c r="E326" i="3"/>
  <c r="AD6" i="3"/>
  <c r="AC6" i="3" s="1"/>
  <c r="E225" i="3"/>
  <c r="E154" i="3"/>
  <c r="E174" i="3"/>
  <c r="E332" i="3"/>
  <c r="E165" i="3"/>
  <c r="E512" i="3"/>
  <c r="E23" i="3"/>
  <c r="E22" i="3"/>
  <c r="E176" i="3"/>
  <c r="E223" i="3"/>
  <c r="E496" i="3"/>
  <c r="P6" i="3"/>
  <c r="E189" i="3"/>
  <c r="E173" i="3"/>
  <c r="E552" i="3"/>
  <c r="E341" i="3"/>
  <c r="E169" i="3"/>
  <c r="AP6" i="3"/>
  <c r="E425" i="3"/>
  <c r="E113" i="3"/>
  <c r="E149" i="3"/>
  <c r="E41" i="3"/>
  <c r="E542" i="3"/>
  <c r="E259" i="3"/>
  <c r="E67" i="3"/>
  <c r="E34" i="3"/>
  <c r="I3" i="6"/>
  <c r="E412" i="3"/>
  <c r="E398" i="3"/>
  <c r="T6" i="3"/>
  <c r="E300" i="3"/>
  <c r="E160" i="3"/>
  <c r="E241" i="3"/>
  <c r="E26" i="3"/>
  <c r="E59" i="3"/>
  <c r="E540" i="3"/>
  <c r="E177" i="3"/>
  <c r="E580" i="3"/>
  <c r="E121" i="3"/>
  <c r="E229" i="3"/>
  <c r="E167" i="3"/>
  <c r="E187" i="3"/>
  <c r="E235" i="3"/>
  <c r="E275" i="3"/>
  <c r="E541" i="3"/>
  <c r="E544" i="3"/>
  <c r="E141" i="3"/>
  <c r="E205" i="3"/>
  <c r="E64" i="3"/>
  <c r="E198" i="3"/>
  <c r="E479" i="3"/>
  <c r="E19" i="3"/>
  <c r="E90" i="3"/>
  <c r="E299" i="3"/>
  <c r="E128" i="3"/>
  <c r="E256" i="3"/>
  <c r="E444" i="3"/>
  <c r="E462" i="3"/>
  <c r="E84" i="3"/>
  <c r="E244" i="3"/>
  <c r="E498" i="3"/>
  <c r="E366" i="3"/>
  <c r="E63" i="3"/>
  <c r="E155" i="3"/>
  <c r="E78" i="3"/>
  <c r="E424" i="3"/>
  <c r="E294" i="3"/>
  <c r="E296" i="3"/>
  <c r="E520" i="3"/>
  <c r="E35" i="3"/>
  <c r="E164" i="3"/>
  <c r="E374" i="3"/>
  <c r="E56" i="3"/>
  <c r="E102" i="3"/>
  <c r="E51" i="3"/>
  <c r="E30" i="3"/>
  <c r="E495" i="3"/>
  <c r="AA37" i="34"/>
  <c r="S37" i="34"/>
  <c r="E445" i="3"/>
  <c r="E279" i="3"/>
  <c r="M67" i="43"/>
  <c r="N67" i="43" s="1"/>
  <c r="K67" i="43"/>
  <c r="M62" i="43"/>
  <c r="N62" i="43" s="1"/>
  <c r="K62" i="43"/>
  <c r="E31" i="6"/>
  <c r="K23" i="6"/>
  <c r="M23" i="6" s="1"/>
  <c r="I23" i="6" s="1"/>
  <c r="S23" i="6" s="1"/>
  <c r="K24" i="6"/>
  <c r="M24" i="6" s="1"/>
  <c r="I24" i="6" s="1"/>
  <c r="S24" i="6" s="1"/>
  <c r="K22" i="6"/>
  <c r="M22" i="6" s="1"/>
  <c r="I22" i="6" s="1"/>
  <c r="S22" i="6" s="1"/>
  <c r="K21" i="6"/>
  <c r="M21" i="6" s="1"/>
  <c r="I21" i="6" s="1"/>
  <c r="S21" i="6" s="1"/>
  <c r="K25" i="6"/>
  <c r="M25" i="6" s="1"/>
  <c r="I25" i="6" s="1"/>
  <c r="S25" i="6" s="1"/>
  <c r="K20" i="6"/>
  <c r="M20" i="6" s="1"/>
  <c r="I20" i="6" s="1"/>
  <c r="S20" i="6" s="1"/>
  <c r="K26" i="6"/>
  <c r="M26" i="6" s="1"/>
  <c r="I26" i="6" s="1"/>
  <c r="S26" i="6" s="1"/>
  <c r="K19" i="6"/>
  <c r="E57" i="40"/>
  <c r="E61" i="39"/>
  <c r="E523" i="3"/>
  <c r="E440" i="3"/>
  <c r="E110" i="3"/>
  <c r="AC37" i="82"/>
  <c r="W37" i="82"/>
  <c r="E450" i="3"/>
  <c r="C36" i="71"/>
  <c r="D35" i="71"/>
  <c r="AC34" i="34"/>
  <c r="V49" i="34" s="1"/>
  <c r="I49" i="34" s="1"/>
  <c r="I53" i="34" s="1"/>
  <c r="J53" i="34" s="1"/>
  <c r="W34" i="34"/>
  <c r="E461" i="3"/>
  <c r="U37" i="34"/>
  <c r="AB37" i="34"/>
  <c r="T20" i="71"/>
  <c r="D20" i="71"/>
  <c r="U20" i="71" s="1"/>
  <c r="C19" i="71"/>
  <c r="E453" i="3"/>
  <c r="E93" i="3"/>
  <c r="M68" i="43"/>
  <c r="N68" i="43" s="1"/>
  <c r="K68" i="43"/>
  <c r="M69" i="43"/>
  <c r="N69" i="43" s="1"/>
  <c r="K69" i="43"/>
  <c r="J69" i="43" s="1"/>
  <c r="E29" i="77"/>
  <c r="E32" i="77" s="1"/>
  <c r="E26" i="77"/>
  <c r="E38" i="77"/>
  <c r="E39" i="77" s="1"/>
  <c r="C40" i="77" s="1"/>
  <c r="E63" i="39"/>
  <c r="E59" i="40"/>
  <c r="E457" i="3"/>
  <c r="S37" i="82"/>
  <c r="AA37" i="82"/>
  <c r="C35" i="11"/>
  <c r="C38" i="11"/>
  <c r="C35" i="68"/>
  <c r="C38" i="68"/>
  <c r="C47" i="68"/>
  <c r="D45" i="68" s="1"/>
  <c r="C29" i="68"/>
  <c r="D27" i="68" s="1"/>
  <c r="F45" i="68"/>
  <c r="C29" i="11"/>
  <c r="D27" i="11" s="1"/>
  <c r="C47" i="11"/>
  <c r="D45" i="11" s="1"/>
  <c r="C47" i="69"/>
  <c r="D45" i="69" s="1"/>
  <c r="F45" i="69"/>
  <c r="C29" i="69"/>
  <c r="D27" i="69" s="1"/>
  <c r="I40" i="36"/>
  <c r="J40" i="36" s="1"/>
  <c r="W7" i="21"/>
  <c r="AC7" i="21"/>
  <c r="V48" i="21" s="1"/>
  <c r="I48" i="21" s="1"/>
  <c r="AC10" i="39"/>
  <c r="W10" i="39"/>
  <c r="R37" i="36"/>
  <c r="E36" i="36"/>
  <c r="I41" i="36" s="1"/>
  <c r="J41" i="36" s="1"/>
  <c r="G40" i="36"/>
  <c r="H40" i="36" s="1"/>
  <c r="G41" i="36"/>
  <c r="H41" i="36" s="1"/>
  <c r="AA7" i="33"/>
  <c r="R48" i="33" s="1"/>
  <c r="S7" i="33"/>
  <c r="AB10" i="40"/>
  <c r="U10" i="40"/>
  <c r="AB10" i="39"/>
  <c r="U10" i="39"/>
  <c r="G52" i="33"/>
  <c r="H52" i="33" s="1"/>
  <c r="AA7" i="21"/>
  <c r="R48" i="21" s="1"/>
  <c r="S7" i="21"/>
  <c r="E38" i="35"/>
  <c r="R39" i="35"/>
  <c r="F59" i="82"/>
  <c r="I42" i="35"/>
  <c r="J42" i="35" s="1"/>
  <c r="I43" i="35"/>
  <c r="J43" i="35" s="1"/>
  <c r="S10" i="40"/>
  <c r="AA10" i="40"/>
  <c r="AA10" i="39"/>
  <c r="S10" i="39"/>
  <c r="G43" i="35"/>
  <c r="H43" i="35" s="1"/>
  <c r="G42" i="35"/>
  <c r="H42" i="35" s="1"/>
  <c r="U7" i="21"/>
  <c r="AB7" i="21"/>
  <c r="T48" i="21" s="1"/>
  <c r="G48" i="21" s="1"/>
  <c r="S7" i="37"/>
  <c r="AA7" i="37"/>
  <c r="R42" i="37" s="1"/>
  <c r="W7" i="37"/>
  <c r="AC7" i="37"/>
  <c r="V42" i="37" s="1"/>
  <c r="I42" i="37" s="1"/>
  <c r="G47" i="37" s="1"/>
  <c r="H47" i="37" s="1"/>
  <c r="AC10" i="40"/>
  <c r="W10" i="40"/>
  <c r="G46" i="37"/>
  <c r="H46" i="37" s="1"/>
  <c r="L36" i="43"/>
  <c r="P36" i="43" s="1"/>
  <c r="F24" i="67"/>
  <c r="C24" i="67" s="1"/>
  <c r="F24" i="15"/>
  <c r="C24" i="15" s="1"/>
  <c r="F25" i="12"/>
  <c r="C26" i="12" s="1"/>
  <c r="D25" i="12" s="1"/>
  <c r="F22" i="69"/>
  <c r="F22" i="68"/>
  <c r="C26" i="68" s="1"/>
  <c r="D22" i="68" s="1"/>
  <c r="J24" i="15"/>
  <c r="J26" i="15"/>
  <c r="J29" i="15" s="1"/>
  <c r="J24" i="67"/>
  <c r="J26" i="67"/>
  <c r="J17" i="15"/>
  <c r="C31" i="15"/>
  <c r="C61" i="15"/>
  <c r="C20" i="15"/>
  <c r="C26" i="15" s="1"/>
  <c r="C48" i="67"/>
  <c r="C61" i="67"/>
  <c r="C26" i="11"/>
  <c r="D22" i="11" s="1"/>
  <c r="C44" i="11"/>
  <c r="D41" i="11" s="1"/>
  <c r="C23" i="11"/>
  <c r="C53" i="15"/>
  <c r="C48" i="15" s="1"/>
  <c r="C10" i="15"/>
  <c r="C5" i="15" s="1"/>
  <c r="K4" i="4"/>
  <c r="B46" i="48" s="1"/>
  <c r="B4" i="72" s="1"/>
  <c r="B4" i="62"/>
  <c r="B71" i="72" s="1"/>
  <c r="F41" i="67"/>
  <c r="G69" i="39" l="1"/>
  <c r="H67" i="39"/>
  <c r="AC7" i="33"/>
  <c r="V48" i="33" s="1"/>
  <c r="I48" i="33" s="1"/>
  <c r="W7" i="33"/>
  <c r="T49" i="34"/>
  <c r="G49" i="34" s="1"/>
  <c r="G54" i="34" s="1"/>
  <c r="H54" i="34" s="1"/>
  <c r="R49" i="34"/>
  <c r="E49" i="34" s="1"/>
  <c r="C50" i="89"/>
  <c r="C49" i="89"/>
  <c r="E54" i="89"/>
  <c r="F54" i="89" s="1"/>
  <c r="E53" i="89"/>
  <c r="F53" i="89" s="1"/>
  <c r="C41" i="77"/>
  <c r="B2" i="77"/>
  <c r="B3" i="77" s="1"/>
  <c r="K27" i="6"/>
  <c r="S6" i="1"/>
  <c r="M19" i="6"/>
  <c r="J63" i="43"/>
  <c r="D63" i="43"/>
  <c r="J62" i="43"/>
  <c r="D62" i="43"/>
  <c r="E6" i="3"/>
  <c r="E65" i="39"/>
  <c r="J66" i="43"/>
  <c r="D66" i="43"/>
  <c r="D68" i="43"/>
  <c r="J68" i="43"/>
  <c r="C18" i="71"/>
  <c r="D19" i="71"/>
  <c r="J64" i="43"/>
  <c r="D64" i="43"/>
  <c r="J61" i="43"/>
  <c r="D61" i="43"/>
  <c r="D33" i="43"/>
  <c r="D1" i="43" s="1"/>
  <c r="B14" i="74"/>
  <c r="B1" i="74" s="1"/>
  <c r="D3" i="21"/>
  <c r="B3" i="21" s="1"/>
  <c r="C17" i="4"/>
  <c r="B4" i="52" s="1"/>
  <c r="B43" i="72" s="1"/>
  <c r="D3" i="33"/>
  <c r="B3" i="33" s="1"/>
  <c r="D37" i="11"/>
  <c r="C37" i="11" s="1"/>
  <c r="C33" i="11" s="1"/>
  <c r="D19" i="11"/>
  <c r="C19" i="11" s="1"/>
  <c r="D14" i="12"/>
  <c r="E6" i="6"/>
  <c r="D3" i="37"/>
  <c r="B3" i="37" s="1"/>
  <c r="D36" i="71"/>
  <c r="T36" i="71"/>
  <c r="J67" i="43"/>
  <c r="D67" i="43"/>
  <c r="J65" i="43"/>
  <c r="D65" i="43"/>
  <c r="J63" i="40"/>
  <c r="I65" i="40"/>
  <c r="AY207" i="3"/>
  <c r="AY50" i="3"/>
  <c r="AY77" i="3"/>
  <c r="AY457" i="3"/>
  <c r="AY269" i="3"/>
  <c r="AY226" i="3"/>
  <c r="AY350" i="3"/>
  <c r="AY227" i="3"/>
  <c r="AY194" i="3"/>
  <c r="AY14" i="3"/>
  <c r="AY314" i="3"/>
  <c r="AY429" i="3"/>
  <c r="AY564" i="3"/>
  <c r="AY22" i="3"/>
  <c r="AY402" i="3"/>
  <c r="AY315" i="3"/>
  <c r="AY143" i="3"/>
  <c r="AY66" i="3"/>
  <c r="AY392" i="3"/>
  <c r="AY501" i="3"/>
  <c r="AY254" i="3"/>
  <c r="AY212" i="3"/>
  <c r="AY438" i="3"/>
  <c r="AY426" i="3"/>
  <c r="AY86" i="3"/>
  <c r="AY122" i="3"/>
  <c r="AY13" i="3"/>
  <c r="AY551" i="3"/>
  <c r="AY107" i="3"/>
  <c r="AY521" i="3"/>
  <c r="AY252" i="3"/>
  <c r="AY109" i="3"/>
  <c r="AY467" i="3"/>
  <c r="BR6" i="3"/>
  <c r="AY461" i="3"/>
  <c r="AY62" i="3"/>
  <c r="AY372" i="3"/>
  <c r="AY317" i="3"/>
  <c r="AY89" i="3"/>
  <c r="AY516" i="3"/>
  <c r="AY134" i="3"/>
  <c r="AY282" i="3"/>
  <c r="AY167" i="3"/>
  <c r="AY224" i="3"/>
  <c r="AY563" i="3"/>
  <c r="AY64" i="3"/>
  <c r="AY265" i="3"/>
  <c r="AY307" i="3"/>
  <c r="AY513" i="3"/>
  <c r="AY411" i="3"/>
  <c r="AY146" i="3"/>
  <c r="AY191" i="3"/>
  <c r="AY370" i="3"/>
  <c r="AY345" i="3"/>
  <c r="AY232" i="3"/>
  <c r="AY504" i="3"/>
  <c r="AY347" i="3"/>
  <c r="AY250" i="3"/>
  <c r="AY451" i="3"/>
  <c r="AY400" i="3"/>
  <c r="AY84" i="3"/>
  <c r="AY164" i="3"/>
  <c r="AY237" i="3"/>
  <c r="AY536" i="3"/>
  <c r="AY148" i="3"/>
  <c r="AY432" i="3"/>
  <c r="AY568" i="3"/>
  <c r="AY140" i="3"/>
  <c r="AY94" i="3"/>
  <c r="AY557" i="3"/>
  <c r="AY571" i="3"/>
  <c r="AY42" i="3"/>
  <c r="AY200" i="3"/>
  <c r="BP6" i="3"/>
  <c r="AY153" i="3"/>
  <c r="AY102" i="3"/>
  <c r="AY537" i="3"/>
  <c r="AY32" i="3"/>
  <c r="AY277" i="3"/>
  <c r="AY362" i="3"/>
  <c r="AY502" i="3"/>
  <c r="AY223" i="3"/>
  <c r="AY580" i="3"/>
  <c r="AY286" i="3"/>
  <c r="AY497" i="3"/>
  <c r="AY435" i="3"/>
  <c r="AY117" i="3"/>
  <c r="AY444" i="3"/>
  <c r="AY414" i="3"/>
  <c r="AY357" i="3"/>
  <c r="AY533" i="3"/>
  <c r="AY123" i="3"/>
  <c r="AY566" i="3"/>
  <c r="AY408" i="3"/>
  <c r="AY505" i="3"/>
  <c r="AY413" i="3"/>
  <c r="AY330" i="3"/>
  <c r="AY418" i="3"/>
  <c r="AY550" i="3"/>
  <c r="AY70" i="3"/>
  <c r="AY127" i="3"/>
  <c r="AY423" i="3"/>
  <c r="AY189" i="3"/>
  <c r="AY341" i="3"/>
  <c r="AY20" i="3"/>
  <c r="AY132" i="3"/>
  <c r="AY393" i="3"/>
  <c r="AY68" i="3"/>
  <c r="AY18" i="3"/>
  <c r="AY348" i="3"/>
  <c r="AY263" i="3"/>
  <c r="AY342" i="3"/>
  <c r="AY225" i="3"/>
  <c r="AY144" i="3"/>
  <c r="AY253" i="3"/>
  <c r="AY74" i="3"/>
  <c r="AY409" i="3"/>
  <c r="AY465" i="3"/>
  <c r="AY108" i="3"/>
  <c r="AY138" i="3"/>
  <c r="AY214" i="3"/>
  <c r="AY24" i="3"/>
  <c r="AY349" i="3"/>
  <c r="AY427" i="3"/>
  <c r="AY98" i="3"/>
  <c r="AY390" i="3"/>
  <c r="AY25" i="3"/>
  <c r="BI6" i="3"/>
  <c r="AY464" i="3"/>
  <c r="AY523" i="3"/>
  <c r="AY43" i="3"/>
  <c r="AY69" i="3"/>
  <c r="AY384" i="3"/>
  <c r="AY309" i="3"/>
  <c r="AY494" i="3"/>
  <c r="AY287" i="3"/>
  <c r="AY471" i="3"/>
  <c r="AY524" i="3"/>
  <c r="AY192" i="3"/>
  <c r="AY346" i="3"/>
  <c r="AY55" i="3"/>
  <c r="AY391" i="3"/>
  <c r="AY586" i="3"/>
  <c r="AY450" i="3"/>
  <c r="AY120" i="3"/>
  <c r="AY195" i="3"/>
  <c r="AY21" i="3"/>
  <c r="AY415" i="3"/>
  <c r="AY248" i="3"/>
  <c r="AY293" i="3"/>
  <c r="AY155" i="3"/>
  <c r="AY268" i="3"/>
  <c r="AY183" i="3"/>
  <c r="AY529" i="3"/>
  <c r="AY463" i="3"/>
  <c r="AY92" i="3"/>
  <c r="AY165" i="3"/>
  <c r="AY219" i="3"/>
  <c r="AY202" i="3"/>
  <c r="AY333" i="3"/>
  <c r="AY297" i="3"/>
  <c r="AY441" i="3"/>
  <c r="AY97" i="3"/>
  <c r="AY230" i="3"/>
  <c r="AY353" i="3"/>
  <c r="AY534" i="3"/>
  <c r="AY199" i="3"/>
  <c r="AY178" i="3"/>
  <c r="AY279" i="3"/>
  <c r="AY556" i="3"/>
  <c r="AY229" i="3"/>
  <c r="AY173" i="3"/>
  <c r="AY215" i="3"/>
  <c r="AY582" i="3"/>
  <c r="AY369" i="3"/>
  <c r="AY499" i="3"/>
  <c r="AY156" i="3"/>
  <c r="AY405" i="3"/>
  <c r="AY256" i="3"/>
  <c r="AY434" i="3"/>
  <c r="AY474" i="3"/>
  <c r="AY216" i="3"/>
  <c r="AY492" i="3"/>
  <c r="AY416" i="3"/>
  <c r="AY91" i="3"/>
  <c r="AY187" i="3"/>
  <c r="AY442" i="3"/>
  <c r="AY37" i="3"/>
  <c r="AY275" i="3"/>
  <c r="AY100" i="3"/>
  <c r="AY49" i="3"/>
  <c r="AY130" i="3"/>
  <c r="AY555" i="3"/>
  <c r="AY16" i="3"/>
  <c r="AY377" i="3"/>
  <c r="AY133" i="3"/>
  <c r="AY395" i="3"/>
  <c r="AY168" i="3"/>
  <c r="AY299" i="3"/>
  <c r="AY301" i="3"/>
  <c r="AY352" i="3"/>
  <c r="AY487" i="3"/>
  <c r="AY496" i="3"/>
  <c r="AY114" i="3"/>
  <c r="BT6" i="3"/>
  <c r="AY500" i="3"/>
  <c r="AY538" i="3"/>
  <c r="AY583" i="3"/>
  <c r="AY482" i="3"/>
  <c r="AY431" i="3"/>
  <c r="BC6" i="3"/>
  <c r="AY27" i="3"/>
  <c r="AY285" i="3"/>
  <c r="AY407" i="3"/>
  <c r="AY137" i="3"/>
  <c r="AY324" i="3"/>
  <c r="AY193" i="3"/>
  <c r="AY147" i="3"/>
  <c r="AY356" i="3"/>
  <c r="AY36" i="3"/>
  <c r="AY90" i="3"/>
  <c r="AY491" i="3"/>
  <c r="AY247" i="3"/>
  <c r="AY452" i="3"/>
  <c r="AY366" i="3"/>
  <c r="AY477" i="3"/>
  <c r="AY394" i="3"/>
  <c r="AY479" i="3"/>
  <c r="AY375" i="3"/>
  <c r="AY296" i="3"/>
  <c r="AY321" i="3"/>
  <c r="AY490" i="3"/>
  <c r="AY560" i="3"/>
  <c r="AY46" i="3"/>
  <c r="AY484" i="3"/>
  <c r="AY96" i="3"/>
  <c r="AY161" i="3"/>
  <c r="AY573" i="3"/>
  <c r="AY577" i="3"/>
  <c r="AY40" i="3"/>
  <c r="AY535" i="3"/>
  <c r="AY546" i="3"/>
  <c r="AY274" i="3"/>
  <c r="AY170" i="3"/>
  <c r="AY26" i="3"/>
  <c r="AY281" i="3"/>
  <c r="AY95" i="3"/>
  <c r="AY382" i="3"/>
  <c r="AY204" i="3"/>
  <c r="AY180" i="3"/>
  <c r="AY433" i="3"/>
  <c r="AY45" i="3"/>
  <c r="AY118" i="3"/>
  <c r="AY381" i="3"/>
  <c r="AY177" i="3"/>
  <c r="AY332" i="3"/>
  <c r="BM6" i="3"/>
  <c r="AY163" i="3"/>
  <c r="AY447" i="3"/>
  <c r="AY157" i="3"/>
  <c r="AY186" i="3"/>
  <c r="AY403" i="3"/>
  <c r="AY82" i="3"/>
  <c r="AY379" i="3"/>
  <c r="AY198" i="3"/>
  <c r="BB6" i="3"/>
  <c r="AY449" i="3"/>
  <c r="AY101" i="3"/>
  <c r="AY234" i="3"/>
  <c r="AY458" i="3"/>
  <c r="AY542" i="3"/>
  <c r="AY135" i="3"/>
  <c r="AY456" i="3"/>
  <c r="AY184" i="3"/>
  <c r="AY338" i="3"/>
  <c r="AY142" i="3"/>
  <c r="AY17" i="3"/>
  <c r="AY383" i="3"/>
  <c r="AY272" i="3"/>
  <c r="AY267" i="3"/>
  <c r="AY515" i="3"/>
  <c r="AY485" i="3"/>
  <c r="AY351" i="3"/>
  <c r="AY59" i="3"/>
  <c r="AY371" i="3"/>
  <c r="AY284" i="3"/>
  <c r="AY300" i="3"/>
  <c r="AY401" i="3"/>
  <c r="AY76" i="3"/>
  <c r="AY125" i="3"/>
  <c r="AY374" i="3"/>
  <c r="AY145" i="3"/>
  <c r="AY316" i="3"/>
  <c r="AY335" i="3"/>
  <c r="AY260" i="3"/>
  <c r="AY44" i="3"/>
  <c r="AY360" i="3"/>
  <c r="AY475" i="3"/>
  <c r="BG6" i="3"/>
  <c r="AY311" i="3"/>
  <c r="AY302" i="3"/>
  <c r="AY340" i="3"/>
  <c r="AY81" i="3"/>
  <c r="AY478" i="3"/>
  <c r="AY270" i="3"/>
  <c r="AY483" i="3"/>
  <c r="AY80" i="3"/>
  <c r="AY328" i="3"/>
  <c r="AY565" i="3"/>
  <c r="AY280" i="3"/>
  <c r="AY587" i="3"/>
  <c r="AY354" i="3"/>
  <c r="AY305" i="3"/>
  <c r="AY288" i="3"/>
  <c r="AY203" i="3"/>
  <c r="AY385" i="3"/>
  <c r="AY323" i="3"/>
  <c r="AY437" i="3"/>
  <c r="AY99" i="3"/>
  <c r="AY312" i="3"/>
  <c r="AY514" i="3"/>
  <c r="AY88" i="3"/>
  <c r="AY417" i="3"/>
  <c r="AY508" i="3"/>
  <c r="BS6" i="3"/>
  <c r="AY481" i="3"/>
  <c r="AY561" i="3"/>
  <c r="AY166" i="3"/>
  <c r="AY206" i="3"/>
  <c r="AY428" i="3"/>
  <c r="AY115" i="3"/>
  <c r="AY236" i="3"/>
  <c r="AY320" i="3"/>
  <c r="AY306" i="3"/>
  <c r="AY519" i="3"/>
  <c r="AY93" i="3"/>
  <c r="AY190" i="3"/>
  <c r="AY443" i="3"/>
  <c r="AY359" i="3"/>
  <c r="AY445" i="3"/>
  <c r="AY339" i="3"/>
  <c r="AY233" i="3"/>
  <c r="AY304" i="3"/>
  <c r="AY459" i="3"/>
  <c r="AY512" i="3"/>
  <c r="AY35" i="3"/>
  <c r="AY453" i="3"/>
  <c r="AY65" i="3"/>
  <c r="AY121" i="3"/>
  <c r="AY105" i="3"/>
  <c r="AY112" i="3"/>
  <c r="AY150" i="3"/>
  <c r="BO6" i="3"/>
  <c r="AY495" i="3"/>
  <c r="AY242" i="3"/>
  <c r="AY149" i="3"/>
  <c r="AY245" i="3"/>
  <c r="AY276" i="3"/>
  <c r="AY257" i="3"/>
  <c r="AY19" i="3"/>
  <c r="AY396" i="3"/>
  <c r="AY175" i="3"/>
  <c r="AY110" i="3"/>
  <c r="AY298" i="3"/>
  <c r="AY213" i="3"/>
  <c r="AY466" i="3"/>
  <c r="AY570" i="3"/>
  <c r="AY329" i="3"/>
  <c r="AY543" i="3"/>
  <c r="AY373" i="3"/>
  <c r="AY343" i="3"/>
  <c r="AY518" i="3"/>
  <c r="AY222" i="3"/>
  <c r="AY244" i="3"/>
  <c r="BQ6" i="3"/>
  <c r="AY41" i="3"/>
  <c r="AY61" i="3"/>
  <c r="AY318" i="3"/>
  <c r="AY87" i="3"/>
  <c r="AY152" i="3"/>
  <c r="AY303" i="3"/>
  <c r="AY363" i="3"/>
  <c r="AY228" i="3"/>
  <c r="BK6" i="3"/>
  <c r="AY28" i="3"/>
  <c r="AY294" i="3"/>
  <c r="AY554" i="3"/>
  <c r="AY290" i="3"/>
  <c r="AY488" i="3"/>
  <c r="BF6" i="3"/>
  <c r="AY334" i="3"/>
  <c r="AY574" i="3"/>
  <c r="AY271" i="3"/>
  <c r="AY243" i="3"/>
  <c r="AY527" i="3"/>
  <c r="AY292" i="3"/>
  <c r="AY436" i="3"/>
  <c r="AY141" i="3"/>
  <c r="AY181" i="3"/>
  <c r="AY503" i="3"/>
  <c r="AY48" i="3"/>
  <c r="AY364" i="3"/>
  <c r="AY439" i="3"/>
  <c r="AY578" i="3"/>
  <c r="AY249" i="3"/>
  <c r="AY558" i="3"/>
  <c r="AY128" i="3"/>
  <c r="AY448" i="3"/>
  <c r="AY218" i="3"/>
  <c r="AY530" i="3"/>
  <c r="AY440" i="3"/>
  <c r="AY322" i="3"/>
  <c r="AY337" i="3"/>
  <c r="AY493" i="3"/>
  <c r="AY547" i="3"/>
  <c r="AY83" i="3"/>
  <c r="AY131" i="3"/>
  <c r="AY103" i="3"/>
  <c r="AY319" i="3"/>
  <c r="AY217" i="3"/>
  <c r="AY544" i="3"/>
  <c r="AY33" i="3"/>
  <c r="AY278" i="3"/>
  <c r="BH6" i="3"/>
  <c r="AY259" i="3"/>
  <c r="AY176" i="3"/>
  <c r="AY289" i="3"/>
  <c r="AY310" i="3"/>
  <c r="AY154" i="3"/>
  <c r="AY56" i="3"/>
  <c r="AY430" i="3"/>
  <c r="AY171" i="3"/>
  <c r="AY562" i="3"/>
  <c r="AY389" i="3"/>
  <c r="AY422" i="3"/>
  <c r="AY31" i="3"/>
  <c r="AY539" i="3"/>
  <c r="AY368" i="3"/>
  <c r="AY419" i="3"/>
  <c r="AY169" i="3"/>
  <c r="AY468" i="3"/>
  <c r="AY531" i="3"/>
  <c r="AY376" i="3"/>
  <c r="AY38" i="3"/>
  <c r="AY79" i="3"/>
  <c r="AY113" i="3"/>
  <c r="AY39" i="3"/>
  <c r="AY548" i="3"/>
  <c r="AY205" i="3"/>
  <c r="AY273" i="3"/>
  <c r="AY331" i="3"/>
  <c r="AY509" i="3"/>
  <c r="AY380" i="3"/>
  <c r="AY572" i="3"/>
  <c r="AY238" i="3"/>
  <c r="AY116" i="3"/>
  <c r="AY525" i="3"/>
  <c r="AY239" i="3"/>
  <c r="AY425" i="3"/>
  <c r="AY398" i="3"/>
  <c r="BJ6" i="3"/>
  <c r="AY553" i="3"/>
  <c r="AY261" i="3"/>
  <c r="AY51" i="3"/>
  <c r="AY386" i="3"/>
  <c r="AY208" i="3"/>
  <c r="AY517" i="3"/>
  <c r="AY72" i="3"/>
  <c r="AY404" i="3"/>
  <c r="AY106" i="3"/>
  <c r="AY240" i="3"/>
  <c r="AY151" i="3"/>
  <c r="AY361" i="3"/>
  <c r="AY136" i="3"/>
  <c r="AY30" i="3"/>
  <c r="AY235" i="3"/>
  <c r="AY367" i="3"/>
  <c r="AY424" i="3"/>
  <c r="BA6" i="3"/>
  <c r="AY313" i="3"/>
  <c r="AY584" i="3"/>
  <c r="AY507" i="3"/>
  <c r="AY326" i="3"/>
  <c r="AY559" i="3"/>
  <c r="AY365" i="3"/>
  <c r="AY355" i="3"/>
  <c r="AY585" i="3"/>
  <c r="AY197" i="3"/>
  <c r="AY60" i="3"/>
  <c r="AY473" i="3"/>
  <c r="AY124" i="3"/>
  <c r="AY71" i="3"/>
  <c r="AY545" i="3"/>
  <c r="AY174" i="3"/>
  <c r="AY528" i="3"/>
  <c r="AY575" i="3"/>
  <c r="AY498" i="3"/>
  <c r="AY119" i="3"/>
  <c r="AY221" i="3"/>
  <c r="D3" i="6"/>
  <c r="AY266" i="3"/>
  <c r="AY406" i="3"/>
  <c r="AY291" i="3"/>
  <c r="AY412" i="3"/>
  <c r="AY454" i="3"/>
  <c r="AY126" i="3"/>
  <c r="AY486" i="3"/>
  <c r="AY462" i="3"/>
  <c r="AY397" i="3"/>
  <c r="AY569" i="3"/>
  <c r="AY139" i="3"/>
  <c r="AY34" i="3"/>
  <c r="AY111" i="3"/>
  <c r="AY196" i="3"/>
  <c r="AY470" i="3"/>
  <c r="AY358" i="3"/>
  <c r="AY541" i="3"/>
  <c r="AY201" i="3"/>
  <c r="AY231" i="3"/>
  <c r="AY104" i="3"/>
  <c r="AY210" i="3"/>
  <c r="AY446" i="3"/>
  <c r="AY510" i="3"/>
  <c r="AY526" i="3"/>
  <c r="AY85" i="3"/>
  <c r="AY211" i="3"/>
  <c r="AY325" i="3"/>
  <c r="AY532" i="3"/>
  <c r="AY489" i="3"/>
  <c r="AY540" i="3"/>
  <c r="AY255" i="3"/>
  <c r="AY258" i="3"/>
  <c r="AY520" i="3"/>
  <c r="AY158" i="3"/>
  <c r="AY344" i="3"/>
  <c r="AY506" i="3"/>
  <c r="AY63" i="3"/>
  <c r="AY378" i="3"/>
  <c r="BL6" i="3"/>
  <c r="AY241" i="3"/>
  <c r="BD6" i="3"/>
  <c r="AY336" i="3"/>
  <c r="AY47" i="3"/>
  <c r="AY576" i="3"/>
  <c r="AY15" i="3"/>
  <c r="AY476" i="3"/>
  <c r="AY172" i="3"/>
  <c r="AY54" i="3"/>
  <c r="AY23" i="3"/>
  <c r="AY58" i="3"/>
  <c r="AY160" i="3"/>
  <c r="AY460" i="3"/>
  <c r="AY327" i="3"/>
  <c r="BE6" i="3"/>
  <c r="AY185" i="3"/>
  <c r="AY262" i="3"/>
  <c r="AY73" i="3"/>
  <c r="AY388" i="3"/>
  <c r="AY188" i="3"/>
  <c r="AY209" i="3"/>
  <c r="AY549" i="3"/>
  <c r="AY283" i="3"/>
  <c r="AY295" i="3"/>
  <c r="AY581" i="3"/>
  <c r="AY387" i="3"/>
  <c r="AY53" i="3"/>
  <c r="AY57" i="3"/>
  <c r="BN6" i="3"/>
  <c r="AY455" i="3"/>
  <c r="AY52" i="3"/>
  <c r="AY29" i="3"/>
  <c r="AY552" i="3"/>
  <c r="AY251" i="3"/>
  <c r="AY410" i="3"/>
  <c r="AY78" i="3"/>
  <c r="AY469" i="3"/>
  <c r="AY159" i="3"/>
  <c r="AY522" i="3"/>
  <c r="AY567" i="3"/>
  <c r="AY421" i="3"/>
  <c r="AY399" i="3"/>
  <c r="AY511" i="3"/>
  <c r="AY179" i="3"/>
  <c r="AY264" i="3"/>
  <c r="AY579" i="3"/>
  <c r="AY129" i="3"/>
  <c r="AY480" i="3"/>
  <c r="AY162" i="3"/>
  <c r="AY220" i="3"/>
  <c r="AY308" i="3"/>
  <c r="AY182" i="3"/>
  <c r="AY75" i="3"/>
  <c r="AY472" i="3"/>
  <c r="AY246" i="3"/>
  <c r="AY420" i="3"/>
  <c r="AY67" i="3"/>
  <c r="C44" i="68"/>
  <c r="D41" i="68" s="1"/>
  <c r="L37" i="43"/>
  <c r="Q37" i="43" s="1"/>
  <c r="Q36" i="43"/>
  <c r="G53" i="21"/>
  <c r="H53" i="21" s="1"/>
  <c r="G52" i="21"/>
  <c r="H52" i="21" s="1"/>
  <c r="C39" i="35"/>
  <c r="M3" i="35" s="1"/>
  <c r="C38" i="35"/>
  <c r="E40" i="36"/>
  <c r="F40" i="36" s="1"/>
  <c r="E41" i="36"/>
  <c r="F41" i="36" s="1"/>
  <c r="I52" i="21"/>
  <c r="J52" i="21" s="1"/>
  <c r="R43" i="37"/>
  <c r="E42" i="37"/>
  <c r="I47" i="37" s="1"/>
  <c r="J47" i="37" s="1"/>
  <c r="M36" i="43"/>
  <c r="N36" i="43"/>
  <c r="I46" i="37"/>
  <c r="J46" i="37" s="1"/>
  <c r="E43" i="35"/>
  <c r="F43" i="35" s="1"/>
  <c r="E42" i="35"/>
  <c r="F42" i="35" s="1"/>
  <c r="E48" i="33"/>
  <c r="R49" i="33"/>
  <c r="C37" i="36"/>
  <c r="C36" i="36"/>
  <c r="G59" i="82"/>
  <c r="R49" i="21"/>
  <c r="E48" i="21"/>
  <c r="O36" i="43"/>
  <c r="F41" i="68"/>
  <c r="C24" i="69"/>
  <c r="F69" i="67"/>
  <c r="C44" i="69"/>
  <c r="D41" i="69" s="1"/>
  <c r="J29" i="67"/>
  <c r="C26" i="69"/>
  <c r="D22" i="69" s="1"/>
  <c r="F41" i="69"/>
  <c r="C60" i="67"/>
  <c r="C66" i="67"/>
  <c r="C38" i="15"/>
  <c r="C66" i="15"/>
  <c r="C60" i="15"/>
  <c r="C59" i="15" s="1"/>
  <c r="C23" i="15"/>
  <c r="C29" i="15" s="1"/>
  <c r="C14" i="67"/>
  <c r="C17" i="67"/>
  <c r="G53" i="33" l="1"/>
  <c r="H53" i="33" s="1"/>
  <c r="I52" i="33"/>
  <c r="J52" i="33" s="1"/>
  <c r="I67" i="39"/>
  <c r="H69" i="39"/>
  <c r="R50" i="34"/>
  <c r="C49" i="34" s="1"/>
  <c r="G53" i="34"/>
  <c r="H53" i="34" s="1"/>
  <c r="I54" i="34"/>
  <c r="J54" i="34" s="1"/>
  <c r="E53" i="34"/>
  <c r="F53" i="34" s="1"/>
  <c r="E54" i="34"/>
  <c r="F54" i="34" s="1"/>
  <c r="B3" i="89"/>
  <c r="B2" i="89"/>
  <c r="C18" i="67"/>
  <c r="C15" i="67"/>
  <c r="C42" i="11"/>
  <c r="C39" i="11"/>
  <c r="C43" i="11" s="1"/>
  <c r="D17" i="12"/>
  <c r="C17" i="12" s="1"/>
  <c r="C14" i="12"/>
  <c r="C16" i="12" s="1"/>
  <c r="E61" i="43"/>
  <c r="B59" i="43" s="1"/>
  <c r="C28" i="43" s="1"/>
  <c r="C20" i="11"/>
  <c r="C25" i="11" s="1"/>
  <c r="C28" i="11"/>
  <c r="C27" i="11" s="1"/>
  <c r="C24" i="11"/>
  <c r="C17" i="71"/>
  <c r="D18" i="71"/>
  <c r="H25" i="6"/>
  <c r="D14" i="6"/>
  <c r="D24" i="6"/>
  <c r="E61" i="40"/>
  <c r="H24" i="6"/>
  <c r="D22" i="6"/>
  <c r="D13" i="6"/>
  <c r="D15" i="6"/>
  <c r="D19" i="6"/>
  <c r="H22" i="6"/>
  <c r="D9" i="6"/>
  <c r="D25" i="6"/>
  <c r="D11" i="6"/>
  <c r="D8" i="6"/>
  <c r="H23" i="6"/>
  <c r="D20" i="6"/>
  <c r="D12" i="6"/>
  <c r="D23" i="6"/>
  <c r="R23" i="6" s="1"/>
  <c r="H21" i="6"/>
  <c r="D26" i="6"/>
  <c r="H26" i="6"/>
  <c r="D29" i="6"/>
  <c r="D6" i="6"/>
  <c r="D21" i="6"/>
  <c r="R21" i="6" s="1"/>
  <c r="D28" i="6"/>
  <c r="D30" i="6" s="1"/>
  <c r="D5" i="6"/>
  <c r="D10" i="6"/>
  <c r="H20" i="6"/>
  <c r="C18" i="4"/>
  <c r="M27" i="6"/>
  <c r="I19" i="6"/>
  <c r="J65" i="40"/>
  <c r="K63" i="40"/>
  <c r="D20" i="12"/>
  <c r="C20" i="12" s="1"/>
  <c r="D10" i="69"/>
  <c r="D10" i="68"/>
  <c r="D10" i="11"/>
  <c r="C10" i="11" s="1"/>
  <c r="T6" i="1"/>
  <c r="T16" i="1" s="1"/>
  <c r="S16" i="1"/>
  <c r="E6" i="70"/>
  <c r="E2" i="70" s="1"/>
  <c r="AR6" i="1"/>
  <c r="AQ6" i="1"/>
  <c r="P37" i="43"/>
  <c r="M37" i="43"/>
  <c r="N37" i="43"/>
  <c r="O37" i="43"/>
  <c r="E53" i="21"/>
  <c r="F53" i="21" s="1"/>
  <c r="E52" i="21"/>
  <c r="F52" i="21" s="1"/>
  <c r="H59" i="82"/>
  <c r="C49" i="33"/>
  <c r="C48" i="33"/>
  <c r="C49" i="21"/>
  <c r="C48" i="21"/>
  <c r="E52" i="33"/>
  <c r="F52" i="33" s="1"/>
  <c r="E53" i="33"/>
  <c r="F53" i="33" s="1"/>
  <c r="I53" i="33"/>
  <c r="J53" i="33" s="1"/>
  <c r="E47" i="37"/>
  <c r="F47" i="37" s="1"/>
  <c r="E46" i="37"/>
  <c r="F46" i="37" s="1"/>
  <c r="C43" i="37"/>
  <c r="C42" i="37"/>
  <c r="I53" i="21"/>
  <c r="J53" i="21" s="1"/>
  <c r="C36" i="15"/>
  <c r="J14" i="15"/>
  <c r="Q49" i="15"/>
  <c r="C13" i="15"/>
  <c r="C57" i="15"/>
  <c r="C64" i="15" s="1"/>
  <c r="J59" i="15"/>
  <c r="J60" i="15" s="1"/>
  <c r="J67" i="39" l="1"/>
  <c r="I69" i="39"/>
  <c r="C50" i="34"/>
  <c r="C46" i="11"/>
  <c r="C45" i="11" s="1"/>
  <c r="C19" i="67"/>
  <c r="C20" i="67" s="1"/>
  <c r="C26" i="67" s="1"/>
  <c r="C41" i="11"/>
  <c r="C49" i="11" s="1"/>
  <c r="C51" i="11" s="1"/>
  <c r="C22" i="11"/>
  <c r="C31" i="11" s="1"/>
  <c r="L18" i="9"/>
  <c r="H19" i="6"/>
  <c r="S19" i="6"/>
  <c r="S27" i="6" s="1"/>
  <c r="I27" i="6"/>
  <c r="C4" i="52"/>
  <c r="B45" i="72" s="1"/>
  <c r="A7" i="51"/>
  <c r="B7" i="72" s="1"/>
  <c r="A10" i="51"/>
  <c r="B9" i="72" s="1"/>
  <c r="M19" i="9"/>
  <c r="C118" i="9" s="1"/>
  <c r="D27" i="6"/>
  <c r="D31" i="6" s="1"/>
  <c r="C41" i="43"/>
  <c r="C37" i="43"/>
  <c r="T6" i="43"/>
  <c r="V6" i="43" s="1"/>
  <c r="T11" i="43"/>
  <c r="V11" i="43" s="1"/>
  <c r="T14" i="43"/>
  <c r="V14" i="43" s="1"/>
  <c r="T13" i="43"/>
  <c r="V13" i="43" s="1"/>
  <c r="C38" i="43"/>
  <c r="T4" i="43"/>
  <c r="V4" i="43" s="1"/>
  <c r="T9" i="43"/>
  <c r="V9" i="43" s="1"/>
  <c r="T3" i="43"/>
  <c r="V3" i="43" s="1"/>
  <c r="C40" i="43"/>
  <c r="T12" i="43"/>
  <c r="V12" i="43" s="1"/>
  <c r="T2" i="43"/>
  <c r="V2" i="43" s="1"/>
  <c r="T15" i="43"/>
  <c r="V15" i="43" s="1"/>
  <c r="T5" i="43"/>
  <c r="V5" i="43" s="1"/>
  <c r="C39" i="43"/>
  <c r="C42" i="43"/>
  <c r="T7" i="43"/>
  <c r="V7" i="43" s="1"/>
  <c r="T16" i="43"/>
  <c r="V16" i="43" s="1"/>
  <c r="T8" i="43"/>
  <c r="V8" i="43" s="1"/>
  <c r="T10" i="43"/>
  <c r="V10" i="43" s="1"/>
  <c r="C10" i="69"/>
  <c r="D19" i="69"/>
  <c r="D37" i="69" s="1"/>
  <c r="C37" i="69" s="1"/>
  <c r="C33" i="69" s="1"/>
  <c r="R19" i="6"/>
  <c r="R26" i="6"/>
  <c r="R20" i="6"/>
  <c r="R25" i="6"/>
  <c r="L63" i="40"/>
  <c r="K65" i="40"/>
  <c r="R24" i="6"/>
  <c r="C16" i="71"/>
  <c r="D17" i="71"/>
  <c r="C10" i="68"/>
  <c r="D19" i="68"/>
  <c r="D16" i="6"/>
  <c r="R22" i="6"/>
  <c r="R6" i="1"/>
  <c r="R27" i="6"/>
  <c r="I59" i="82"/>
  <c r="Q48" i="15"/>
  <c r="L46" i="15"/>
  <c r="J22" i="15"/>
  <c r="J13" i="15"/>
  <c r="J23" i="15" s="1"/>
  <c r="Q70" i="15"/>
  <c r="C37" i="15"/>
  <c r="C30" i="15" s="1"/>
  <c r="C39" i="15" s="1"/>
  <c r="C56" i="15"/>
  <c r="C65" i="15" s="1"/>
  <c r="C58" i="15" s="1"/>
  <c r="C67" i="15" s="1"/>
  <c r="C68" i="15" s="1"/>
  <c r="C75" i="15"/>
  <c r="F35" i="67"/>
  <c r="M21" i="67"/>
  <c r="J69" i="39" l="1"/>
  <c r="K67" i="39"/>
  <c r="B3" i="34"/>
  <c r="B2" i="34"/>
  <c r="U20" i="1"/>
  <c r="C23" i="67"/>
  <c r="C29" i="67" s="1"/>
  <c r="C36" i="67" s="1"/>
  <c r="C52" i="11"/>
  <c r="B2" i="11" s="1"/>
  <c r="B3" i="11" s="1"/>
  <c r="E40" i="43"/>
  <c r="G40" i="43"/>
  <c r="I40" i="43" s="1"/>
  <c r="T16" i="71"/>
  <c r="C15" i="71"/>
  <c r="D16" i="71"/>
  <c r="L65" i="40"/>
  <c r="M63" i="40"/>
  <c r="B29" i="1"/>
  <c r="C8" i="69"/>
  <c r="E37" i="43"/>
  <c r="G37" i="43"/>
  <c r="I37" i="43" s="1"/>
  <c r="C19" i="68"/>
  <c r="D37" i="68"/>
  <c r="C37" i="68" s="1"/>
  <c r="C33" i="68" s="1"/>
  <c r="C39" i="69"/>
  <c r="C43" i="69" s="1"/>
  <c r="C42" i="69"/>
  <c r="E38" i="43"/>
  <c r="G38" i="43"/>
  <c r="I38" i="43" s="1"/>
  <c r="G42" i="43"/>
  <c r="I42" i="43" s="1"/>
  <c r="E42" i="43"/>
  <c r="E41" i="43"/>
  <c r="G41" i="43"/>
  <c r="I41" i="43" s="1"/>
  <c r="H27" i="6"/>
  <c r="L19" i="9"/>
  <c r="G39" i="43"/>
  <c r="I39" i="43" s="1"/>
  <c r="E39" i="43"/>
  <c r="I5" i="6"/>
  <c r="I6" i="6"/>
  <c r="G3" i="43" s="1"/>
  <c r="J20" i="67"/>
  <c r="J17" i="67" s="1"/>
  <c r="C34" i="67"/>
  <c r="F63" i="67"/>
  <c r="C62" i="67" s="1"/>
  <c r="C59" i="67" s="1"/>
  <c r="R16" i="1"/>
  <c r="J59" i="82"/>
  <c r="C80" i="15"/>
  <c r="C79" i="15" s="1"/>
  <c r="C71" i="15"/>
  <c r="C40" i="15"/>
  <c r="C46" i="15" s="1"/>
  <c r="Q69" i="15"/>
  <c r="Q68" i="15" s="1"/>
  <c r="J16" i="15"/>
  <c r="J25" i="15" s="1"/>
  <c r="L51" i="15"/>
  <c r="L67" i="39" l="1"/>
  <c r="K69" i="39"/>
  <c r="C56" i="11"/>
  <c r="C57" i="11" s="1"/>
  <c r="J59" i="67"/>
  <c r="J60" i="67" s="1"/>
  <c r="Q48" i="67" s="1"/>
  <c r="J14" i="67"/>
  <c r="J22" i="67" s="1"/>
  <c r="Q49" i="67"/>
  <c r="C57" i="67"/>
  <c r="C64" i="67" s="1"/>
  <c r="C13" i="67"/>
  <c r="Q70" i="67" s="1"/>
  <c r="C8" i="68"/>
  <c r="C5" i="68" s="1"/>
  <c r="C20" i="68" s="1"/>
  <c r="C25" i="68" s="1"/>
  <c r="C18" i="12"/>
  <c r="C21" i="12" s="1"/>
  <c r="D15" i="71"/>
  <c r="C14" i="71"/>
  <c r="C39" i="68"/>
  <c r="C42" i="68"/>
  <c r="N63" i="40"/>
  <c r="M65" i="40"/>
  <c r="C41" i="69"/>
  <c r="C24" i="68"/>
  <c r="J26" i="43"/>
  <c r="B116" i="43"/>
  <c r="Z7" i="43"/>
  <c r="G26" i="43"/>
  <c r="F26" i="43"/>
  <c r="N94" i="46"/>
  <c r="E26" i="43"/>
  <c r="N370" i="46"/>
  <c r="H26" i="43"/>
  <c r="C46" i="69"/>
  <c r="C45" i="69" s="1"/>
  <c r="M23" i="43"/>
  <c r="U16" i="71"/>
  <c r="K59" i="82"/>
  <c r="Q67" i="15"/>
  <c r="L57" i="15"/>
  <c r="L60" i="15" s="1"/>
  <c r="B2" i="15"/>
  <c r="B3" i="15" s="1"/>
  <c r="Q65" i="15"/>
  <c r="Q47" i="15"/>
  <c r="Q53" i="15" s="1"/>
  <c r="C43" i="15"/>
  <c r="Q56" i="15"/>
  <c r="C83" i="15"/>
  <c r="C82" i="15" s="1"/>
  <c r="M67" i="39" l="1"/>
  <c r="L69" i="39"/>
  <c r="J13" i="67"/>
  <c r="J23" i="67" s="1"/>
  <c r="J16" i="67" s="1"/>
  <c r="J25" i="67" s="1"/>
  <c r="L46" i="67"/>
  <c r="C37" i="67"/>
  <c r="C56" i="67"/>
  <c r="C65" i="67" s="1"/>
  <c r="C58" i="67" s="1"/>
  <c r="C67" i="67" s="1"/>
  <c r="C68" i="67" s="1"/>
  <c r="C71" i="67" s="1"/>
  <c r="C75" i="67"/>
  <c r="I121" i="43"/>
  <c r="J121" i="43" s="1"/>
  <c r="K121" i="43" s="1"/>
  <c r="L121" i="43" s="1"/>
  <c r="M121" i="43" s="1"/>
  <c r="D119" i="43"/>
  <c r="E119" i="43" s="1"/>
  <c r="F119" i="43" s="1"/>
  <c r="G119" i="43" s="1"/>
  <c r="H119" i="43" s="1"/>
  <c r="B121" i="43"/>
  <c r="C121" i="43" s="1"/>
  <c r="B118" i="43"/>
  <c r="C118" i="43" s="1"/>
  <c r="B120" i="43"/>
  <c r="C120" i="43" s="1"/>
  <c r="B122" i="43"/>
  <c r="C122" i="43" s="1"/>
  <c r="B119" i="43"/>
  <c r="C119" i="43" s="1"/>
  <c r="I119" i="43"/>
  <c r="J119" i="43" s="1"/>
  <c r="K119" i="43" s="1"/>
  <c r="L119" i="43" s="1"/>
  <c r="M119" i="43" s="1"/>
  <c r="D121" i="43"/>
  <c r="E121" i="43" s="1"/>
  <c r="F121" i="43" s="1"/>
  <c r="I118" i="43"/>
  <c r="J118" i="43" s="1"/>
  <c r="K118" i="43" s="1"/>
  <c r="L118" i="43" s="1"/>
  <c r="M118" i="43" s="1"/>
  <c r="D120" i="43"/>
  <c r="E120" i="43" s="1"/>
  <c r="F120" i="43" s="1"/>
  <c r="G120" i="43" s="1"/>
  <c r="H120" i="43" s="1"/>
  <c r="D118" i="43"/>
  <c r="E118" i="43" s="1"/>
  <c r="F118" i="43" s="1"/>
  <c r="G118" i="43" s="1"/>
  <c r="H118" i="43" s="1"/>
  <c r="G121" i="43"/>
  <c r="H121" i="43" s="1"/>
  <c r="D122" i="43"/>
  <c r="E122" i="43" s="1"/>
  <c r="F122" i="43" s="1"/>
  <c r="G122" i="43" s="1"/>
  <c r="H122" i="43" s="1"/>
  <c r="I122" i="43"/>
  <c r="J122" i="43" s="1"/>
  <c r="K122" i="43" s="1"/>
  <c r="L122" i="43" s="1"/>
  <c r="M122" i="43" s="1"/>
  <c r="I120" i="43"/>
  <c r="J120" i="43" s="1"/>
  <c r="K120" i="43" s="1"/>
  <c r="L120" i="43" s="1"/>
  <c r="M120" i="43" s="1"/>
  <c r="C22" i="12"/>
  <c r="C30" i="12" s="1"/>
  <c r="C28" i="12" s="1"/>
  <c r="C49" i="69"/>
  <c r="C51" i="69" s="1"/>
  <c r="C46" i="68"/>
  <c r="C45" i="68" s="1"/>
  <c r="C43" i="68"/>
  <c r="C41" i="68" s="1"/>
  <c r="C28" i="68"/>
  <c r="C27" i="68" s="1"/>
  <c r="C23" i="68"/>
  <c r="C22" i="68" s="1"/>
  <c r="C13" i="71"/>
  <c r="D14" i="71"/>
  <c r="D26" i="43"/>
  <c r="C25" i="43" s="1"/>
  <c r="N65" i="40"/>
  <c r="O63" i="40"/>
  <c r="O65" i="40" s="1"/>
  <c r="H7" i="40" s="1"/>
  <c r="L59" i="82"/>
  <c r="Q66" i="15"/>
  <c r="Q75" i="15" s="1"/>
  <c r="Q57" i="15"/>
  <c r="Q62" i="15" s="1"/>
  <c r="M69" i="39" l="1"/>
  <c r="N67" i="39"/>
  <c r="C49" i="68"/>
  <c r="C51" i="68" s="1"/>
  <c r="C27" i="12"/>
  <c r="C25" i="12" s="1"/>
  <c r="C32" i="12" s="1"/>
  <c r="B2" i="12" s="1"/>
  <c r="B3" i="12" s="1"/>
  <c r="AB7" i="40"/>
  <c r="T42" i="40" s="1"/>
  <c r="G42" i="40" s="1"/>
  <c r="U7" i="40"/>
  <c r="D116" i="43"/>
  <c r="F7" i="40"/>
  <c r="J7" i="40"/>
  <c r="C33" i="43"/>
  <c r="C12" i="71"/>
  <c r="D13" i="71"/>
  <c r="C31" i="68"/>
  <c r="M59" i="82"/>
  <c r="N59" i="82" s="1"/>
  <c r="O59" i="82" s="1"/>
  <c r="F7" i="82"/>
  <c r="O67" i="39" l="1"/>
  <c r="O69" i="39" s="1"/>
  <c r="N69" i="39"/>
  <c r="F7" i="39"/>
  <c r="J7" i="39"/>
  <c r="H7" i="39"/>
  <c r="C52" i="68"/>
  <c r="C57" i="68" s="1"/>
  <c r="C56" i="68" s="1"/>
  <c r="C11" i="71"/>
  <c r="D12" i="71"/>
  <c r="U12" i="71" s="1"/>
  <c r="T12" i="71"/>
  <c r="E33" i="43"/>
  <c r="C30" i="43" s="1"/>
  <c r="C34" i="43"/>
  <c r="E34" i="43" s="1"/>
  <c r="C31" i="43" s="1"/>
  <c r="C6" i="69"/>
  <c r="C7" i="69" s="1"/>
  <c r="C5" i="69" s="1"/>
  <c r="G46" i="40"/>
  <c r="H46" i="40" s="1"/>
  <c r="W7" i="40"/>
  <c r="AC7" i="40"/>
  <c r="V42" i="40" s="1"/>
  <c r="I42" i="40" s="1"/>
  <c r="G47" i="40" s="1"/>
  <c r="H47" i="40" s="1"/>
  <c r="S7" i="40"/>
  <c r="AA7" i="40"/>
  <c r="R42" i="40" s="1"/>
  <c r="AA7" i="82"/>
  <c r="R49" i="82" s="1"/>
  <c r="S7" i="82"/>
  <c r="H7" i="82"/>
  <c r="J7" i="82"/>
  <c r="R25" i="31"/>
  <c r="S25" i="31" s="1"/>
  <c r="E6" i="76"/>
  <c r="W7" i="39" l="1"/>
  <c r="AC7" i="39"/>
  <c r="V47" i="39" s="1"/>
  <c r="I47" i="39" s="1"/>
  <c r="I51" i="39" s="1"/>
  <c r="J51" i="39" s="1"/>
  <c r="AA7" i="39"/>
  <c r="R47" i="39" s="1"/>
  <c r="S7" i="39"/>
  <c r="U7" i="39"/>
  <c r="AB7" i="39"/>
  <c r="T47" i="39" s="1"/>
  <c r="G47" i="39" s="1"/>
  <c r="B2" i="68"/>
  <c r="B3" i="68" s="1"/>
  <c r="E2" i="76"/>
  <c r="R43" i="40"/>
  <c r="E42" i="40"/>
  <c r="I47" i="40" s="1"/>
  <c r="J47" i="40" s="1"/>
  <c r="B2" i="43"/>
  <c r="C10" i="71"/>
  <c r="D11" i="71"/>
  <c r="I46" i="40"/>
  <c r="J46" i="40" s="1"/>
  <c r="C23" i="69"/>
  <c r="C20" i="69"/>
  <c r="W7" i="82"/>
  <c r="AC7" i="82"/>
  <c r="V49" i="82" s="1"/>
  <c r="I49" i="82" s="1"/>
  <c r="U7" i="82"/>
  <c r="AB7" i="82"/>
  <c r="T49" i="82" s="1"/>
  <c r="G49" i="82" s="1"/>
  <c r="E49" i="82"/>
  <c r="B6" i="76"/>
  <c r="E47" i="39" l="1"/>
  <c r="R48" i="39"/>
  <c r="G52" i="39"/>
  <c r="H52" i="39" s="1"/>
  <c r="G51" i="39"/>
  <c r="H51" i="39" s="1"/>
  <c r="B2" i="76"/>
  <c r="B3" i="76" s="1"/>
  <c r="C28" i="69"/>
  <c r="C27" i="69" s="1"/>
  <c r="C25" i="69"/>
  <c r="C22" i="69" s="1"/>
  <c r="B3" i="43"/>
  <c r="C9" i="71"/>
  <c r="D10" i="71"/>
  <c r="E46" i="40"/>
  <c r="F46" i="40" s="1"/>
  <c r="E47" i="40"/>
  <c r="F47" i="40" s="1"/>
  <c r="C43" i="40"/>
  <c r="C42" i="40"/>
  <c r="G53" i="82"/>
  <c r="H53" i="82" s="1"/>
  <c r="G54" i="82"/>
  <c r="H54" i="82" s="1"/>
  <c r="I53" i="82"/>
  <c r="J53" i="82" s="1"/>
  <c r="I54" i="82"/>
  <c r="J54" i="82" s="1"/>
  <c r="R50" i="82"/>
  <c r="E53" i="82"/>
  <c r="F53" i="82" s="1"/>
  <c r="E54" i="82"/>
  <c r="F54" i="82" s="1"/>
  <c r="C47" i="39" l="1"/>
  <c r="C48" i="39"/>
  <c r="I52" i="39"/>
  <c r="J52" i="39" s="1"/>
  <c r="E52" i="39"/>
  <c r="F52" i="39" s="1"/>
  <c r="E51" i="39"/>
  <c r="F51" i="39" s="1"/>
  <c r="C31" i="69"/>
  <c r="C52" i="69" s="1"/>
  <c r="C57" i="69" s="1"/>
  <c r="C56" i="69" s="1"/>
  <c r="B60" i="40"/>
  <c r="F60" i="40" s="1"/>
  <c r="B57" i="40"/>
  <c r="F57" i="40" s="1"/>
  <c r="F61" i="40"/>
  <c r="B2" i="40" s="1"/>
  <c r="B3" i="40" s="1"/>
  <c r="B54" i="40"/>
  <c r="F54" i="40" s="1"/>
  <c r="B58" i="40"/>
  <c r="F58" i="40" s="1"/>
  <c r="B59" i="40"/>
  <c r="F59" i="40" s="1"/>
  <c r="B52" i="40"/>
  <c r="F52" i="40" s="1"/>
  <c r="B53" i="40"/>
  <c r="F53" i="40" s="1"/>
  <c r="B56" i="40"/>
  <c r="F56" i="40" s="1"/>
  <c r="B51" i="40"/>
  <c r="F51" i="40" s="1"/>
  <c r="C8" i="71"/>
  <c r="D9" i="71"/>
  <c r="C50" i="82"/>
  <c r="U6" i="1" s="1"/>
  <c r="C49" i="82"/>
  <c r="C19" i="9"/>
  <c r="B60" i="39" l="1"/>
  <c r="F60" i="39" s="1"/>
  <c r="B56" i="39"/>
  <c r="F56" i="39" s="1"/>
  <c r="F65" i="39" s="1"/>
  <c r="B2" i="39" s="1"/>
  <c r="B3" i="39" s="1"/>
  <c r="B59" i="39"/>
  <c r="F59" i="39" s="1"/>
  <c r="B62" i="39"/>
  <c r="F62" i="39" s="1"/>
  <c r="B58" i="39"/>
  <c r="F58" i="39" s="1"/>
  <c r="B63" i="39"/>
  <c r="F63" i="39" s="1"/>
  <c r="B57" i="39"/>
  <c r="F57" i="39" s="1"/>
  <c r="B61" i="39"/>
  <c r="F61" i="39" s="1"/>
  <c r="B64" i="39"/>
  <c r="F64" i="39" s="1"/>
  <c r="B2" i="69"/>
  <c r="B3" i="69" s="1"/>
  <c r="C21" i="9"/>
  <c r="C102" i="9"/>
  <c r="C7" i="71"/>
  <c r="D8" i="71"/>
  <c r="B3" i="82"/>
  <c r="B2" i="82"/>
  <c r="D34" i="9"/>
  <c r="F6" i="67"/>
  <c r="D35" i="9"/>
  <c r="C20" i="9"/>
  <c r="F31" i="67" l="1"/>
  <c r="C103" i="9"/>
  <c r="D7" i="71"/>
  <c r="C6" i="71"/>
  <c r="C6" i="67"/>
  <c r="V20" i="1"/>
  <c r="C5" i="71" l="1"/>
  <c r="D6" i="71"/>
  <c r="C33" i="67"/>
  <c r="C32" i="67"/>
  <c r="C10" i="67"/>
  <c r="C5" i="67" s="1"/>
  <c r="C38" i="67" s="1"/>
  <c r="D5" i="71" l="1"/>
  <c r="M24" i="43"/>
  <c r="C31" i="67"/>
  <c r="C30" i="67" s="1"/>
  <c r="C39" i="67" s="1"/>
  <c r="L51" i="67"/>
  <c r="H38" i="67" l="1"/>
  <c r="Q69" i="67"/>
  <c r="Q68" i="67" s="1"/>
  <c r="C40" i="67"/>
  <c r="Q56" i="67" s="1"/>
  <c r="Q62" i="67" s="1"/>
  <c r="C80" i="67"/>
  <c r="C79" i="67" s="1"/>
  <c r="Q67" i="67"/>
  <c r="D2" i="67" l="1"/>
  <c r="B3" i="67" s="1"/>
  <c r="C83" i="67"/>
  <c r="C82" i="67" s="1"/>
  <c r="Q65" i="67"/>
  <c r="Q75" i="67" s="1"/>
  <c r="C43" i="67"/>
  <c r="Q47" i="67"/>
  <c r="Q53" i="67" s="1"/>
  <c r="C45" i="67"/>
  <c r="C46" i="67" s="1"/>
  <c r="D20" i="9"/>
  <c r="B2" i="67" l="1"/>
  <c r="D103" i="9"/>
  <c r="G20" i="9"/>
  <c r="G22" i="9" s="1"/>
  <c r="AO6" i="1"/>
  <c r="D19" i="9"/>
  <c r="D21" i="9" l="1"/>
  <c r="D102" i="9"/>
  <c r="D22" i="9"/>
  <c r="G19" i="9"/>
  <c r="B6" i="70"/>
  <c r="B2" i="70" s="1"/>
  <c r="B3" i="70" s="1"/>
  <c r="R24" i="31"/>
  <c r="S24" i="31" s="1"/>
  <c r="S22" i="31" s="1"/>
  <c r="C32" i="9"/>
  <c r="G21" i="9" l="1"/>
  <c r="D14" i="74"/>
  <c r="C35" i="9"/>
  <c r="G118" i="9" s="1"/>
  <c r="I118" i="9"/>
  <c r="R22" i="31"/>
  <c r="B20" i="31"/>
  <c r="B21" i="31" s="1"/>
  <c r="C34" i="9" l="1"/>
  <c r="G14" i="74"/>
  <c r="B6" i="74" s="1"/>
  <c r="F14" i="74"/>
  <c r="E14" i="74"/>
  <c r="B5" i="74"/>
  <c r="C105" i="9"/>
  <c r="I4" i="52"/>
  <c r="H118" i="9"/>
  <c r="H102" i="9"/>
  <c r="D7" i="53" s="1"/>
  <c r="B21" i="72" s="1"/>
  <c r="E118" i="9"/>
  <c r="F118" i="9"/>
  <c r="G4" i="52"/>
  <c r="B52" i="72" s="1"/>
  <c r="D5" i="74" l="1"/>
  <c r="C5" i="74"/>
  <c r="C104" i="9"/>
  <c r="H4" i="52"/>
  <c r="H101" i="9"/>
  <c r="H119" i="9"/>
  <c r="H5" i="52" s="1"/>
  <c r="F119" i="9"/>
  <c r="F5" i="52" s="1"/>
  <c r="B53" i="72" s="1"/>
  <c r="F4" i="52"/>
  <c r="B51" i="72" s="1"/>
  <c r="D118" i="9"/>
  <c r="E4" i="52"/>
  <c r="B48" i="72" s="1"/>
  <c r="D6" i="74"/>
  <c r="D119" i="9" l="1"/>
  <c r="D5" i="52" s="1"/>
  <c r="B49" i="72" s="1"/>
  <c r="D4" i="52"/>
  <c r="B47" i="72" s="1"/>
  <c r="M48" i="9"/>
  <c r="D45" i="9"/>
  <c r="D5" i="53"/>
  <c r="H107" i="9"/>
  <c r="H108" i="9" l="1"/>
  <c r="D122" i="9"/>
  <c r="M49" i="9"/>
  <c r="D13" i="53"/>
  <c r="C64" i="9"/>
  <c r="C63" i="9" s="1"/>
  <c r="C67" i="9" s="1"/>
  <c r="D53" i="9"/>
  <c r="D52" i="9"/>
  <c r="C85" i="9"/>
  <c r="D55" i="9"/>
  <c r="M53" i="9" s="1"/>
  <c r="C72" i="9"/>
  <c r="C93" i="9"/>
  <c r="C86" i="9" s="1"/>
  <c r="C78" i="9"/>
  <c r="C73" i="9" s="1"/>
  <c r="D6" i="53"/>
  <c r="B22" i="72" s="1"/>
  <c r="B20" i="72"/>
  <c r="C95" i="9" l="1"/>
  <c r="B30" i="72"/>
  <c r="D14" i="53"/>
  <c r="B32" i="72" s="1"/>
  <c r="L67" i="9"/>
  <c r="M67" i="9" s="1"/>
  <c r="L68" i="9"/>
  <c r="M68" i="9" s="1"/>
  <c r="L63" i="9"/>
  <c r="M63" i="9" s="1"/>
  <c r="L65" i="9"/>
  <c r="M65" i="9" s="1"/>
  <c r="L66" i="9"/>
  <c r="M66" i="9" s="1"/>
  <c r="L64" i="9"/>
  <c r="M64" i="9" s="1"/>
  <c r="C79" i="9"/>
  <c r="D123" i="9"/>
  <c r="D9" i="52" s="1"/>
  <c r="D8" i="52"/>
  <c r="C68" i="9"/>
  <c r="D54" i="9" s="1"/>
  <c r="D59" i="9"/>
  <c r="M55" i="9" s="1"/>
  <c r="D15" i="53"/>
  <c r="B31" i="72" s="1"/>
  <c r="C6" i="74"/>
  <c r="C80" i="9" l="1"/>
  <c r="E80" i="9" s="1"/>
  <c r="E81" i="9" s="1"/>
  <c r="M69" i="9"/>
  <c r="N69" i="9" s="1"/>
  <c r="C96" i="9"/>
  <c r="E96" i="9" s="1"/>
  <c r="E97" i="9" s="1"/>
  <c r="C81" i="9" l="1"/>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<sst xmlns="http://schemas.openxmlformats.org/spreadsheetml/2006/main" count="8604" uniqueCount="3495">
  <si>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</si>
  <si>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</si>
  <si>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</si>
  <si>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</si>
  <si>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</si>
  <si>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</si>
  <si>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</si>
  <si>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</si>
  <si>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</si>
  <si>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</si>
  <si>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</si>
  <si>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</si>
  <si>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</si>
  <si>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</si>
  <si>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</si>
  <si>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</si>
  <si>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</si>
  <si>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</si>
  <si>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</si>
  <si>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</si>
  <si>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</si>
  <si>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</si>
  <si>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</si>
  <si>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</si>
  <si>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</si>
  <si>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</si>
  <si>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</si>
  <si>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</si>
  <si>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</si>
  <si>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</si>
  <si>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</si>
  <si>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</si>
  <si>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</si>
  <si>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</si>
  <si>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</si>
  <si>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</si>
  <si>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</si>
  <si>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</si>
  <si>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</si>
  <si>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</si>
  <si>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</si>
  <si>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</si>
  <si>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</si>
  <si>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</si>
  <si>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</si>
  <si>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</si>
  <si>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</si>
  <si>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</si>
  <si>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</si>
  <si>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</si>
  <si>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</si>
  <si>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</si>
  <si>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</si>
  <si>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</si>
  <si>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</si>
  <si>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</si>
  <si>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</si>
  <si>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</si>
  <si>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</si>
  <si>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</si>
  <si>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</si>
  <si>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</si>
  <si>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</si>
  <si>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</si>
  <si>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</si>
  <si>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</si>
  <si>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</si>
  <si>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</si>
  <si>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</si>
  <si>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</si>
  <si>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</si>
  <si>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</si>
  <si>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</si>
  <si>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</si>
  <si>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</si>
  <si>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</si>
  <si>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</si>
  <si>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</si>
  <si>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</si>
  <si>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</si>
  <si>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</si>
  <si>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</si>
  <si>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</si>
  <si>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</si>
  <si>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</si>
  <si>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</si>
  <si>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</si>
  <si>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</si>
  <si>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</si>
  <si>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</si>
  <si>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</si>
  <si>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</si>
  <si>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</si>
  <si>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</si>
  <si>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</si>
  <si>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</si>
  <si>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</si>
  <si>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</si>
  <si>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</si>
  <si>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</si>
  <si>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</si>
  <si>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</si>
  <si>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</si>
  <si>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</si>
  <si>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</si>
  <si>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</si>
  <si>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</si>
  <si>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</si>
  <si>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</si>
  <si>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</si>
  <si>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</si>
  <si>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</si>
  <si>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</si>
  <si>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</si>
  <si>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</si>
  <si>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</si>
  <si>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</si>
  <si>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</si>
  <si>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</si>
  <si>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</si>
  <si>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</si>
  <si>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</si>
  <si>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</si>
  <si>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</si>
  <si>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</si>
  <si>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</si>
  <si>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</si>
  <si>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</si>
  <si>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</si>
  <si>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</si>
  <si>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</si>
  <si>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</si>
  <si>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</si>
  <si>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</si>
  <si>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</si>
  <si>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</si>
  <si>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</si>
  <si>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</si>
  <si>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</si>
  <si>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</si>
  <si>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</si>
  <si>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</si>
  <si>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</si>
  <si>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</si>
  <si>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</si>
  <si>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</si>
  <si>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</si>
  <si>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</si>
  <si>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</si>
  <si>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</si>
  <si>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</si>
  <si>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</si>
  <si>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</si>
  <si>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</si>
  <si>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</si>
  <si>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</si>
  <si>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</si>
  <si>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</si>
  <si>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</si>
  <si>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</si>
  <si>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</si>
  <si>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</si>
  <si>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</si>
  <si>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</si>
  <si>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</si>
  <si>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</si>
  <si>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</si>
  <si>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</si>
  <si>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</si>
  <si>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</si>
  <si>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</si>
  <si>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</si>
  <si>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</si>
  <si>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</si>
  <si>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</si>
  <si>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</si>
  <si>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</si>
  <si>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</si>
  <si>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</si>
  <si>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</si>
  <si>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</si>
  <si>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</si>
  <si>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</si>
  <si>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</si>
  <si>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</si>
  <si>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</si>
  <si>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</si>
  <si>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</si>
  <si>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</si>
  <si>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</si>
  <si>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</si>
  <si>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</si>
  <si>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</si>
  <si>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</si>
  <si>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</si>
  <si>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</si>
  <si>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</si>
  <si>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</si>
  <si>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</si>
  <si>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</si>
  <si>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</si>
  <si>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</si>
  <si>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</si>
  <si>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</si>
  <si>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</si>
  <si>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</si>
  <si>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</si>
  <si>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</si>
  <si>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</si>
  <si>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</si>
  <si>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</si>
  <si>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</si>
  <si>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</si>
  <si>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</si>
  <si>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</si>
  <si>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</si>
  <si>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</si>
  <si>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</si>
  <si>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</si>
  <si>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</si>
  <si>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</si>
  <si>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</si>
  <si>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</si>
  <si>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</si>
  <si>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</si>
  <si>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</si>
  <si>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</si>
  <si>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</si>
  <si>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</si>
  <si>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</si>
  <si>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</si>
  <si>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</si>
  <si>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</si>
  <si>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</si>
  <si>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</si>
  <si>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</si>
  <si>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</si>
  <si>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</si>
  <si>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</si>
  <si>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</si>
  <si>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</si>
  <si>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</si>
  <si>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</si>
  <si>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</si>
  <si>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</si>
  <si>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</si>
  <si>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</si>
  <si>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</si>
  <si>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</si>
  <si>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</si>
  <si>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</si>
  <si>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</si>
  <si>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</si>
  <si>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</si>
  <si>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</si>
  <si>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</si>
  <si>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</si>
  <si>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</si>
  <si>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</si>
  <si>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</si>
  <si>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</si>
  <si>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</si>
  <si>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</si>
  <si>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</si>
  <si>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</si>
  <si>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</si>
  <si>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</si>
  <si>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</si>
  <si>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</si>
  <si>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</si>
  <si>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</si>
  <si>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</si>
  <si>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</si>
  <si>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</si>
  <si>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</si>
  <si>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</si>
  <si>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</si>
  <si>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</si>
  <si>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</si>
  <si>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</si>
  <si>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</si>
  <si>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</si>
  <si>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</si>
  <si>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</si>
  <si>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</si>
  <si>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</si>
  <si>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</si>
  <si>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</si>
  <si>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</si>
  <si>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</si>
  <si>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</si>
  <si>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</si>
  <si>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</si>
  <si>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</si>
  <si>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</si>
  <si>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</si>
  <si>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</si>
  <si>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</si>
  <si>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</si>
  <si>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</si>
  <si>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</si>
  <si>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</si>
  <si>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</si>
  <si>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</si>
  <si>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</si>
  <si>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</si>
  <si>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</si>
  <si>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</si>
  <si>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</si>
  <si>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</si>
  <si>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</si>
  <si>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</si>
  <si>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</si>
  <si>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</si>
  <si>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</si>
  <si>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</si>
  <si>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</si>
  <si>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</si>
  <si>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</si>
  <si>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</si>
  <si>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</si>
  <si>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</si>
  <si>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</si>
  <si>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</si>
  <si>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</si>
  <si>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</si>
  <si>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</si>
  <si>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</si>
  <si>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</si>
  <si>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</si>
  <si>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</si>
  <si>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</si>
  <si>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</si>
  <si>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</si>
  <si>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</si>
  <si>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</si>
  <si>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</si>
  <si>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</si>
  <si>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</si>
  <si>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</si>
  <si>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</si>
  <si>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</si>
  <si>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</si>
  <si>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</si>
  <si>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</si>
  <si>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</si>
  <si>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</si>
  <si>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</si>
  <si>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</si>
  <si>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</si>
  <si>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</si>
  <si>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</si>
  <si>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</si>
  <si>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</si>
  <si>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</si>
  <si>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</si>
  <si>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</si>
  <si>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</si>
  <si>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</si>
  <si>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</si>
  <si>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</si>
  <si>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</si>
  <si>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</si>
  <si>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</si>
  <si>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</si>
  <si>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</si>
  <si>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</si>
  <si>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</si>
  <si>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</si>
  <si>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</si>
  <si>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</si>
  <si>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</si>
  <si>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</si>
  <si>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</si>
  <si>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</si>
  <si>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</si>
  <si>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</si>
  <si>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</si>
  <si>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</si>
  <si>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</si>
  <si>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</si>
  <si>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</si>
  <si>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</si>
  <si>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</si>
  <si>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</si>
  <si>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</si>
  <si>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</si>
  <si>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</si>
  <si>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</si>
  <si>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</si>
  <si>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</si>
  <si>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</si>
  <si>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</si>
  <si>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</si>
  <si>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</si>
  <si>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</si>
  <si>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</si>
  <si>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</si>
  <si>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</si>
  <si>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</si>
  <si>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</si>
  <si>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</si>
  <si>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</si>
  <si>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</si>
  <si>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</si>
  <si>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</si>
  <si>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</si>
  <si>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</si>
  <si>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</si>
  <si>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</si>
  <si>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</si>
  <si>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</si>
  <si>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</si>
  <si>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</si>
  <si>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</si>
  <si>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</si>
  <si>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</si>
  <si>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</si>
  <si>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</si>
  <si>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</si>
  <si>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</si>
  <si>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</si>
  <si>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</si>
  <si>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</si>
  <si>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</si>
  <si>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</si>
  <si>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</si>
  <si>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</si>
  <si>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</si>
  <si>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</si>
  <si>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</si>
  <si>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</si>
  <si>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</si>
  <si>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</si>
  <si>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</si>
  <si>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</si>
  <si>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</si>
  <si>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</si>
  <si>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</si>
  <si>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</si>
  <si>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</si>
  <si>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</si>
  <si>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</si>
  <si>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</si>
  <si>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</si>
  <si>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</si>
  <si>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</si>
  <si>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</si>
  <si>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</si>
  <si>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</si>
  <si>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</si>
  <si>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</si>
  <si>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</si>
  <si>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</si>
  <si>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</si>
  <si>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</si>
  <si>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</si>
  <si>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</si>
  <si>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</si>
  <si>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</si>
  <si>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</si>
  <si>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</si>
  <si>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</si>
  <si>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</si>
  <si>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</si>
  <si>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</si>
  <si>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</si>
  <si>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</si>
  <si>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</si>
  <si>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</si>
  <si>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</si>
  <si>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</si>
  <si>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</si>
  <si>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</si>
  <si>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</si>
  <si>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</si>
  <si>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</si>
  <si>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</si>
  <si>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</si>
  <si>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</si>
  <si>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</si>
  <si>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</si>
  <si>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</si>
  <si>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</si>
  <si>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</si>
  <si>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</si>
  <si>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</si>
  <si>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</si>
  <si>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</si>
  <si>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</si>
  <si>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</si>
  <si>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</si>
  <si>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</si>
  <si>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</si>
  <si>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</si>
  <si>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</si>
  <si>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</si>
  <si>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</si>
  <si>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</si>
  <si>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</si>
  <si>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</si>
  <si>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</si>
  <si>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</si>
  <si>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</si>
  <si>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</si>
  <si>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</si>
  <si>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</si>
  <si>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</si>
  <si>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</si>
  <si>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</si>
  <si>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</si>
  <si>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</si>
  <si>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</si>
  <si>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</si>
  <si>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</si>
  <si>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</si>
  <si>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</si>
  <si>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</si>
  <si>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</si>
  <si>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</si>
  <si>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</si>
  <si>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</si>
  <si>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</si>
  <si>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</si>
  <si>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</si>
  <si>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</si>
  <si>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</si>
  <si>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</si>
  <si>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</si>
  <si>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</si>
  <si>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</si>
  <si>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</si>
  <si>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</si>
  <si>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</si>
  <si>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</si>
  <si>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</si>
  <si>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</si>
  <si>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</si>
  <si>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</si>
  <si>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</si>
  <si>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</si>
  <si>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</si>
  <si>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</si>
  <si>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</si>
  <si>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</si>
  <si>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</si>
  <si>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</si>
  <si>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</si>
  <si>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</si>
  <si>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</si>
  <si>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</si>
  <si>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</si>
  <si>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</si>
  <si>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</si>
  <si>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</si>
  <si>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</si>
  <si>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</si>
  <si>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</si>
  <si>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</si>
  <si>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</si>
  <si>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</si>
  <si>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</si>
  <si>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</si>
  <si>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</si>
  <si>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</si>
  <si>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</si>
  <si>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</si>
  <si>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</si>
  <si>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</si>
  <si>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</si>
  <si>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</si>
  <si>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</si>
  <si>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</si>
  <si>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</si>
  <si>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</si>
  <si>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</si>
  <si>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</si>
  <si>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</si>
  <si>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</si>
  <si>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</si>
  <si>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</si>
  <si>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</si>
  <si>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</si>
  <si>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</si>
  <si>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</si>
  <si>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</si>
  <si>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</si>
  <si>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</si>
  <si>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</si>
  <si>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</si>
  <si>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</si>
  <si>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</si>
  <si>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</si>
  <si>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</si>
  <si>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</si>
  <si>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</si>
  <si>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</si>
  <si>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</si>
  <si>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</si>
  <si>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</si>
  <si>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</si>
  <si>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</si>
  <si>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</si>
  <si>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</si>
  <si>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</si>
  <si>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</si>
  <si>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</si>
  <si>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</si>
  <si>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</si>
  <si>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</si>
  <si>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</si>
  <si>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</si>
  <si>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</si>
  <si>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</si>
  <si>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</si>
  <si>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</si>
  <si>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</si>
  <si>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</si>
  <si>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</si>
  <si>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</si>
  <si>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</si>
  <si>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</si>
  <si>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</si>
  <si>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</si>
  <si>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</si>
  <si>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</si>
  <si>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</si>
  <si>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</si>
  <si>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</si>
  <si>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</si>
  <si>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</si>
  <si>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</si>
  <si>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</si>
  <si>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</si>
  <si>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</si>
  <si>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</si>
  <si>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</si>
  <si>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</si>
  <si>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</si>
  <si>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</si>
  <si>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</si>
  <si>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</si>
  <si>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</si>
  <si>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</si>
  <si>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</si>
  <si>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</si>
  <si>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</si>
  <si>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</si>
  <si>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</si>
  <si>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</si>
  <si>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</si>
  <si>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</si>
  <si>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</si>
  <si>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</si>
  <si>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</si>
  <si>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</si>
  <si>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</si>
  <si>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</si>
  <si>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</si>
  <si>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</si>
  <si>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</si>
  <si>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</si>
  <si>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</si>
  <si>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</si>
  <si>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</si>
  <si>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</si>
  <si>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</si>
  <si>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</si>
  <si>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</si>
  <si>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</si>
  <si>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</si>
  <si>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</si>
  <si>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</si>
  <si>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</si>
  <si>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</si>
  <si>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</si>
  <si>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</si>
  <si>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</si>
  <si>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</si>
  <si>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</si>
  <si>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</si>
  <si>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</si>
  <si>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</si>
  <si>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</si>
  <si>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</si>
  <si>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</si>
  <si>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</si>
  <si>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</si>
  <si>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</si>
  <si>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</si>
  <si>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</si>
  <si>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</si>
  <si>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</si>
  <si>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</si>
  <si>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</si>
  <si>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</si>
  <si>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</si>
  <si>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</si>
  <si>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</si>
  <si>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</si>
  <si>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</si>
  <si>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</si>
  <si>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</si>
  <si>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</si>
  <si>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</si>
  <si>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</si>
  <si>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</si>
  <si>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</si>
  <si>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</si>
  <si>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</si>
  <si>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</si>
  <si>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</si>
  <si>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</si>
  <si>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</si>
  <si>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</si>
  <si>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</si>
  <si>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</si>
  <si>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</si>
  <si>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</si>
  <si>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</si>
  <si>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</si>
  <si>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</si>
  <si>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</si>
  <si>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</si>
  <si>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</si>
  <si>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</si>
  <si>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</si>
  <si>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</si>
  <si>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</si>
  <si>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</si>
  <si>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</si>
  <si>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</si>
  <si>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</si>
  <si>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</si>
  <si>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</si>
  <si>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</si>
  <si>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</si>
  <si>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</si>
  <si>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</si>
  <si>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</si>
  <si>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</si>
  <si>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</si>
  <si>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</si>
  <si>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</si>
  <si>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</si>
  <si>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</si>
  <si>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</si>
  <si>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</si>
  <si>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</si>
  <si>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</si>
  <si>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</si>
  <si>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</si>
  <si>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</si>
  <si>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</si>
  <si>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</si>
  <si>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</si>
  <si>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</si>
  <si>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</si>
  <si>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</si>
  <si>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</si>
  <si>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</si>
  <si>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</si>
  <si>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</si>
  <si>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</si>
  <si>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</si>
  <si>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</si>
  <si>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</si>
  <si>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</si>
  <si>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</si>
  <si>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</si>
  <si>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</si>
  <si>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</si>
  <si>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</si>
  <si>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</si>
  <si>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</si>
  <si>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</si>
  <si>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</si>
  <si>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</si>
  <si>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</si>
  <si>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</si>
  <si>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</si>
  <si>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</si>
  <si>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</si>
  <si>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</si>
  <si>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</si>
  <si>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</si>
  <si>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</si>
  <si>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</si>
  <si>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</si>
  <si>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</si>
  <si>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</si>
  <si>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</si>
  <si>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</si>
  <si>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</si>
  <si>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</si>
  <si>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</si>
  <si>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</si>
  <si>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</si>
  <si>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</si>
  <si>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</si>
  <si>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</si>
  <si>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</si>
  <si>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</si>
  <si>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</si>
  <si>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</si>
  <si>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</si>
  <si>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</si>
  <si>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</si>
  <si>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</si>
  <si>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</si>
  <si>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</si>
  <si>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</si>
  <si>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</si>
  <si>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</si>
  <si>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</si>
  <si>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</si>
  <si>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</si>
  <si>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</si>
  <si>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</si>
  <si>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</si>
  <si>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</si>
  <si>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</si>
  <si>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</si>
  <si>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</si>
  <si>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</si>
  <si>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</si>
  <si>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</si>
  <si>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</si>
  <si>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</si>
  <si>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</si>
  <si>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</si>
  <si>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</si>
  <si>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</si>
  <si>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</si>
  <si>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</si>
  <si>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</si>
  <si>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</si>
  <si>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</si>
  <si>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</si>
  <si>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</si>
  <si>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</si>
  <si>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</si>
  <si>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</si>
  <si>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</si>
  <si>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</si>
  <si>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</si>
  <si>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</si>
  <si>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</si>
  <si>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</si>
  <si>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</si>
  <si>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</si>
  <si>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</si>
  <si>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</si>
  <si>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</si>
  <si>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</si>
  <si>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</si>
  <si>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</si>
  <si>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</si>
  <si>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</si>
  <si>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</si>
  <si>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</si>
  <si>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</si>
  <si>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</si>
  <si>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</si>
  <si>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</si>
  <si>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</si>
  <si>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</si>
  <si>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</si>
  <si>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</si>
  <si>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</si>
  <si>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</si>
  <si>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</si>
  <si>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</si>
  <si>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</si>
  <si>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</si>
  <si>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</si>
  <si>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</si>
  <si>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</si>
  <si>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</si>
  <si>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</si>
  <si>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</si>
  <si>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</si>
  <si>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</si>
  <si>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</si>
  <si>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</si>
  <si>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</si>
  <si>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</si>
  <si>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</si>
  <si>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</si>
  <si>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</si>
  <si>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</si>
  <si>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</si>
  <si>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</si>
  <si>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</si>
  <si>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</si>
  <si>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</si>
  <si>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</si>
  <si>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</si>
  <si>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</si>
  <si>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</si>
  <si>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</si>
  <si>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</si>
  <si>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</si>
  <si>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</si>
  <si>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</si>
  <si>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</si>
  <si>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</si>
  <si>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</si>
  <si>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</si>
  <si>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</si>
  <si>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</si>
  <si>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</si>
  <si>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</si>
  <si>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</si>
  <si>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</si>
  <si>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</si>
  <si>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</si>
  <si>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</si>
  <si>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</si>
  <si>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</si>
  <si>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</si>
  <si>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</si>
  <si>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</si>
  <si>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</si>
  <si>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</si>
  <si>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</si>
  <si>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</si>
  <si>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</si>
  <si>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</si>
  <si>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</si>
  <si>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</si>
  <si>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</si>
  <si>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</si>
  <si>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</si>
  <si>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</si>
  <si>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</si>
  <si>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</si>
  <si>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</si>
  <si>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</si>
  <si>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</si>
  <si>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</si>
  <si>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</si>
  <si>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</si>
  <si>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</si>
  <si>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</si>
  <si>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</si>
  <si>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</si>
  <si>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</si>
  <si>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</si>
  <si>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</si>
  <si>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</si>
  <si>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</si>
  <si>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</si>
  <si>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</si>
  <si>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</si>
  <si>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</si>
  <si>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</si>
  <si>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</si>
  <si>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</si>
  <si>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</si>
  <si>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</si>
  <si>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</si>
  <si>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</si>
  <si>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</si>
  <si>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</si>
  <si>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</si>
  <si>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</si>
  <si>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</si>
  <si>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</si>
  <si>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</si>
  <si>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</si>
  <si>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</si>
  <si>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</si>
  <si>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</si>
  <si>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</si>
  <si>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</si>
  <si>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</si>
  <si>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</si>
  <si>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</si>
  <si>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</si>
  <si>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</si>
  <si>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</si>
  <si>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</si>
  <si>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</si>
  <si>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</si>
  <si>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</si>
  <si>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</si>
  <si>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</si>
  <si>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</si>
  <si>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</si>
  <si>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</si>
  <si>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</si>
  <si>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</si>
  <si>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</si>
  <si>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</si>
  <si>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</si>
  <si>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</si>
  <si>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</si>
  <si>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</si>
  <si>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</si>
  <si>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</si>
  <si>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</si>
  <si>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</si>
  <si>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</si>
  <si>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</si>
  <si>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</si>
  <si>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</si>
  <si>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</si>
  <si>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</si>
  <si>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</si>
  <si>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</si>
  <si>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</si>
  <si>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</si>
  <si>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</si>
  <si>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</si>
  <si>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</si>
  <si>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</si>
  <si>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</si>
  <si>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</si>
  <si>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</si>
  <si>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</si>
  <si>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</si>
  <si>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</si>
  <si>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</si>
  <si>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</si>
  <si>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</si>
  <si>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</si>
  <si>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</si>
  <si>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</si>
  <si>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</si>
  <si>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</si>
  <si>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</si>
  <si>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</si>
  <si>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</si>
  <si>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</si>
  <si>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</si>
  <si>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</si>
  <si>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</si>
  <si>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</si>
  <si>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</si>
  <si>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</si>
  <si>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</si>
  <si>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</si>
  <si>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</si>
  <si>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</si>
  <si>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</si>
  <si>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</si>
  <si>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</si>
  <si>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</si>
  <si>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</si>
  <si>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</si>
  <si>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</si>
  <si>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</si>
  <si>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</si>
  <si>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</si>
  <si>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</si>
  <si>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</si>
  <si>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</si>
  <si>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</si>
  <si>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</si>
  <si>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</si>
  <si>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</si>
  <si>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</si>
  <si>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</si>
  <si>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</si>
  <si>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</si>
  <si>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</si>
  <si>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</si>
  <si>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</si>
  <si>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</si>
  <si>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</si>
  <si>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</si>
  <si>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</si>
  <si>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</si>
  <si>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</si>
  <si>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</si>
  <si>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</si>
  <si>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</si>
  <si>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</si>
  <si>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</si>
  <si>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</si>
  <si>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</si>
  <si>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</si>
  <si>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</si>
  <si>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</si>
  <si>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</si>
  <si>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</si>
  <si>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</si>
  <si>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</si>
  <si>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</si>
  <si>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</si>
  <si>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</si>
  <si>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</si>
  <si>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</si>
  <si>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</si>
  <si>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</si>
  <si>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</si>
  <si>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</si>
  <si>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</si>
  <si>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</si>
  <si>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</si>
  <si>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</si>
  <si>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</si>
  <si>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</si>
  <si>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</si>
  <si>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</si>
  <si>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</si>
  <si>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</si>
  <si>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</si>
  <si>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</si>
  <si>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</si>
  <si>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</si>
  <si>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</si>
  <si>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</si>
  <si>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</si>
  <si>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</si>
  <si>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</si>
  <si>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</si>
  <si>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</si>
  <si>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</si>
  <si>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</si>
  <si>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</si>
  <si>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</si>
  <si>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</si>
  <si>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</si>
  <si>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</si>
  <si>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</si>
  <si>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</si>
  <si>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</si>
  <si>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</si>
  <si>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</si>
  <si>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</si>
  <si>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</si>
  <si>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</si>
  <si>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</si>
  <si>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</si>
  <si>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</si>
  <si>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</si>
  <si>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</si>
  <si>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</si>
  <si>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</si>
  <si>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</si>
  <si>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</si>
  <si>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</si>
  <si>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</si>
  <si>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</si>
  <si>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</si>
  <si>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</si>
  <si>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</si>
  <si>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</si>
  <si>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</si>
  <si>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</si>
  <si>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</si>
  <si>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</si>
  <si>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</si>
  <si>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</si>
  <si>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</si>
  <si>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</si>
  <si>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</si>
  <si>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</si>
  <si>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</si>
  <si>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</si>
  <si>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</si>
  <si>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</si>
  <si>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</si>
  <si>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</si>
  <si>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</si>
  <si>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</si>
  <si>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</si>
  <si>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</si>
  <si>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</si>
  <si>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</si>
  <si>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</si>
  <si>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</si>
  <si>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</si>
  <si>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</si>
  <si>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</si>
  <si>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</si>
  <si>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</si>
  <si>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</si>
  <si>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</si>
  <si>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</si>
  <si>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</si>
  <si>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</si>
  <si>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</si>
  <si>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</si>
  <si>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</si>
  <si>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</si>
  <si>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</si>
  <si>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</si>
  <si>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</si>
  <si>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</si>
  <si>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</si>
  <si>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</si>
  <si>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</si>
  <si>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</si>
  <si>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</si>
  <si>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</si>
  <si>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</si>
  <si>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</si>
  <si>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</si>
  <si>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</si>
  <si>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</si>
  <si>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</si>
  <si>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</si>
  <si>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</si>
  <si>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</si>
  <si>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</si>
  <si>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</si>
  <si>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</si>
  <si>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</si>
  <si>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</si>
  <si>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</si>
  <si>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</si>
  <si>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</si>
  <si>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</si>
  <si>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</si>
  <si>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</si>
  <si>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</si>
  <si>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</si>
  <si>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</si>
  <si>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</si>
  <si>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</si>
  <si>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</si>
  <si>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</si>
  <si>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</si>
  <si>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</si>
  <si>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</si>
  <si>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</si>
  <si>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</si>
  <si>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</si>
  <si>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</si>
  <si>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</si>
  <si>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</si>
  <si>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</si>
  <si>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</si>
  <si>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</si>
  <si>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</si>
  <si>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</si>
  <si>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</si>
  <si>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</si>
  <si>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</si>
  <si>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</si>
  <si>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</si>
  <si>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</si>
  <si>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</si>
  <si>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</si>
  <si>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</si>
  <si>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</si>
  <si>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</si>
  <si>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</si>
  <si>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</si>
  <si>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</si>
  <si>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</si>
  <si>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</si>
  <si>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</si>
  <si>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</si>
  <si>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</si>
  <si>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</si>
  <si>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</si>
  <si>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</si>
  <si>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</si>
  <si>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</si>
  <si>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</si>
  <si>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</si>
  <si>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</si>
  <si>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</si>
  <si>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</si>
  <si>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</si>
  <si>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</si>
  <si>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</si>
  <si>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</si>
  <si>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</si>
  <si>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</si>
  <si>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</si>
  <si>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</si>
  <si>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</si>
  <si>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</si>
  <si>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</si>
  <si>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</si>
  <si>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</si>
  <si>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</si>
  <si>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</si>
  <si>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</si>
  <si>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</si>
  <si>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</si>
  <si>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</si>
  <si>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</si>
  <si>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</si>
  <si>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</si>
  <si>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</si>
  <si>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</si>
  <si>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</si>
  <si>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</si>
  <si>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</si>
  <si>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</si>
  <si>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</si>
  <si>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</si>
  <si>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</si>
  <si>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</si>
  <si>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</si>
  <si>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</si>
  <si>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</si>
  <si>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</si>
  <si>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</si>
  <si>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</si>
  <si>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</si>
  <si>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</si>
  <si>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</si>
  <si>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</si>
  <si>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</si>
  <si>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</si>
  <si>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</si>
  <si>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</si>
  <si>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</si>
  <si>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</si>
  <si>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</si>
  <si>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</si>
  <si>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</si>
  <si>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</si>
  <si>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</si>
  <si>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</si>
  <si>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</si>
  <si>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</si>
  <si>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</si>
  <si>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</si>
  <si>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</si>
  <si>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</si>
  <si>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</si>
  <si>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</si>
  <si>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</si>
  <si>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</si>
  <si>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</si>
  <si>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</si>
  <si>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</si>
  <si>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</si>
  <si>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</si>
  <si>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</si>
  <si>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</si>
  <si>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</si>
  <si>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</si>
  <si>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</si>
  <si>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</si>
  <si>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</si>
  <si>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</si>
  <si>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</si>
  <si>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</si>
  <si>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</si>
  <si>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</si>
  <si>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</si>
  <si>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</si>
  <si>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</si>
  <si>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</si>
  <si>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</si>
  <si>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</si>
  <si>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</si>
  <si>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</si>
  <si>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</si>
  <si>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</si>
  <si>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</si>
  <si>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</si>
  <si>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</si>
  <si>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</si>
  <si>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</si>
  <si>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</si>
  <si>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</si>
  <si>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</si>
  <si>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</si>
  <si>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</si>
  <si>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</si>
  <si>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</si>
  <si>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</si>
  <si>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</si>
  <si>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</si>
  <si>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</si>
  <si>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</si>
  <si>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</si>
  <si>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</si>
  <si>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</si>
  <si>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</si>
  <si>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</si>
  <si>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</si>
  <si>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</si>
  <si>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</si>
  <si>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</si>
  <si>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</si>
  <si>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</si>
  <si>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</si>
  <si>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</si>
  <si>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</si>
  <si>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</si>
  <si>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</si>
  <si>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</si>
  <si>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</si>
  <si>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</si>
  <si>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</si>
  <si>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</si>
  <si>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</si>
  <si>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</si>
  <si>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</si>
  <si>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</si>
  <si>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</si>
  <si>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</si>
  <si>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</si>
  <si>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</si>
  <si>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</si>
  <si>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</si>
  <si>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</si>
  <si>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</si>
  <si>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</si>
  <si>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</si>
  <si>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</si>
  <si>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</si>
  <si>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</si>
  <si>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</si>
  <si>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</si>
  <si>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</si>
  <si>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</si>
  <si>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</si>
  <si>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</si>
  <si>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</si>
  <si>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</si>
  <si>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</si>
  <si>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</si>
  <si>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</si>
  <si>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</si>
  <si>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</si>
  <si>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</si>
  <si>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</si>
  <si>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</si>
  <si>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</si>
  <si>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</si>
  <si>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</si>
  <si>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</si>
  <si>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</si>
  <si>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</si>
  <si>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</si>
  <si>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</si>
  <si>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</si>
  <si>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</si>
  <si>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</si>
  <si>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</si>
  <si>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</si>
  <si>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</si>
  <si>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</si>
  <si>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</si>
  <si>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</si>
  <si>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</si>
  <si>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</si>
  <si>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</si>
  <si>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</si>
  <si>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</si>
  <si>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</si>
  <si>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</si>
  <si>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</si>
  <si>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</si>
  <si>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</si>
  <si>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</si>
  <si>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</si>
  <si>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</si>
  <si>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</si>
  <si>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</si>
  <si>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</si>
  <si>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</si>
  <si>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</si>
  <si>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</si>
  <si>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</si>
  <si>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</si>
  <si>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</si>
  <si>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</si>
  <si>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</si>
  <si>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</si>
  <si>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</si>
  <si>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</si>
  <si>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</si>
  <si>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</si>
  <si>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</si>
  <si>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</si>
  <si>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</si>
  <si>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</si>
  <si>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</si>
  <si>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</si>
  <si>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</si>
  <si>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</si>
  <si>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</si>
  <si>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</si>
  <si>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</si>
  <si>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</si>
  <si>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</si>
  <si>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</si>
  <si>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</si>
  <si>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</si>
  <si>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</si>
  <si>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</si>
  <si>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</si>
  <si>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</si>
  <si>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</si>
  <si>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</si>
  <si>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</si>
  <si>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</si>
  <si>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</si>
  <si>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</si>
  <si>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</si>
  <si>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</si>
  <si>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</si>
  <si>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</si>
  <si>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</si>
  <si>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</si>
  <si>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</si>
  <si>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</si>
  <si>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</si>
  <si>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</si>
  <si>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</si>
  <si>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</si>
  <si>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</si>
  <si>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</si>
  <si>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</si>
  <si>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</si>
  <si>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</si>
  <si>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</si>
  <si>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</si>
  <si>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</si>
  <si>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</si>
  <si>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</si>
  <si>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</si>
  <si>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</si>
  <si>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</si>
  <si>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</si>
  <si>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</si>
  <si>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</si>
  <si>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</si>
  <si>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</si>
  <si>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</si>
  <si>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</si>
  <si>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</si>
  <si>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</si>
  <si>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</si>
  <si>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</si>
  <si>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</si>
  <si>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</si>
  <si>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</si>
  <si>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</si>
  <si>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</si>
  <si>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</si>
  <si>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</si>
  <si>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</si>
  <si>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</si>
  <si>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</si>
  <si>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</si>
  <si>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</si>
  <si>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</si>
  <si>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</si>
  <si>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</si>
  <si>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</si>
  <si>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</si>
  <si>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</si>
  <si>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</si>
  <si>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</si>
  <si>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</si>
  <si>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</si>
  <si>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</si>
  <si>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</si>
  <si>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</si>
  <si>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</si>
  <si>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</si>
  <si>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</si>
  <si>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</si>
  <si>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</si>
  <si>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</si>
  <si>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</si>
  <si>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</si>
  <si>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</si>
  <si>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</si>
  <si>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</si>
  <si>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</si>
  <si>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</si>
  <si>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</si>
  <si>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</si>
  <si>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</si>
  <si>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</si>
  <si>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</si>
  <si>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</si>
  <si>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</si>
  <si>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</si>
  <si>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</si>
  <si>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</si>
  <si>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</si>
  <si>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</si>
  <si>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</si>
  <si>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</si>
  <si>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</si>
  <si>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</si>
  <si>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</si>
  <si>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</si>
  <si>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</si>
  <si>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</si>
  <si>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</si>
  <si>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</si>
  <si>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</si>
  <si>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</si>
  <si>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</si>
  <si>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</si>
  <si>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</si>
  <si>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</si>
  <si>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</si>
  <si>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</si>
  <si>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</si>
  <si>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</si>
  <si>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</si>
  <si>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</si>
  <si>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</si>
  <si>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</si>
  <si>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</si>
  <si>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</si>
  <si>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</si>
  <si>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</si>
  <si>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</si>
  <si>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</si>
  <si>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</si>
  <si>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</si>
  <si>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</si>
  <si>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</si>
  <si>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</si>
  <si>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</si>
  <si>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</si>
  <si>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</si>
  <si>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</si>
  <si>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</si>
  <si>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</si>
  <si>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</si>
  <si>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</si>
  <si>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</si>
  <si>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</si>
  <si>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</si>
  <si>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</si>
  <si>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</si>
  <si>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</si>
  <si>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</si>
  <si>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</si>
  <si>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</si>
  <si>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</si>
  <si>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</si>
  <si>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</si>
  <si>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</si>
  <si>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</si>
  <si>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</si>
  <si>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</si>
  <si>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</si>
  <si>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</si>
  <si>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</si>
  <si>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</si>
  <si>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</si>
  <si>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</si>
  <si>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</si>
  <si>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</si>
  <si>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</si>
  <si>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</si>
  <si>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</si>
  <si>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</si>
  <si>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</si>
  <si>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</si>
  <si>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</si>
  <si>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</si>
  <si>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</si>
  <si>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</si>
  <si>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</si>
  <si>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</si>
  <si>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</si>
  <si>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</si>
  <si>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</si>
  <si>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</si>
  <si>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</si>
  <si>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</si>
  <si>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</si>
  <si>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</si>
  <si>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</si>
  <si>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</si>
  <si>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</si>
  <si>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</si>
  <si>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</si>
  <si>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</si>
  <si>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</si>
  <si>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</si>
  <si>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</si>
  <si>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</si>
  <si>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</si>
  <si>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</si>
  <si>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</si>
  <si>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</si>
  <si>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</si>
  <si>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</si>
  <si>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</si>
  <si>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</si>
  <si>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</si>
  <si>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</si>
  <si>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</si>
  <si>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</si>
  <si>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</si>
  <si>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</si>
  <si>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</si>
  <si>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</si>
  <si>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</si>
  <si>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</si>
  <si>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</si>
  <si>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</si>
  <si>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</si>
  <si>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</si>
  <si>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</si>
  <si>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</si>
  <si>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</si>
  <si>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</si>
  <si>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</si>
  <si>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</si>
  <si>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</si>
  <si>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</si>
  <si>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</si>
  <si>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</si>
  <si>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</si>
  <si>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</si>
  <si>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</si>
  <si>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</si>
  <si>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</si>
  <si>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</si>
  <si>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</si>
  <si>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</si>
  <si>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</si>
  <si>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</si>
  <si>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</si>
  <si>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</si>
  <si>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</si>
  <si>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</si>
  <si>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</si>
  <si>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</si>
  <si>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</si>
  <si>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</si>
  <si>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</si>
  <si>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</si>
  <si>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</si>
  <si>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</si>
  <si>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</si>
  <si>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</si>
  <si>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</si>
  <si>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</si>
  <si>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</si>
  <si>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</si>
  <si>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</si>
  <si>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</si>
  <si>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</si>
  <si>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</si>
  <si>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</si>
  <si>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</si>
  <si>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</si>
  <si>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</si>
  <si>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</si>
  <si>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</si>
  <si>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</si>
  <si>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</si>
  <si>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</si>
  <si>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</si>
  <si>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</si>
  <si>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</si>
  <si>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</si>
  <si>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</si>
  <si>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</si>
  <si>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</si>
  <si>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</si>
  <si>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</si>
  <si>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</si>
  <si>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</si>
  <si>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</si>
  <si>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</si>
  <si>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</si>
  <si>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</si>
  <si>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</si>
  <si>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</si>
  <si>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</si>
  <si>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</si>
  <si>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</si>
  <si>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</si>
  <si>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</si>
  <si>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</si>
  <si>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</si>
  <si>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</si>
  <si>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</si>
  <si>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</si>
  <si>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</si>
  <si>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</si>
  <si>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</si>
  <si>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</si>
  <si>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</si>
  <si>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</si>
  <si>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</si>
  <si>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</si>
  <si>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</si>
  <si>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</si>
  <si>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</si>
  <si>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</si>
  <si>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</si>
  <si>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</si>
  <si>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</si>
  <si>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</si>
  <si>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</si>
  <si>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</si>
  <si>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</si>
  <si>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</si>
  <si>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</si>
  <si>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</si>
  <si>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</si>
  <si>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</si>
  <si>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</si>
  <si>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</si>
  <si>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</si>
  <si>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</si>
  <si>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</si>
  <si>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</si>
  <si>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</si>
  <si>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</si>
  <si>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</si>
  <si>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</si>
  <si>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</si>
  <si>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</si>
  <si>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</si>
  <si>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</si>
  <si>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</si>
  <si>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</si>
  <si>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</si>
  <si>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</si>
  <si>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</si>
  <si>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</si>
  <si>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</si>
  <si>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</si>
  <si>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</si>
  <si>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</si>
  <si>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</si>
  <si>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</si>
  <si>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</si>
  <si>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</si>
  <si>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</si>
  <si>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</si>
  <si>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</si>
  <si>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</si>
  <si>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</si>
  <si>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</si>
  <si>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</si>
  <si>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</si>
  <si>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</si>
  <si>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</si>
  <si>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</si>
  <si>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</si>
  <si>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</si>
  <si>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</si>
  <si>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</si>
  <si>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</si>
  <si>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</si>
  <si>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</si>
  <si>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</si>
  <si>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</si>
  <si>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</si>
  <si>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</si>
  <si>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</si>
  <si>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</si>
  <si>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</si>
  <si>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</si>
  <si>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</si>
  <si>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</si>
  <si>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</si>
  <si>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</si>
  <si>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</si>
  <si>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</si>
  <si>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</si>
  <si>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</si>
  <si>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</si>
  <si>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</si>
  <si>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</si>
  <si>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</si>
  <si>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</si>
  <si>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</si>
  <si>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</si>
  <si>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</si>
  <si>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</si>
  <si>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</si>
  <si>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</si>
  <si>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</si>
  <si>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</si>
  <si>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</si>
  <si>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</si>
  <si>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</si>
  <si>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</si>
  <si>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</si>
  <si>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</si>
  <si>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</si>
  <si>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</si>
  <si>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</si>
  <si>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</si>
  <si>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</si>
  <si>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</si>
  <si>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</si>
  <si>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</si>
  <si>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</si>
  <si>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</si>
  <si>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</si>
  <si>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</si>
  <si>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</si>
  <si>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</si>
  <si>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</si>
  <si>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</si>
  <si>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</si>
  <si>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</si>
  <si>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</si>
  <si>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</si>
  <si>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</si>
  <si>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</si>
  <si>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</si>
  <si>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</si>
  <si>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</si>
  <si>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</si>
  <si>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</si>
  <si>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</si>
  <si>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</si>
  <si>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</si>
  <si>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</si>
  <si>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</si>
  <si>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</si>
  <si>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</si>
  <si>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</si>
  <si>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</si>
  <si>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</si>
  <si>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</si>
  <si>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</si>
  <si>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</si>
  <si>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</si>
  <si>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</si>
  <si>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</si>
  <si>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</si>
  <si>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</si>
  <si>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</si>
  <si>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</si>
  <si>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</si>
  <si>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</si>
  <si>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</si>
  <si>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</si>
  <si>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</si>
  <si>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</si>
  <si>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</si>
  <si>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</si>
  <si>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</si>
  <si>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</si>
  <si>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</si>
  <si>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</si>
  <si>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</si>
  <si>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</si>
  <si>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</si>
  <si>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</si>
  <si>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</si>
  <si>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</si>
  <si>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</si>
  <si>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</si>
  <si>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</si>
  <si>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</si>
  <si>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</si>
  <si>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</si>
  <si>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</si>
  <si>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</si>
  <si>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</si>
  <si>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</si>
  <si>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</si>
  <si>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</si>
  <si>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</si>
  <si>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</si>
  <si>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</si>
  <si>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</si>
  <si>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</si>
  <si>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</si>
  <si>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</si>
  <si>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</si>
  <si>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</si>
  <si>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</si>
  <si>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</si>
  <si>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</si>
  <si>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</si>
  <si>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</si>
  <si>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</si>
  <si>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</si>
  <si>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</si>
  <si>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</si>
  <si>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</si>
  <si>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</si>
  <si>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</si>
  <si>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</si>
  <si>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</si>
  <si>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</si>
  <si>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</si>
  <si>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</si>
  <si>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</si>
  <si>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</si>
  <si>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</si>
  <si>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</si>
  <si>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</si>
  <si>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</si>
  <si>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</si>
  <si>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</si>
  <si>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</si>
  <si>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</si>
  <si>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</si>
  <si>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</si>
  <si>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</si>
  <si>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</si>
  <si>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</si>
  <si>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</si>
  <si>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</si>
  <si>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</si>
  <si>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</si>
  <si>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</si>
  <si>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</si>
  <si>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</si>
  <si>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</si>
  <si>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</si>
  <si>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</si>
  <si>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</si>
  <si>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</si>
  <si>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</si>
  <si>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</si>
  <si>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</si>
  <si>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</si>
  <si>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</si>
  <si>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</si>
  <si>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</si>
  <si>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</si>
  <si>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</si>
  <si>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</si>
  <si>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</si>
  <si>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</si>
  <si>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</si>
  <si>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</si>
  <si>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</si>
  <si>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</si>
  <si>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</si>
  <si>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</si>
  <si>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</si>
  <si>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</si>
  <si>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</si>
  <si>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</si>
  <si>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</si>
  <si>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</si>
  <si>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</si>
  <si>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</si>
  <si>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</si>
  <si>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</si>
  <si>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</si>
  <si>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</si>
  <si>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</si>
  <si>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</si>
  <si>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</si>
  <si>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</si>
  <si>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</si>
  <si>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</si>
  <si>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</si>
  <si>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</si>
  <si>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</si>
  <si>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</si>
  <si>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</si>
  <si>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</si>
  <si>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</si>
  <si>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</si>
  <si>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</si>
  <si>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</si>
  <si>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</si>
  <si>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</si>
  <si>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</si>
  <si>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</si>
  <si>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</si>
  <si>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</si>
  <si>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</si>
  <si>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</si>
  <si>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</si>
  <si>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</si>
  <si>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</si>
  <si>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</si>
  <si>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</si>
  <si>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</si>
  <si>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</si>
  <si>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</si>
  <si>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</si>
  <si>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</si>
  <si>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</si>
  <si>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</si>
  <si>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</si>
  <si>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</si>
  <si>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</si>
  <si>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</si>
  <si>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</si>
  <si>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</si>
  <si>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</si>
  <si>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</si>
  <si>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</si>
  <si>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</si>
  <si>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</si>
  <si>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</si>
  <si>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</si>
  <si>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</si>
  <si>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</si>
  <si>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</si>
  <si>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</si>
  <si>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</si>
  <si>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</si>
  <si>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</si>
  <si>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</si>
  <si>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</si>
  <si>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</si>
  <si>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</si>
  <si>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</si>
  <si>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</si>
  <si>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</si>
  <si>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</si>
  <si>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</si>
  <si>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</si>
  <si>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</si>
  <si>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</si>
  <si>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</si>
  <si>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</si>
  <si>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</si>
  <si>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</si>
  <si>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</si>
  <si>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</si>
  <si>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</si>
  <si>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</si>
  <si>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</si>
  <si>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</si>
  <si>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</si>
  <si>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</si>
  <si>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</si>
  <si>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</si>
  <si>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</si>
  <si>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</si>
  <si>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</si>
  <si>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</si>
  <si>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</si>
  <si>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</si>
  <si>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</si>
  <si>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</si>
  <si>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</si>
  <si>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</si>
  <si>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</si>
  <si>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</si>
  <si>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</si>
  <si>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</si>
  <si>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</si>
  <si>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</si>
  <si>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</si>
  <si>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</si>
  <si>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</si>
  <si>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</si>
  <si>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</si>
  <si>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</si>
  <si>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</si>
  <si>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</si>
  <si>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</si>
  <si>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</si>
  <si>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</si>
  <si>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</si>
  <si>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</si>
  <si>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</si>
  <si>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</si>
  <si>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</si>
  <si>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</si>
  <si>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</si>
  <si>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</si>
  <si>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</si>
  <si>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</si>
  <si>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</si>
  <si>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</si>
  <si>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</si>
  <si>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</si>
  <si>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</si>
  <si>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</si>
  <si>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</si>
  <si>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</si>
  <si>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</si>
  <si>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</si>
  <si>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</si>
  <si>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</si>
  <si>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</si>
  <si>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</si>
  <si>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</si>
  <si>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</si>
  <si>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</si>
  <si>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</si>
  <si>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</si>
  <si>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</si>
  <si>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</si>
  <si>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</si>
  <si>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</si>
  <si>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</si>
  <si>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</si>
  <si>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</si>
  <si>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</si>
  <si>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</si>
  <si>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</si>
  <si>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</si>
  <si>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</si>
  <si>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</si>
  <si>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</si>
  <si>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</si>
  <si>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</si>
  <si>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</si>
  <si>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</si>
  <si>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</si>
  <si>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</si>
  <si>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</si>
  <si>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</si>
  <si>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</si>
  <si>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</si>
  <si>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</si>
  <si>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</si>
  <si>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</si>
  <si>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</si>
  <si>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</si>
  <si>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</si>
  <si>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</si>
  <si>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</si>
  <si>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</si>
  <si>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</si>
  <si>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</si>
  <si>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</si>
  <si>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</si>
  <si>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</si>
  <si>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</si>
  <si>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</si>
  <si>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</si>
  <si>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</si>
  <si>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</si>
  <si>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</si>
  <si>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</si>
  <si>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</si>
  <si>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</si>
  <si>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</si>
  <si>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</si>
  <si>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</si>
  <si>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</si>
  <si>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</si>
  <si>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</si>
  <si>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</si>
  <si>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</si>
  <si>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</si>
  <si>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</si>
  <si>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</si>
  <si>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</si>
  <si>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</si>
  <si>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</si>
  <si>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</si>
  <si>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</si>
  <si>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</si>
  <si>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</si>
  <si>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</si>
  <si>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</si>
  <si>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</si>
  <si>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</si>
  <si>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</si>
  <si>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</si>
  <si>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</si>
  <si>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</si>
  <si>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</si>
  <si>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</si>
  <si>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</si>
  <si>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</si>
  <si>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</si>
  <si>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</si>
  <si>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</si>
  <si>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</si>
  <si>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</si>
  <si>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</si>
  <si>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</si>
  <si>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</si>
  <si>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</si>
  <si>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</si>
  <si>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</si>
  <si>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</si>
  <si>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</si>
  <si>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</si>
  <si>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</si>
  <si>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</si>
  <si>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</si>
  <si>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</si>
  <si>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</si>
  <si>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</si>
  <si>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</si>
  <si>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</si>
  <si>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</si>
  <si>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</si>
  <si>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</si>
  <si>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</si>
  <si>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</si>
  <si>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</si>
  <si>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</si>
  <si>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</si>
  <si>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</si>
  <si>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</si>
  <si>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</si>
  <si>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</si>
  <si>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</si>
  <si>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</si>
  <si>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</si>
  <si>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</si>
  <si>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</si>
  <si>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</si>
  <si>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</si>
  <si>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</si>
  <si>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</si>
  <si>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</si>
  <si>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</si>
  <si>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</si>
  <si>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</si>
  <si>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</si>
  <si>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</si>
  <si>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</si>
  <si>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</si>
  <si>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</si>
  <si>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</si>
  <si>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</si>
  <si>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</si>
  <si>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</si>
  <si>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</si>
  <si>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</si>
  <si>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</si>
  <si>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</si>
  <si>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</si>
  <si>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</si>
  <si>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</si>
  <si>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</si>
  <si>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</si>
  <si>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</si>
  <si>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</si>
  <si>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</si>
  <si>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</si>
  <si>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</si>
  <si>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</si>
  <si>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</si>
  <si>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</si>
  <si>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</si>
  <si>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</si>
  <si>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</si>
  <si>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</si>
  <si>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</si>
  <si>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</si>
  <si>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</si>
  <si>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</si>
  <si>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</si>
  <si>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</si>
  <si>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</si>
  <si>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</si>
  <si>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</si>
  <si>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</si>
  <si>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</si>
  <si>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</si>
  <si>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</si>
  <si>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</si>
  <si>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</si>
  <si>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</si>
  <si>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</si>
  <si>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</si>
  <si>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</si>
  <si>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</si>
  <si>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</si>
  <si>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</si>
  <si>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</si>
  <si>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</si>
  <si>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</si>
  <si>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</si>
  <si>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</si>
  <si>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</si>
  <si>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</si>
  <si>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</si>
  <si>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</si>
  <si>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</si>
  <si>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</si>
  <si>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</si>
  <si>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</si>
  <si>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</si>
  <si>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</si>
  <si>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</si>
  <si>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</si>
  <si>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</si>
  <si>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</si>
  <si>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</si>
  <si>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</si>
  <si>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</si>
  <si>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</si>
  <si>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</si>
  <si>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</si>
  <si>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</si>
  <si>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</si>
  <si>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</si>
  <si>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</si>
  <si>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</si>
  <si>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</si>
  <si>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</si>
  <si>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</si>
  <si>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</si>
  <si>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</si>
  <si>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</si>
  <si>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</si>
  <si>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</si>
  <si>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</si>
  <si>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</si>
  <si>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</si>
  <si>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</si>
  <si>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</si>
  <si>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</si>
  <si>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</si>
  <si>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</si>
  <si>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</si>
  <si>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</si>
  <si>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</si>
  <si>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</si>
  <si>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</si>
  <si>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</si>
  <si>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</si>
  <si>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</si>
  <si>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</si>
  <si>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</si>
  <si>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</si>
  <si>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</si>
  <si>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</si>
  <si>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</si>
  <si>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</si>
  <si>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</si>
  <si>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</si>
  <si>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</si>
  <si>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</si>
  <si>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</si>
  <si>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</si>
  <si>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</si>
  <si>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</si>
  <si>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</si>
  <si>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</si>
  <si>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</si>
  <si>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</si>
  <si>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</si>
  <si>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</si>
  <si>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</si>
  <si>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</si>
  <si>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</si>
  <si>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</si>
  <si>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</si>
  <si>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</si>
  <si>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</si>
  <si>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</si>
  <si>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</si>
  <si>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</si>
  <si>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</si>
  <si>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</si>
  <si>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</si>
  <si>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</si>
  <si>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</si>
  <si>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</si>
  <si>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</si>
  <si>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</si>
  <si>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</si>
  <si>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</si>
  <si>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</si>
  <si>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</si>
  <si>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</si>
  <si>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</si>
  <si>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</si>
  <si>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</si>
  <si>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</si>
  <si>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</si>
  <si>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</si>
  <si>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</si>
  <si>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</si>
  <si>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</si>
  <si>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</si>
  <si>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</si>
  <si>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</si>
  <si>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</si>
  <si>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</si>
  <si>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</si>
  <si>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</si>
  <si>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</si>
  <si>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</si>
  <si>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</si>
  <si>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</si>
  <si>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</si>
  <si>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</si>
  <si>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</si>
  <si>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</si>
  <si>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</si>
  <si>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</si>
  <si>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</si>
  <si>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</si>
  <si>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</si>
  <si>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</si>
  <si>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</si>
  <si>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</si>
  <si>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</si>
  <si>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</si>
  <si>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</si>
  <si>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</si>
  <si>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</si>
  <si>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</si>
  <si>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</si>
  <si>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</si>
  <si>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</si>
  <si>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</si>
  <si>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</si>
  <si>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</si>
  <si>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</si>
  <si>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</si>
  <si>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</si>
  <si>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</si>
  <si>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</si>
  <si>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</si>
  <si>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</si>
  <si>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</si>
  <si>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</si>
  <si>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</si>
  <si>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</si>
  <si>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</si>
  <si>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</si>
  <si>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</si>
  <si>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</si>
  <si>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</si>
  <si>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</si>
  <si>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</si>
  <si>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</si>
  <si>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</si>
  <si>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</si>
  <si>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</si>
  <si>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</si>
  <si>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</si>
  <si>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</si>
  <si>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</si>
  <si>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</si>
  <si>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</si>
  <si>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</si>
  <si>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</si>
  <si>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</si>
  <si>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</si>
  <si>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</si>
  <si>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</si>
  <si>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</si>
  <si>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</si>
  <si>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</si>
  <si>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</si>
  <si>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</si>
  <si>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</si>
  <si>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</si>
  <si>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</si>
  <si>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</si>
  <si>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</si>
  <si>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</si>
  <si>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</si>
  <si>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</si>
  <si>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</si>
  <si>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</si>
  <si>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</si>
  <si>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</si>
  <si>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</si>
  <si>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</si>
  <si>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</si>
  <si>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</si>
  <si>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</si>
  <si>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</si>
  <si>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</si>
  <si>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</si>
  <si>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</si>
  <si>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</si>
  <si>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</si>
  <si>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</si>
  <si>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</si>
  <si>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</si>
  <si>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</si>
  <si>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</si>
  <si>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</si>
  <si>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</si>
  <si>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</si>
  <si>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</si>
  <si>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</si>
  <si>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</si>
  <si>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</si>
  <si>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</si>
  <si>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</si>
  <si>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</si>
  <si>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</si>
  <si>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</si>
  <si>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</si>
  <si>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</si>
  <si>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</si>
  <si>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</si>
  <si>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</si>
  <si>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</si>
  <si>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</si>
  <si>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</si>
  <si>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</si>
  <si>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</si>
  <si>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</si>
  <si>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</si>
  <si>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</si>
  <si>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</si>
  <si>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</si>
  <si>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</si>
  <si>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</si>
  <si>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</si>
  <si>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</si>
  <si>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</si>
  <si>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</si>
  <si>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</si>
  <si>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</si>
  <si>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</si>
  <si>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</si>
  <si>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</si>
  <si>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</si>
  <si>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</si>
  <si>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</si>
  <si>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</si>
  <si>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</si>
  <si>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</si>
  <si>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</si>
  <si>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</si>
  <si>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</si>
  <si>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</si>
  <si>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</si>
  <si>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</si>
  <si>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</si>
  <si>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</si>
  <si>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</si>
  <si>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</si>
  <si>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</si>
  <si>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</si>
  <si>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</si>
  <si>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</si>
  <si>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</si>
  <si>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</si>
  <si>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</si>
  <si>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</si>
  <si>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</si>
  <si>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</si>
  <si>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</si>
  <si>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</si>
  <si>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</si>
  <si>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</si>
  <si>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</si>
  <si>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</si>
  <si>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</si>
  <si>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</si>
  <si>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</si>
  <si>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</si>
  <si>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</si>
  <si>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</si>
  <si>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</si>
  <si>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</si>
  <si>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</si>
  <si>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</si>
  <si>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</si>
  <si>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</si>
  <si>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</si>
  <si>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</si>
  <si>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</si>
  <si>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</si>
  <si>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</si>
  <si>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</si>
  <si>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</si>
  <si>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</si>
  <si>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</si>
  <si>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</si>
  <si>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</si>
  <si>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</si>
  <si>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</si>
  <si>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</si>
  <si>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</si>
  <si>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</si>
  <si>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</si>
  <si>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</si>
  <si>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</si>
  <si>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</si>
  <si>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</si>
  <si>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</si>
  <si>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</si>
  <si>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</si>
  <si>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</si>
  <si>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</si>
  <si>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</si>
  <si>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</si>
  <si>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</si>
  <si>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</si>
  <si>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</si>
  <si>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</si>
  <si>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</si>
  <si>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</si>
  <si>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</si>
  <si>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</si>
  <si>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</si>
  <si>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</si>
  <si>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</si>
  <si>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</si>
  <si>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</si>
  <si>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</si>
  <si>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</si>
  <si>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</si>
  <si>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</si>
  <si>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</si>
  <si>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</si>
  <si>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</si>
  <si>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</si>
  <si>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</si>
  <si>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</si>
  <si>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</si>
  <si>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</si>
  <si>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</si>
  <si>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</si>
  <si>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</si>
  <si>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</si>
  <si>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</si>
  <si>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</si>
  <si>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</si>
  <si>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</si>
  <si>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</si>
  <si>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</si>
  <si>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</si>
  <si>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</si>
  <si>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</si>
  <si>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</si>
  <si>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</si>
  <si>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</si>
  <si>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</si>
  <si>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</si>
  <si>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</si>
  <si>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</si>
  <si>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</si>
  <si>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</si>
  <si>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</si>
  <si>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</si>
  <si>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</si>
  <si>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</si>
  <si>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</si>
  <si>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</si>
  <si>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</si>
  <si>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</si>
  <si>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</si>
  <si>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</si>
  <si>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</si>
  <si>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</si>
  <si>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</si>
  <si>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</si>
  <si>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</si>
  <si>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</si>
  <si>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</si>
  <si>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</si>
  <si>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</si>
  <si>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</si>
  <si>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</si>
  <si>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</si>
  <si>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</si>
  <si>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</si>
  <si>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</si>
  <si>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</si>
  <si>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</si>
  <si>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</si>
  <si>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</si>
  <si>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</si>
  <si>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</si>
  <si>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</si>
  <si>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</si>
  <si>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</si>
  <si>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</si>
  <si>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</si>
  <si>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</si>
  <si>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</si>
  <si>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</si>
  <si>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</si>
  <si>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</si>
  <si>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</si>
  <si>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</si>
  <si>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</si>
  <si>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</si>
  <si>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</si>
  <si>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</si>
  <si>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</si>
  <si>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</si>
  <si>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</si>
  <si>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</si>
  <si>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</si>
  <si>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</si>
  <si>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</si>
  <si>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</si>
  <si>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</si>
  <si>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</si>
  <si>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</si>
  <si>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</si>
  <si>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</si>
  <si>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</si>
  <si>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</si>
  <si>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</si>
  <si>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</si>
  <si>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</si>
  <si>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</si>
  <si>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</si>
  <si>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</si>
  <si>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</si>
  <si>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</si>
  <si>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</si>
  <si>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</si>
  <si>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</si>
  <si>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</si>
  <si>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</si>
  <si>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</si>
  <si>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</si>
  <si>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</si>
  <si>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</si>
  <si>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</si>
  <si>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</si>
  <si>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</si>
  <si>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</si>
  <si>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</si>
  <si>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</si>
  <si>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</si>
  <si>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</si>
  <si>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</si>
  <si>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</si>
  <si>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</si>
  <si>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</si>
  <si>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</si>
  <si>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</si>
  <si>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</si>
  <si>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</si>
  <si>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</si>
  <si>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</si>
  <si>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</si>
  <si>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</si>
  <si>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</si>
  <si>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</si>
  <si>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</si>
  <si>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</si>
  <si>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</si>
  <si>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</si>
  <si>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</si>
  <si>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</si>
  <si>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</si>
  <si>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</si>
  <si>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</si>
  <si>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</si>
  <si>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</si>
  <si>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</si>
  <si>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</si>
  <si>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</si>
  <si>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</si>
  <si>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</si>
  <si>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</si>
  <si>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</si>
  <si>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</si>
  <si>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</si>
  <si>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</si>
  <si>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</si>
  <si>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</si>
  <si>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</si>
  <si>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</si>
  <si>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</si>
  <si>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</si>
  <si>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</si>
  <si>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</si>
  <si>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</si>
  <si>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</si>
  <si>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</si>
  <si>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</si>
  <si>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</si>
  <si>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</si>
  <si>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</si>
  <si>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</si>
  <si>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</si>
  <si>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</si>
  <si>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</si>
  <si>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</si>
  <si>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</si>
  <si>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</si>
  <si>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</si>
  <si>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</si>
  <si>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</si>
  <si>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</si>
  <si>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</si>
  <si>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</si>
  <si>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</si>
  <si>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</si>
  <si>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</si>
  <si>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</si>
  <si>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</si>
  <si>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</si>
  <si>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</si>
  <si>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</si>
  <si>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</si>
  <si>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</si>
  <si>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</si>
  <si>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</si>
  <si>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</si>
  <si>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</si>
  <si>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</si>
  <si>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</si>
  <si>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</si>
  <si>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</si>
  <si>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</si>
  <si>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</si>
  <si>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</si>
  <si>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</si>
  <si>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</si>
  <si>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</si>
  <si>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</si>
  <si>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</si>
  <si>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</si>
  <si>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</si>
  <si>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</si>
  <si>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</si>
  <si>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</si>
  <si>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</si>
  <si>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</si>
  <si>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</si>
  <si>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</si>
  <si>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</si>
  <si>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</si>
  <si>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</si>
  <si>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</si>
  <si>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</si>
  <si>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</si>
  <si>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</si>
  <si>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</si>
  <si>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</si>
  <si>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</si>
  <si>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</si>
  <si>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</si>
  <si>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</si>
  <si>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</si>
  <si>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</si>
  <si>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</si>
  <si>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</si>
  <si>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</si>
  <si>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</si>
  <si>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</si>
  <si>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</si>
  <si>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</si>
  <si>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</si>
  <si>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</si>
  <si>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</si>
  <si>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</si>
  <si>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</si>
  <si>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</si>
  <si>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</si>
  <si>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</si>
  <si>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</si>
  <si>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</si>
  <si>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</si>
  <si>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</si>
  <si>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</si>
  <si>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</si>
  <si>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</si>
  <si>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</si>
  <si>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</si>
  <si>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</si>
  <si>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</si>
  <si>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</si>
  <si>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</si>
  <si>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</si>
  <si>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</si>
  <si>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</si>
  <si>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</si>
  <si>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</si>
  <si>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</si>
  <si>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</si>
  <si>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</si>
  <si>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</si>
  <si>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</si>
  <si>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</si>
  <si>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</si>
  <si>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</si>
  <si>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</si>
  <si>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</si>
  <si>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</si>
  <si>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</si>
  <si>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</si>
  <si>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</si>
  <si>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</si>
  <si>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</si>
  <si>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</si>
  <si>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</si>
  <si>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</si>
  <si>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</si>
  <si>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</si>
  <si>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</si>
  <si>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</si>
  <si>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</si>
  <si>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</si>
  <si>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</si>
  <si>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</si>
  <si>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</si>
  <si>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</si>
  <si>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</si>
  <si>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</si>
  <si>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</si>
  <si>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</si>
  <si>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</si>
  <si>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</si>
  <si>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</si>
  <si>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</si>
  <si>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</si>
  <si>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</si>
  <si>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</si>
  <si>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</si>
  <si>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</si>
  <si>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</si>
  <si>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</si>
  <si>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</si>
  <si>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</si>
  <si>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</si>
  <si>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</si>
  <si>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</si>
  <si>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</si>
  <si>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</si>
  <si>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</si>
  <si>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</si>
  <si>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</si>
  <si>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</si>
  <si>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</si>
  <si>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</si>
  <si>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</si>
  <si>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</si>
  <si>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</si>
  <si>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</si>
  <si>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</si>
  <si>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</si>
  <si>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</si>
  <si>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</si>
  <si>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</si>
  <si>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</si>
  <si>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</si>
  <si>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</si>
  <si>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</si>
  <si>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</si>
  <si>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</si>
  <si>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</si>
  <si>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</si>
  <si>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</si>
  <si>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</si>
  <si>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</si>
  <si>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</si>
  <si>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</si>
  <si>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</si>
  <si>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</si>
  <si>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</si>
  <si>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</si>
  <si>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</si>
  <si>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</si>
  <si>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</si>
  <si>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</si>
  <si>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</si>
  <si>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</si>
  <si>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</si>
  <si>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</si>
  <si>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</si>
  <si>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</si>
  <si>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</si>
  <si>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</si>
  <si>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</si>
  <si>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</si>
  <si>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</si>
  <si>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</si>
  <si>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</si>
  <si>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</si>
  <si>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</si>
  <si>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</si>
  <si>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</si>
  <si>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</si>
  <si>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</si>
  <si>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</si>
  <si>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</si>
  <si>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</si>
  <si>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</si>
  <si>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</si>
  <si>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</si>
  <si>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</si>
  <si>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</si>
  <si>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</si>
  <si>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</si>
  <si>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</si>
  <si>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</si>
  <si>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</si>
  <si>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</si>
  <si>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</si>
  <si>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</si>
  <si>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</si>
  <si>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</si>
  <si>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</si>
  <si>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</si>
  <si>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</si>
  <si>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</si>
  <si>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</si>
  <si>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</si>
  <si>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</si>
  <si>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</si>
  <si>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</si>
  <si>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</si>
  <si>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</si>
  <si>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</si>
  <si>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</si>
  <si>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</si>
  <si>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</si>
  <si>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</si>
  <si>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</si>
  <si>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</si>
  <si>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</si>
  <si>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</si>
  <si>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</si>
  <si>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</si>
  <si>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</si>
  <si>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</si>
  <si>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</si>
  <si>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</si>
  <si>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</si>
  <si>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</si>
  <si>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</si>
  <si>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</si>
  <si>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</si>
  <si>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</si>
  <si>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</si>
  <si>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</si>
  <si>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</si>
  <si>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</si>
  <si>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</si>
  <si>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</si>
  <si>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</si>
  <si>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</si>
  <si>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</si>
  <si>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</si>
  <si>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</si>
  <si>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</si>
  <si>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</si>
  <si>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</si>
  <si>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</si>
  <si>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</si>
  <si>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</si>
  <si>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</si>
  <si>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</si>
  <si>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</si>
  <si>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</si>
  <si>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</si>
  <si>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</si>
  <si>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</si>
  <si>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</si>
  <si>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</si>
  <si>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</si>
  <si>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</si>
  <si>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</si>
  <si>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</si>
  <si>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</si>
  <si>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</si>
  <si>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</si>
  <si>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</si>
  <si>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</si>
  <si>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</si>
  <si>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</si>
  <si>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</si>
  <si>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</si>
  <si>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</si>
  <si>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</si>
  <si>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</si>
  <si>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</si>
  <si>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</si>
  <si>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</si>
  <si>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</si>
  <si>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</si>
  <si>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</si>
  <si>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</si>
  <si>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</si>
  <si>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</si>
  <si>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</si>
  <si>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</si>
  <si>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</si>
  <si>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</si>
  <si>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</si>
  <si>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</si>
  <si>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</si>
  <si>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</si>
  <si>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</si>
  <si>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</si>
  <si>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</si>
  <si>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</si>
  <si>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</si>
  <si>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</si>
  <si>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</si>
  <si>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</si>
  <si>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</si>
  <si>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</si>
  <si>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</si>
  <si>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</si>
  <si>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</si>
  <si>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</si>
  <si>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</si>
  <si>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</si>
  <si>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</si>
  <si>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</si>
  <si>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</si>
  <si>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</si>
  <si>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</si>
  <si>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</si>
  <si>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</si>
  <si>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</si>
  <si>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</si>
  <si>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</si>
  <si>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</si>
  <si>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</si>
  <si>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</si>
  <si>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</si>
  <si>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</si>
  <si>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</si>
  <si>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</si>
  <si>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</si>
  <si>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</si>
  <si>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</si>
  <si>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</si>
  <si>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</si>
  <si>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</si>
  <si>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</si>
  <si>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</si>
  <si>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</si>
  <si>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</si>
  <si>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</si>
  <si>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</si>
  <si>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</si>
  <si>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</si>
  <si>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</si>
  <si>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</si>
  <si>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</si>
  <si>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</si>
  <si>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</si>
  <si>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</si>
  <si>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</si>
  <si>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</si>
  <si>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</si>
  <si>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</si>
  <si>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</si>
  <si>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</si>
  <si>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</si>
  <si>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</si>
  <si>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</si>
  <si>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</si>
  <si>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</si>
  <si>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</si>
  <si>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</si>
  <si>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</si>
  <si>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</si>
  <si>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</si>
  <si>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</si>
  <si>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</si>
  <si>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</si>
  <si>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</si>
  <si>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</si>
  <si>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</si>
  <si>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</si>
  <si>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</si>
  <si>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</si>
  <si>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</si>
  <si>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</si>
  <si>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</si>
  <si>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</si>
  <si>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</si>
  <si>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</si>
  <si>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</si>
  <si>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</si>
  <si>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</si>
  <si>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</si>
  <si>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</si>
  <si>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</si>
  <si>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</si>
  <si>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</si>
  <si>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</si>
  <si>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</si>
  <si>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</si>
  <si>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</si>
  <si>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</si>
  <si>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</si>
  <si>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</si>
  <si>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</si>
  <si>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</si>
  <si>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</si>
  <si>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</si>
  <si>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</si>
  <si>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</si>
  <si>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</si>
  <si>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</si>
  <si>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</si>
  <si>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</si>
  <si>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</si>
  <si>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</si>
  <si>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</si>
  <si>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</si>
  <si>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</si>
  <si>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</si>
  <si>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</si>
  <si>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</si>
  <si>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</si>
  <si>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</si>
  <si>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</si>
  <si>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</si>
  <si>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</si>
  <si>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</si>
  <si>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</si>
  <si>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</si>
  <si>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</si>
  <si>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</si>
  <si>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</si>
  <si>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</si>
  <si>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</si>
  <si>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</si>
  <si>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</si>
  <si>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</si>
  <si>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</si>
  <si>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</si>
  <si>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</si>
  <si>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</si>
  <si>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</si>
  <si>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</si>
  <si>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</si>
  <si>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</si>
  <si>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</si>
  <si>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</si>
  <si>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</si>
  <si>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</si>
  <si>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</si>
  <si>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</si>
  <si>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</si>
  <si>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</si>
  <si>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</si>
  <si>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</si>
  <si>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</si>
  <si>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</si>
  <si>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</si>
  <si>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</si>
  <si>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</si>
  <si>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</si>
  <si>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</si>
  <si>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</si>
  <si>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</si>
  <si>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</si>
  <si>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</si>
  <si>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</si>
  <si>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</si>
  <si>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</si>
  <si>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</si>
  <si>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</si>
  <si>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</si>
  <si>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</si>
  <si>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</si>
  <si>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</si>
  <si>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</si>
  <si>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</si>
  <si>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</si>
  <si>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</si>
  <si>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</si>
  <si>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</si>
  <si>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</si>
  <si>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</si>
  <si>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</si>
  <si>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</si>
  <si>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</si>
  <si>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</si>
  <si>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</si>
  <si>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</si>
  <si>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</si>
  <si>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</si>
  <si>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</si>
  <si>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</si>
  <si>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</si>
  <si>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</si>
  <si>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</si>
  <si>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</si>
  <si>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</si>
  <si>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</si>
  <si>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</si>
  <si>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</si>
  <si>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</si>
  <si>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</si>
  <si>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</si>
  <si>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</si>
  <si>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</si>
  <si>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</si>
  <si>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</si>
  <si>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吴薇</t>
  </si>
  <si>
    <t>郑燚</t>
  </si>
  <si>
    <t>房地产抵押价值</t>
  </si>
  <si>
    <t>北京市</t>
  </si>
  <si>
    <t>办公项目</t>
  </si>
  <si>
    <t>现房</t>
  </si>
  <si>
    <t>是</t>
  </si>
  <si>
    <t>地上</t>
  </si>
  <si>
    <t>办公楼</t>
  </si>
  <si>
    <t>成新度</t>
  </si>
  <si>
    <t>直线</t>
    <phoneticPr fontId="3" type="noConversion"/>
  </si>
  <si>
    <t>观察</t>
    <phoneticPr fontId="3" type="noConversion"/>
  </si>
  <si>
    <t>综合</t>
    <phoneticPr fontId="3" type="noConversion"/>
  </si>
  <si>
    <t>钢混</t>
  </si>
  <si>
    <t>非生产用房</t>
  </si>
  <si>
    <t>否</t>
  </si>
  <si>
    <t>收益法 (元)</t>
  </si>
  <si>
    <t>押一</t>
  </si>
  <si>
    <t>楼面单价</t>
  </si>
  <si>
    <t>单套模式</t>
  </si>
  <si>
    <t>售价</t>
  </si>
  <si>
    <t>正常</t>
  </si>
  <si>
    <t>办公</t>
    <phoneticPr fontId="31" type="noConversion"/>
  </si>
  <si>
    <t>高楼层</t>
    <phoneticPr fontId="31" type="noConversion"/>
  </si>
  <si>
    <t>中楼层</t>
  </si>
  <si>
    <t>中楼层</t>
    <phoneticPr fontId="31" type="noConversion"/>
  </si>
  <si>
    <t>低楼层</t>
  </si>
  <si>
    <t>低楼层</t>
    <phoneticPr fontId="31" type="noConversion"/>
  </si>
  <si>
    <t>写字楼</t>
  </si>
  <si>
    <t>写字楼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</si>
  <si>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</si>
  <si>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</si>
  <si>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</si>
  <si>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</si>
  <si>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</si>
  <si>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</si>
  <si>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甲乙</t>
    <phoneticPr fontId="31" type="noConversion"/>
  </si>
  <si>
    <t>乙级</t>
    <phoneticPr fontId="31" type="noConversion"/>
  </si>
  <si>
    <t>专业</t>
    <phoneticPr fontId="31" type="noConversion"/>
  </si>
  <si>
    <t>普通</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</si>
  <si>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</si>
  <si>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</si>
  <si>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</si>
  <si>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</si>
  <si>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</si>
  <si>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</si>
  <si>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</si>
  <si>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标准层高</t>
  </si>
  <si>
    <t>标准层高</t>
    <phoneticPr fontId="31" type="noConversion"/>
  </si>
  <si>
    <t>较好</t>
  </si>
  <si>
    <t>租金</t>
  </si>
  <si>
    <t>五通</t>
  </si>
  <si>
    <t>《不动产权证书》</t>
  </si>
  <si>
    <t>一般</t>
  </si>
  <si>
    <t>都会国际</t>
    <phoneticPr fontId="3" type="noConversion"/>
  </si>
  <si>
    <t>都会国际</t>
    <phoneticPr fontId="3" type="noConversion"/>
  </si>
  <si>
    <t>都会国际</t>
    <phoneticPr fontId="3" type="noConversion"/>
  </si>
  <si>
    <t>高楼层</t>
  </si>
  <si>
    <t>4层</t>
    <phoneticPr fontId="31" type="noConversion"/>
  </si>
  <si>
    <r>
      <t>A座商住两用（</t>
    </r>
    <r>
      <rPr>
        <sz val="11"/>
        <color theme="1"/>
        <rFont val="宋体"/>
        <family val="3"/>
        <charset val="134"/>
        <scheme val="minor"/>
      </rPr>
      <t>基本用于办公）</t>
    </r>
    <r>
      <rPr>
        <sz val="11"/>
        <color theme="1"/>
        <rFont val="宋体"/>
        <family val="3"/>
        <charset val="134"/>
        <scheme val="minor"/>
      </rPr>
      <t>，</t>
    </r>
    <r>
      <rPr>
        <sz val="11"/>
        <color theme="1"/>
        <rFont val="宋体"/>
        <family val="3"/>
        <charset val="134"/>
        <scheme val="minor"/>
      </rPr>
      <t>B座写字楼</t>
    </r>
    <phoneticPr fontId="134" type="noConversion"/>
  </si>
  <si>
    <t>租金水平：100平以下小平米的月租金5-6千，100平以上的月租金1万-2万</t>
    <phoneticPr fontId="134" type="noConversion"/>
  </si>
  <si>
    <t>A座，55.9平，总价128万，月租金5500，日租金3.2</t>
    <phoneticPr fontId="134" type="noConversion"/>
  </si>
  <si>
    <t>B座</t>
    <phoneticPr fontId="134" type="noConversion"/>
  </si>
  <si>
    <t>月租金12000，日租金2.8</t>
    <phoneticPr fontId="134" type="noConversion"/>
  </si>
  <si>
    <t>日租金2.8-3.2</t>
    <phoneticPr fontId="134" type="noConversion"/>
  </si>
  <si>
    <t>都会国际A座</t>
    <phoneticPr fontId="31" type="noConversion"/>
  </si>
  <si>
    <t>都会国际A座</t>
    <phoneticPr fontId="31" type="noConversion"/>
  </si>
  <si>
    <t>都会国际B座</t>
    <phoneticPr fontId="31" type="noConversion"/>
  </si>
  <si>
    <t>对标青年工社</t>
    <phoneticPr fontId="134" type="noConversion"/>
  </si>
  <si>
    <t>商务金融用地</t>
  </si>
  <si>
    <t>估价对象容积率</t>
  </si>
  <si>
    <t>不临65条商业街</t>
  </si>
  <si>
    <t>与级别开发程度不一致</t>
  </si>
  <si>
    <t>通路</t>
  </si>
  <si>
    <t>通电</t>
  </si>
  <si>
    <t>通讯</t>
  </si>
  <si>
    <t>通上水</t>
  </si>
  <si>
    <t>通下水</t>
  </si>
  <si>
    <t>通热</t>
  </si>
  <si>
    <t>平整</t>
  </si>
  <si>
    <t>未包含在土地购买价格中</t>
  </si>
  <si>
    <t>已包含在土地取得成本中</t>
  </si>
  <si>
    <t>成本法 (元)</t>
  </si>
  <si>
    <t>朝阳区十里堡甲3号A座4层05F写字楼用房</t>
    <phoneticPr fontId="6" type="noConversion"/>
  </si>
  <si>
    <t>4层05F办公</t>
  </si>
  <si>
    <t>4层05F办公</t>
    <phoneticPr fontId="7" type="noConversion"/>
  </si>
  <si>
    <t>3月成交一套，B座15A，140平米，180万，单价12857元</t>
    <phoneticPr fontId="134" type="noConversion"/>
  </si>
  <si>
    <t>4月有一套交了保证金的，预计成交价185万，143平，单价12937</t>
    <phoneticPr fontId="134" type="noConversion"/>
  </si>
  <si>
    <t>报价</t>
  </si>
  <si>
    <t>报价</t>
    <phoneticPr fontId="31" type="noConversion"/>
  </si>
  <si>
    <t>住邦2000</t>
    <phoneticPr fontId="31" type="noConversion"/>
  </si>
  <si>
    <t>建成年代</t>
    <phoneticPr fontId="31" type="noConversion"/>
  </si>
  <si>
    <t>成本比率</t>
  </si>
  <si>
    <t>朝阳区十里堡甲3号A座4层05F写字楼用房，建筑面积94.12平方米，总价约188万元，单价约20000元/平方米</t>
    <phoneticPr fontId="134" type="noConversion"/>
  </si>
  <si>
    <t>比较法-办公</t>
  </si>
  <si>
    <t>比较法-都会国际办公</t>
    <phoneticPr fontId="16" type="noConversion"/>
  </si>
  <si>
    <t>保利东郡</t>
    <phoneticPr fontId="31" type="noConversion"/>
  </si>
  <si>
    <t>品质</t>
    <phoneticPr fontId="134" type="noConversion"/>
  </si>
  <si>
    <t>较好</t>
    <phoneticPr fontId="134" type="noConversion"/>
  </si>
  <si>
    <t>一般</t>
    <phoneticPr fontId="134" type="noConversion"/>
  </si>
  <si>
    <t>高楼层，228.39平，现在单价3.2万，月租金4万，日租金 5.8</t>
    <phoneticPr fontId="134" type="noConversion"/>
  </si>
  <si>
    <t>高楼层，190.14平，现在单价3.2万，月租金2.6万，日租金4.6</t>
    <phoneticPr fontId="134" type="noConversion"/>
  </si>
  <si>
    <r>
      <rPr>
        <sz val="11"/>
        <color indexed="8"/>
        <rFont val="宋体"/>
        <family val="3"/>
        <charset val="134"/>
      </rPr>
      <t>月租金</t>
    </r>
    <r>
      <rPr>
        <sz val="11"/>
        <color indexed="8"/>
        <rFont val="Arial"/>
        <family val="2"/>
      </rPr>
      <t>2.6</t>
    </r>
    <r>
      <rPr>
        <sz val="11"/>
        <color indexed="8"/>
        <rFont val="宋体"/>
        <family val="3"/>
        <charset val="134"/>
      </rPr>
      <t>万，日租金</t>
    </r>
    <r>
      <rPr>
        <sz val="11"/>
        <color indexed="8"/>
        <rFont val="Arial"/>
        <family val="2"/>
      </rPr>
      <t>4.6</t>
    </r>
    <phoneticPr fontId="134" type="noConversion"/>
  </si>
  <si>
    <r>
      <rPr>
        <sz val="11"/>
        <color indexed="8"/>
        <rFont val="宋体"/>
        <family val="3"/>
        <charset val="134"/>
      </rPr>
      <t>月租金</t>
    </r>
    <r>
      <rPr>
        <sz val="11"/>
        <color indexed="8"/>
        <rFont val="Arial"/>
        <family val="2"/>
      </rPr>
      <t>3</t>
    </r>
    <r>
      <rPr>
        <sz val="11"/>
        <color indexed="8"/>
        <rFont val="宋体"/>
        <family val="3"/>
        <charset val="134"/>
      </rPr>
      <t>万，日租金</t>
    </r>
    <r>
      <rPr>
        <sz val="11"/>
        <color indexed="8"/>
        <rFont val="Arial"/>
        <family val="2"/>
      </rPr>
      <t>4.3</t>
    </r>
    <phoneticPr fontId="134" type="noConversion"/>
  </si>
  <si>
    <r>
      <rPr>
        <sz val="11"/>
        <color indexed="8"/>
        <rFont val="宋体"/>
        <family val="3"/>
        <charset val="134"/>
      </rPr>
      <t>日租金</t>
    </r>
    <r>
      <rPr>
        <sz val="11"/>
        <color indexed="8"/>
        <rFont val="Arial"/>
        <family val="2"/>
      </rPr>
      <t>3.6-4.5</t>
    </r>
    <phoneticPr fontId="134" type="noConversion"/>
  </si>
  <si>
    <t>都会国际A座</t>
    <phoneticPr fontId="31" type="noConversion"/>
  </si>
  <si>
    <t>自然人</t>
  </si>
  <si>
    <t>商住楼</t>
  </si>
  <si>
    <t>商住楼</t>
    <phoneticPr fontId="134" type="noConversion"/>
  </si>
  <si>
    <t>贰佰零柒万壹仟陆佰柒拾伍</t>
    <phoneticPr fontId="8" type="noConversion"/>
  </si>
  <si>
    <t>蓝堡国际中心</t>
    <phoneticPr fontId="31" type="noConversion"/>
  </si>
  <si>
    <t>远洋商务</t>
    <phoneticPr fontId="31" type="noConversion"/>
  </si>
  <si>
    <t>办公楼</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</si>
</sst>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7" borderId="150"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0" fontId="47" fillId="0" borderId="0" xfId="1" applyFont="1" applyAlignment="1" applyProtection="1">
      <alignment horizontal="center" vertical="center"/>
      <protection locked="0"/>
    </xf>
    <xf numFmtId="0" fontId="77" fillId="12" borderId="0" xfId="0" applyFont="1" applyFill="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0" fontId="77" fillId="7" borderId="0" xfId="0" applyFont="1" applyFill="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269" fillId="0" borderId="41" xfId="0" applyFont="1" applyBorder="1" applyAlignment="1" applyProtection="1">
      <alignment horizontal="center" vertical="center" wrapText="1"/>
      <protection locked="0"/>
    </xf>
    <xf numFmtId="0" fontId="47" fillId="22" borderId="13"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77" fillId="7"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5.x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127891</xdr:colOff>
      <xdr:row>19</xdr:row>
      <xdr:rowOff>104775</xdr:rowOff>
    </xdr:to>
    <xdr:pic>
      <xdr:nvPicPr>
        <xdr:cNvPr id="2" name="图片 1">
          <a:extLst>
            <a:ext uri="{FF2B5EF4-FFF2-40B4-BE49-F238E27FC236}">
              <a16:creationId xmlns:a16="http://schemas.microsoft.com/office/drawing/2014/main" xmlns="" id="{A6906361-1289-E694-6B7E-6C533E1F98A7}"/>
            </a:ext>
          </a:extLst>
        </xdr:cNvPr>
        <xdr:cNvPicPr>
          <a:picLocks noChangeAspect="1"/>
        </xdr:cNvPicPr>
      </xdr:nvPicPr>
      <xdr:blipFill>
        <a:blip xmlns:r="http://schemas.openxmlformats.org/officeDocument/2006/relationships" r:embed="rId1"/>
        <a:stretch>
          <a:fillRect/>
        </a:stretch>
      </xdr:blipFill>
      <xdr:spPr>
        <a:xfrm>
          <a:off x="0" y="1"/>
          <a:ext cx="7671691" cy="3362324"/>
        </a:xfrm>
        <a:prstGeom prst="rect">
          <a:avLst/>
        </a:prstGeom>
      </xdr:spPr>
    </xdr:pic>
    <xdr:clientData/>
  </xdr:twoCellAnchor>
  <xdr:twoCellAnchor editAs="oneCell">
    <xdr:from>
      <xdr:col>0</xdr:col>
      <xdr:colOff>0</xdr:colOff>
      <xdr:row>23</xdr:row>
      <xdr:rowOff>66676</xdr:rowOff>
    </xdr:from>
    <xdr:to>
      <xdr:col>10</xdr:col>
      <xdr:colOff>333375</xdr:colOff>
      <xdr:row>41</xdr:row>
      <xdr:rowOff>45557</xdr:rowOff>
    </xdr:to>
    <xdr:pic>
      <xdr:nvPicPr>
        <xdr:cNvPr id="3" name="图片 2">
          <a:extLst>
            <a:ext uri="{FF2B5EF4-FFF2-40B4-BE49-F238E27FC236}">
              <a16:creationId xmlns:a16="http://schemas.microsoft.com/office/drawing/2014/main" xmlns="" id="{8F02D8B3-121B-D51B-7288-E55DE7C8054B}"/>
            </a:ext>
          </a:extLst>
        </xdr:cNvPr>
        <xdr:cNvPicPr>
          <a:picLocks noChangeAspect="1"/>
        </xdr:cNvPicPr>
      </xdr:nvPicPr>
      <xdr:blipFill>
        <a:blip xmlns:r="http://schemas.openxmlformats.org/officeDocument/2006/relationships" r:embed="rId2"/>
        <a:stretch>
          <a:fillRect/>
        </a:stretch>
      </xdr:blipFill>
      <xdr:spPr>
        <a:xfrm>
          <a:off x="0" y="4010026"/>
          <a:ext cx="7191375" cy="3064981"/>
        </a:xfrm>
        <a:prstGeom prst="rect">
          <a:avLst/>
        </a:prstGeom>
      </xdr:spPr>
    </xdr:pic>
    <xdr:clientData/>
  </xdr:twoCellAnchor>
  <xdr:twoCellAnchor editAs="oneCell">
    <xdr:from>
      <xdr:col>0</xdr:col>
      <xdr:colOff>0</xdr:colOff>
      <xdr:row>43</xdr:row>
      <xdr:rowOff>85726</xdr:rowOff>
    </xdr:from>
    <xdr:to>
      <xdr:col>11</xdr:col>
      <xdr:colOff>38099</xdr:colOff>
      <xdr:row>63</xdr:row>
      <xdr:rowOff>61996</xdr:rowOff>
    </xdr:to>
    <xdr:pic>
      <xdr:nvPicPr>
        <xdr:cNvPr id="5" name="图片 4">
          <a:extLst>
            <a:ext uri="{FF2B5EF4-FFF2-40B4-BE49-F238E27FC236}">
              <a16:creationId xmlns:a16="http://schemas.microsoft.com/office/drawing/2014/main" xmlns="" id="{9A0ECDDB-7F7B-46B5-279E-AF539729747D}"/>
            </a:ext>
          </a:extLst>
        </xdr:cNvPr>
        <xdr:cNvPicPr>
          <a:picLocks noChangeAspect="1"/>
        </xdr:cNvPicPr>
      </xdr:nvPicPr>
      <xdr:blipFill>
        <a:blip xmlns:r="http://schemas.openxmlformats.org/officeDocument/2006/relationships" r:embed="rId3"/>
        <a:stretch>
          <a:fillRect/>
        </a:stretch>
      </xdr:blipFill>
      <xdr:spPr>
        <a:xfrm>
          <a:off x="0" y="7458076"/>
          <a:ext cx="7581899" cy="3405270"/>
        </a:xfrm>
        <a:prstGeom prst="rect">
          <a:avLst/>
        </a:prstGeom>
      </xdr:spPr>
    </xdr:pic>
    <xdr:clientData/>
  </xdr:twoCellAnchor>
  <xdr:twoCellAnchor editAs="oneCell">
    <xdr:from>
      <xdr:col>0</xdr:col>
      <xdr:colOff>0</xdr:colOff>
      <xdr:row>65</xdr:row>
      <xdr:rowOff>142875</xdr:rowOff>
    </xdr:from>
    <xdr:to>
      <xdr:col>10</xdr:col>
      <xdr:colOff>514350</xdr:colOff>
      <xdr:row>84</xdr:row>
      <xdr:rowOff>128187</xdr:rowOff>
    </xdr:to>
    <xdr:pic>
      <xdr:nvPicPr>
        <xdr:cNvPr id="6" name="图片 5">
          <a:extLst>
            <a:ext uri="{FF2B5EF4-FFF2-40B4-BE49-F238E27FC236}">
              <a16:creationId xmlns:a16="http://schemas.microsoft.com/office/drawing/2014/main" xmlns="" id="{E9C660F2-C129-E32E-0061-AE286237E2FA}"/>
            </a:ext>
          </a:extLst>
        </xdr:cNvPr>
        <xdr:cNvPicPr>
          <a:picLocks noChangeAspect="1"/>
        </xdr:cNvPicPr>
      </xdr:nvPicPr>
      <xdr:blipFill>
        <a:blip xmlns:r="http://schemas.openxmlformats.org/officeDocument/2006/relationships" r:embed="rId4"/>
        <a:stretch>
          <a:fillRect/>
        </a:stretch>
      </xdr:blipFill>
      <xdr:spPr>
        <a:xfrm>
          <a:off x="0" y="11287125"/>
          <a:ext cx="7372350" cy="3242862"/>
        </a:xfrm>
        <a:prstGeom prst="rect">
          <a:avLst/>
        </a:prstGeom>
      </xdr:spPr>
    </xdr:pic>
    <xdr:clientData/>
  </xdr:twoCellAnchor>
  <xdr:twoCellAnchor editAs="oneCell">
    <xdr:from>
      <xdr:col>11</xdr:col>
      <xdr:colOff>61746</xdr:colOff>
      <xdr:row>44</xdr:row>
      <xdr:rowOff>114301</xdr:rowOff>
    </xdr:from>
    <xdr:to>
      <xdr:col>20</xdr:col>
      <xdr:colOff>676274</xdr:colOff>
      <xdr:row>62</xdr:row>
      <xdr:rowOff>47625</xdr:rowOff>
    </xdr:to>
    <xdr:pic>
      <xdr:nvPicPr>
        <xdr:cNvPr id="7" name="图片 6">
          <a:extLst>
            <a:ext uri="{FF2B5EF4-FFF2-40B4-BE49-F238E27FC236}">
              <a16:creationId xmlns:a16="http://schemas.microsoft.com/office/drawing/2014/main" xmlns="" id="{BF99ADED-7977-1F2B-C610-1E5D7C8BB29A}"/>
            </a:ext>
          </a:extLst>
        </xdr:cNvPr>
        <xdr:cNvPicPr>
          <a:picLocks noChangeAspect="1"/>
        </xdr:cNvPicPr>
      </xdr:nvPicPr>
      <xdr:blipFill>
        <a:blip xmlns:r="http://schemas.openxmlformats.org/officeDocument/2006/relationships" r:embed="rId5"/>
        <a:stretch>
          <a:fillRect/>
        </a:stretch>
      </xdr:blipFill>
      <xdr:spPr>
        <a:xfrm>
          <a:off x="7605546" y="7658101"/>
          <a:ext cx="6786728" cy="3019424"/>
        </a:xfrm>
        <a:prstGeom prst="rect">
          <a:avLst/>
        </a:prstGeom>
      </xdr:spPr>
    </xdr:pic>
    <xdr:clientData/>
  </xdr:twoCellAnchor>
  <xdr:twoCellAnchor editAs="oneCell">
    <xdr:from>
      <xdr:col>11</xdr:col>
      <xdr:colOff>114681</xdr:colOff>
      <xdr:row>23</xdr:row>
      <xdr:rowOff>47626</xdr:rowOff>
    </xdr:from>
    <xdr:to>
      <xdr:col>21</xdr:col>
      <xdr:colOff>438148</xdr:colOff>
      <xdr:row>40</xdr:row>
      <xdr:rowOff>76200</xdr:rowOff>
    </xdr:to>
    <xdr:pic>
      <xdr:nvPicPr>
        <xdr:cNvPr id="8" name="图片 7">
          <a:extLst>
            <a:ext uri="{FF2B5EF4-FFF2-40B4-BE49-F238E27FC236}">
              <a16:creationId xmlns:a16="http://schemas.microsoft.com/office/drawing/2014/main" xmlns="" id="{92CC9C5C-8B02-01E2-6738-907E5B55352F}"/>
            </a:ext>
          </a:extLst>
        </xdr:cNvPr>
        <xdr:cNvPicPr>
          <a:picLocks noChangeAspect="1"/>
        </xdr:cNvPicPr>
      </xdr:nvPicPr>
      <xdr:blipFill>
        <a:blip xmlns:r="http://schemas.openxmlformats.org/officeDocument/2006/relationships" r:embed="rId6"/>
        <a:stretch>
          <a:fillRect/>
        </a:stretch>
      </xdr:blipFill>
      <xdr:spPr>
        <a:xfrm>
          <a:off x="7658481" y="3990976"/>
          <a:ext cx="7181467" cy="29432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276225</xdr:colOff>
      <xdr:row>23</xdr:row>
      <xdr:rowOff>7603</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8505825" cy="3950953"/>
        </a:xfrm>
        <a:prstGeom prst="rect">
          <a:avLst/>
        </a:prstGeom>
      </xdr:spPr>
    </xdr:pic>
    <xdr:clientData/>
  </xdr:twoCellAnchor>
  <xdr:twoCellAnchor editAs="oneCell">
    <xdr:from>
      <xdr:col>0</xdr:col>
      <xdr:colOff>0</xdr:colOff>
      <xdr:row>24</xdr:row>
      <xdr:rowOff>0</xdr:rowOff>
    </xdr:from>
    <xdr:to>
      <xdr:col>11</xdr:col>
      <xdr:colOff>393706</xdr:colOff>
      <xdr:row>44</xdr:row>
      <xdr:rowOff>104775</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2"/>
        <a:stretch>
          <a:fillRect/>
        </a:stretch>
      </xdr:blipFill>
      <xdr:spPr>
        <a:xfrm>
          <a:off x="0" y="4114800"/>
          <a:ext cx="7937506" cy="3533775"/>
        </a:xfrm>
        <a:prstGeom prst="rect">
          <a:avLst/>
        </a:prstGeom>
      </xdr:spPr>
    </xdr:pic>
    <xdr:clientData/>
  </xdr:twoCellAnchor>
  <xdr:twoCellAnchor editAs="oneCell">
    <xdr:from>
      <xdr:col>0</xdr:col>
      <xdr:colOff>0</xdr:colOff>
      <xdr:row>46</xdr:row>
      <xdr:rowOff>0</xdr:rowOff>
    </xdr:from>
    <xdr:to>
      <xdr:col>13</xdr:col>
      <xdr:colOff>295275</xdr:colOff>
      <xdr:row>69</xdr:row>
      <xdr:rowOff>45889</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3"/>
        <a:stretch>
          <a:fillRect/>
        </a:stretch>
      </xdr:blipFill>
      <xdr:spPr>
        <a:xfrm>
          <a:off x="0" y="7886700"/>
          <a:ext cx="9210675" cy="3989239"/>
        </a:xfrm>
        <a:prstGeom prst="rect">
          <a:avLst/>
        </a:prstGeom>
      </xdr:spPr>
    </xdr:pic>
    <xdr:clientData/>
  </xdr:twoCellAnchor>
  <xdr:twoCellAnchor editAs="oneCell">
    <xdr:from>
      <xdr:col>0</xdr:col>
      <xdr:colOff>0</xdr:colOff>
      <xdr:row>71</xdr:row>
      <xdr:rowOff>0</xdr:rowOff>
    </xdr:from>
    <xdr:to>
      <xdr:col>13</xdr:col>
      <xdr:colOff>398886</xdr:colOff>
      <xdr:row>102</xdr:row>
      <xdr:rowOff>123145</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4"/>
        <a:stretch>
          <a:fillRect/>
        </a:stretch>
      </xdr:blipFill>
      <xdr:spPr>
        <a:xfrm>
          <a:off x="0" y="12172950"/>
          <a:ext cx="9314286" cy="5438095"/>
        </a:xfrm>
        <a:prstGeom prst="rect">
          <a:avLst/>
        </a:prstGeom>
      </xdr:spPr>
    </xdr:pic>
    <xdr:clientData/>
  </xdr:twoCellAnchor>
  <xdr:twoCellAnchor editAs="oneCell">
    <xdr:from>
      <xdr:col>0</xdr:col>
      <xdr:colOff>1</xdr:colOff>
      <xdr:row>104</xdr:row>
      <xdr:rowOff>0</xdr:rowOff>
    </xdr:from>
    <xdr:to>
      <xdr:col>13</xdr:col>
      <xdr:colOff>533401</xdr:colOff>
      <xdr:row>131</xdr:row>
      <xdr:rowOff>82915</xdr:rowOff>
    </xdr:to>
    <xdr:pic>
      <xdr:nvPicPr>
        <xdr:cNvPr id="6" name="图片 5">
          <a:extLst>
            <a:ext uri="{FF2B5EF4-FFF2-40B4-BE49-F238E27FC236}">
              <a16:creationId xmlns:a16="http://schemas.microsoft.com/office/drawing/2014/main" xmlns="" id="{00000000-0008-0000-2E00-000006000000}"/>
            </a:ext>
          </a:extLst>
        </xdr:cNvPr>
        <xdr:cNvPicPr>
          <a:picLocks noChangeAspect="1"/>
        </xdr:cNvPicPr>
      </xdr:nvPicPr>
      <xdr:blipFill>
        <a:blip xmlns:r="http://schemas.openxmlformats.org/officeDocument/2006/relationships" r:embed="rId5"/>
        <a:stretch>
          <a:fillRect/>
        </a:stretch>
      </xdr:blipFill>
      <xdr:spPr>
        <a:xfrm>
          <a:off x="1" y="17830800"/>
          <a:ext cx="9448800" cy="47120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219075</xdr:colOff>
      <xdr:row>21</xdr:row>
      <xdr:rowOff>135121</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1" y="0"/>
          <a:ext cx="8448674" cy="3735571"/>
        </a:xfrm>
        <a:prstGeom prst="rect">
          <a:avLst/>
        </a:prstGeom>
      </xdr:spPr>
    </xdr:pic>
    <xdr:clientData/>
  </xdr:twoCellAnchor>
  <xdr:twoCellAnchor editAs="oneCell">
    <xdr:from>
      <xdr:col>0</xdr:col>
      <xdr:colOff>0</xdr:colOff>
      <xdr:row>22</xdr:row>
      <xdr:rowOff>38100</xdr:rowOff>
    </xdr:from>
    <xdr:to>
      <xdr:col>12</xdr:col>
      <xdr:colOff>436875</xdr:colOff>
      <xdr:row>46</xdr:row>
      <xdr:rowOff>161925</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0" y="3810000"/>
          <a:ext cx="8666475" cy="4238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94724</xdr:colOff>
      <xdr:row>29</xdr:row>
      <xdr:rowOff>113664</xdr:rowOff>
    </xdr:to>
    <xdr:pic>
      <xdr:nvPicPr>
        <xdr:cNvPr id="2" name="图片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4209524" cy="5085714"/>
        </a:xfrm>
        <a:prstGeom prst="rect">
          <a:avLst/>
        </a:prstGeom>
      </xdr:spPr>
    </xdr:pic>
    <xdr:clientData/>
  </xdr:twoCellAnchor>
  <xdr:twoCellAnchor editAs="oneCell">
    <xdr:from>
      <xdr:col>6</xdr:col>
      <xdr:colOff>495300</xdr:colOff>
      <xdr:row>0</xdr:row>
      <xdr:rowOff>0</xdr:rowOff>
    </xdr:from>
    <xdr:to>
      <xdr:col>12</xdr:col>
      <xdr:colOff>399548</xdr:colOff>
      <xdr:row>31</xdr:row>
      <xdr:rowOff>56479</xdr:rowOff>
    </xdr:to>
    <xdr:pic>
      <xdr:nvPicPr>
        <xdr:cNvPr id="3" name="图片 2">
          <a:extLst>
            <a:ext uri="{FF2B5EF4-FFF2-40B4-BE49-F238E27FC236}">
              <a16:creationId xmlns:a16="http://schemas.microsoft.com/office/drawing/2014/main" xmlns="" id="{00000000-0008-0000-3000-000003000000}"/>
            </a:ext>
          </a:extLst>
        </xdr:cNvPr>
        <xdr:cNvPicPr>
          <a:picLocks noChangeAspect="1"/>
        </xdr:cNvPicPr>
      </xdr:nvPicPr>
      <xdr:blipFill>
        <a:blip xmlns:r="http://schemas.openxmlformats.org/officeDocument/2006/relationships" r:embed="rId2"/>
        <a:stretch>
          <a:fillRect/>
        </a:stretch>
      </xdr:blipFill>
      <xdr:spPr>
        <a:xfrm>
          <a:off x="4610100" y="0"/>
          <a:ext cx="4019048" cy="5371429"/>
        </a:xfrm>
        <a:prstGeom prst="rect">
          <a:avLst/>
        </a:prstGeom>
      </xdr:spPr>
    </xdr:pic>
    <xdr:clientData/>
  </xdr:twoCellAnchor>
  <xdr:twoCellAnchor editAs="oneCell">
    <xdr:from>
      <xdr:col>0</xdr:col>
      <xdr:colOff>1</xdr:colOff>
      <xdr:row>34</xdr:row>
      <xdr:rowOff>1</xdr:rowOff>
    </xdr:from>
    <xdr:to>
      <xdr:col>11</xdr:col>
      <xdr:colOff>142875</xdr:colOff>
      <xdr:row>53</xdr:row>
      <xdr:rowOff>92887</xdr:rowOff>
    </xdr:to>
    <xdr:pic>
      <xdr:nvPicPr>
        <xdr:cNvPr id="4" name="图片 3">
          <a:extLst>
            <a:ext uri="{FF2B5EF4-FFF2-40B4-BE49-F238E27FC236}">
              <a16:creationId xmlns:a16="http://schemas.microsoft.com/office/drawing/2014/main" xmlns="" id="{00000000-0008-0000-3000-000004000000}"/>
            </a:ext>
          </a:extLst>
        </xdr:cNvPr>
        <xdr:cNvPicPr>
          <a:picLocks noChangeAspect="1"/>
        </xdr:cNvPicPr>
      </xdr:nvPicPr>
      <xdr:blipFill>
        <a:blip xmlns:r="http://schemas.openxmlformats.org/officeDocument/2006/relationships" r:embed="rId3"/>
        <a:stretch>
          <a:fillRect/>
        </a:stretch>
      </xdr:blipFill>
      <xdr:spPr>
        <a:xfrm>
          <a:off x="1" y="5829301"/>
          <a:ext cx="7686674" cy="3350436"/>
        </a:xfrm>
        <a:prstGeom prst="rect">
          <a:avLst/>
        </a:prstGeom>
      </xdr:spPr>
    </xdr:pic>
    <xdr:clientData/>
  </xdr:twoCellAnchor>
  <xdr:twoCellAnchor editAs="oneCell">
    <xdr:from>
      <xdr:col>0</xdr:col>
      <xdr:colOff>1</xdr:colOff>
      <xdr:row>56</xdr:row>
      <xdr:rowOff>0</xdr:rowOff>
    </xdr:from>
    <xdr:to>
      <xdr:col>10</xdr:col>
      <xdr:colOff>152401</xdr:colOff>
      <xdr:row>74</xdr:row>
      <xdr:rowOff>23163</xdr:rowOff>
    </xdr:to>
    <xdr:pic>
      <xdr:nvPicPr>
        <xdr:cNvPr id="5" name="图片 4">
          <a:extLst>
            <a:ext uri="{FF2B5EF4-FFF2-40B4-BE49-F238E27FC236}">
              <a16:creationId xmlns:a16="http://schemas.microsoft.com/office/drawing/2014/main" xmlns="" id="{00000000-0008-0000-3000-000005000000}"/>
            </a:ext>
          </a:extLst>
        </xdr:cNvPr>
        <xdr:cNvPicPr>
          <a:picLocks noChangeAspect="1"/>
        </xdr:cNvPicPr>
      </xdr:nvPicPr>
      <xdr:blipFill>
        <a:blip xmlns:r="http://schemas.openxmlformats.org/officeDocument/2006/relationships" r:embed="rId4"/>
        <a:stretch>
          <a:fillRect/>
        </a:stretch>
      </xdr:blipFill>
      <xdr:spPr>
        <a:xfrm>
          <a:off x="1" y="9601200"/>
          <a:ext cx="7010400" cy="3109263"/>
        </a:xfrm>
        <a:prstGeom prst="rect">
          <a:avLst/>
        </a:prstGeom>
      </xdr:spPr>
    </xdr:pic>
    <xdr:clientData/>
  </xdr:twoCellAnchor>
  <xdr:twoCellAnchor editAs="oneCell">
    <xdr:from>
      <xdr:col>0</xdr:col>
      <xdr:colOff>0</xdr:colOff>
      <xdr:row>77</xdr:row>
      <xdr:rowOff>0</xdr:rowOff>
    </xdr:from>
    <xdr:to>
      <xdr:col>10</xdr:col>
      <xdr:colOff>485612</xdr:colOff>
      <xdr:row>95</xdr:row>
      <xdr:rowOff>142875</xdr:rowOff>
    </xdr:to>
    <xdr:pic>
      <xdr:nvPicPr>
        <xdr:cNvPr id="6" name="图片 5">
          <a:extLst>
            <a:ext uri="{FF2B5EF4-FFF2-40B4-BE49-F238E27FC236}">
              <a16:creationId xmlns:a16="http://schemas.microsoft.com/office/drawing/2014/main" xmlns="" id="{00000000-0008-0000-3000-000006000000}"/>
            </a:ext>
          </a:extLst>
        </xdr:cNvPr>
        <xdr:cNvPicPr>
          <a:picLocks noChangeAspect="1"/>
        </xdr:cNvPicPr>
      </xdr:nvPicPr>
      <xdr:blipFill>
        <a:blip xmlns:r="http://schemas.openxmlformats.org/officeDocument/2006/relationships" r:embed="rId5"/>
        <a:stretch>
          <a:fillRect/>
        </a:stretch>
      </xdr:blipFill>
      <xdr:spPr>
        <a:xfrm>
          <a:off x="0" y="13201650"/>
          <a:ext cx="7343612" cy="3228975"/>
        </a:xfrm>
        <a:prstGeom prst="rect">
          <a:avLst/>
        </a:prstGeom>
      </xdr:spPr>
    </xdr:pic>
    <xdr:clientData/>
  </xdr:twoCellAnchor>
  <xdr:twoCellAnchor editAs="oneCell">
    <xdr:from>
      <xdr:col>0</xdr:col>
      <xdr:colOff>0</xdr:colOff>
      <xdr:row>99</xdr:row>
      <xdr:rowOff>0</xdr:rowOff>
    </xdr:from>
    <xdr:to>
      <xdr:col>11</xdr:col>
      <xdr:colOff>613621</xdr:colOff>
      <xdr:row>119</xdr:row>
      <xdr:rowOff>9525</xdr:rowOff>
    </xdr:to>
    <xdr:pic>
      <xdr:nvPicPr>
        <xdr:cNvPr id="7" name="图片 6">
          <a:extLst>
            <a:ext uri="{FF2B5EF4-FFF2-40B4-BE49-F238E27FC236}">
              <a16:creationId xmlns:a16="http://schemas.microsoft.com/office/drawing/2014/main" xmlns="" id="{00000000-0008-0000-3000-000007000000}"/>
            </a:ext>
          </a:extLst>
        </xdr:cNvPr>
        <xdr:cNvPicPr>
          <a:picLocks noChangeAspect="1"/>
        </xdr:cNvPicPr>
      </xdr:nvPicPr>
      <xdr:blipFill>
        <a:blip xmlns:r="http://schemas.openxmlformats.org/officeDocument/2006/relationships" r:embed="rId6"/>
        <a:stretch>
          <a:fillRect/>
        </a:stretch>
      </xdr:blipFill>
      <xdr:spPr>
        <a:xfrm>
          <a:off x="0" y="16973550"/>
          <a:ext cx="8157421" cy="3438525"/>
        </a:xfrm>
        <a:prstGeom prst="rect">
          <a:avLst/>
        </a:prstGeom>
      </xdr:spPr>
    </xdr:pic>
    <xdr:clientData/>
  </xdr:twoCellAnchor>
  <xdr:twoCellAnchor editAs="oneCell">
    <xdr:from>
      <xdr:col>13</xdr:col>
      <xdr:colOff>0</xdr:colOff>
      <xdr:row>100</xdr:row>
      <xdr:rowOff>0</xdr:rowOff>
    </xdr:from>
    <xdr:to>
      <xdr:col>18</xdr:col>
      <xdr:colOff>580524</xdr:colOff>
      <xdr:row>127</xdr:row>
      <xdr:rowOff>104183</xdr:rowOff>
    </xdr:to>
    <xdr:pic>
      <xdr:nvPicPr>
        <xdr:cNvPr id="8" name="图片 7">
          <a:extLst>
            <a:ext uri="{FF2B5EF4-FFF2-40B4-BE49-F238E27FC236}">
              <a16:creationId xmlns:a16="http://schemas.microsoft.com/office/drawing/2014/main" xmlns="" id="{00000000-0008-0000-3000-000008000000}"/>
            </a:ext>
          </a:extLst>
        </xdr:cNvPr>
        <xdr:cNvPicPr>
          <a:picLocks noChangeAspect="1"/>
        </xdr:cNvPicPr>
      </xdr:nvPicPr>
      <xdr:blipFill>
        <a:blip xmlns:r="http://schemas.openxmlformats.org/officeDocument/2006/relationships" r:embed="rId7"/>
        <a:stretch>
          <a:fillRect/>
        </a:stretch>
      </xdr:blipFill>
      <xdr:spPr>
        <a:xfrm>
          <a:off x="8915400" y="17145000"/>
          <a:ext cx="4009524" cy="47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579495</xdr:colOff>
      <xdr:row>31</xdr:row>
      <xdr:rowOff>132669</xdr:rowOff>
    </xdr:to>
    <xdr:pic>
      <xdr:nvPicPr>
        <xdr:cNvPr id="2" name="图片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1"/>
        <a:stretch>
          <a:fillRect/>
        </a:stretch>
      </xdr:blipFill>
      <xdr:spPr>
        <a:xfrm>
          <a:off x="0" y="0"/>
          <a:ext cx="12238095" cy="5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北京市朝阳区十里堡甲3号A座4层05F写字楼用房房地产抵押价值预评估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受贵公司委托，我公司对北京市朝阳区十里堡甲3号A座4层05F写字楼用房房地产抵押价值进行了预评估。</v>
      </c>
    </row>
    <row r="7" spans="1:2">
      <c r="A7" s="1119" t="s">
        <v>566</v>
      </c>
      <c r="B7" s="1120" t="str">
        <f>'预评函-1'!A7</f>
        <v>估价对象为北京市朝阳区十里堡甲3号A座4层05F写字楼用房房地产，为所有。根据《国有土地使用证》[]，估价对象（分摊）出让国有建设用地使用权面积为22.76平方米，建筑面积为94.12平方米。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十里堡甲3号A座4层05F写字楼用房房地产,属开发建设的办公项目，该项目尚在开发建设中。根据《国有土地使用证》[]，估价对象（分摊）出让国有建设用地使用权面积为22.76平方米，规划建筑面积为94.12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十里堡甲3号A座4层05F写字楼用房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2024年6月7日（评估专业人员实地查勘之日）</v>
      </c>
    </row>
    <row r="13" spans="1:2">
      <c r="A13" s="1119" t="s">
        <v>529</v>
      </c>
      <c r="B13" s="1120" t="str">
        <f>'预评函-1'!A18</f>
        <v>本次估价的“房地产价值”是指在正常市场情况下，在价值时点2024年6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207</v>
      </c>
    </row>
    <row r="21" spans="1:2">
      <c r="A21" s="1119" t="s">
        <v>537</v>
      </c>
      <c r="B21" s="1120">
        <f ca="1">'预评函-2'!D7</f>
        <v>22011</v>
      </c>
    </row>
    <row r="22" spans="1:2">
      <c r="A22" s="1119" t="s">
        <v>538</v>
      </c>
      <c r="B22" s="1120" t="str">
        <f ca="1">'预评函-2'!D6</f>
        <v>贰佰零柒万元整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207</v>
      </c>
    </row>
    <row r="31" spans="1:2">
      <c r="A31" s="1119" t="s">
        <v>576</v>
      </c>
      <c r="B31" s="1120">
        <f ca="1">'预评函-2'!D15</f>
        <v>22011</v>
      </c>
    </row>
    <row r="32" spans="1:2">
      <c r="A32" s="1119" t="s">
        <v>543</v>
      </c>
      <c r="B32" s="1120" t="str">
        <f ca="1">'预评函-2'!D14</f>
        <v>贰佰零柒万元整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北京市朝阳区十里堡甲3号A座4层05F写字楼用房房地产</v>
      </c>
    </row>
    <row r="42" spans="1:2">
      <c r="A42" s="1119" t="s">
        <v>590</v>
      </c>
      <c r="B42" s="1120" t="str">
        <f>'预评函-3'!B2</f>
        <v>建筑面积</v>
      </c>
    </row>
    <row r="43" spans="1:2">
      <c r="A43" s="1119" t="s">
        <v>591</v>
      </c>
      <c r="B43" s="1120">
        <f>'预评函-3'!B4</f>
        <v>94.12</v>
      </c>
    </row>
    <row r="44" spans="1:2">
      <c r="A44" s="1119" t="s">
        <v>575</v>
      </c>
      <c r="B44" s="1120" t="str">
        <f>'预评函-3'!C2</f>
        <v>(分摊)土地面积</v>
      </c>
    </row>
    <row r="45" spans="1:2">
      <c r="A45" s="1119" t="s">
        <v>547</v>
      </c>
      <c r="B45" s="1120">
        <f>'预评函-3'!C4</f>
        <v>22.76</v>
      </c>
    </row>
    <row r="46" spans="1:2">
      <c r="A46" s="1119" t="s">
        <v>573</v>
      </c>
      <c r="B46" s="1120" t="str">
        <f>'预评函-3'!D2</f>
        <v>出让国有建设用地使用权价值</v>
      </c>
    </row>
    <row r="47" spans="1:2">
      <c r="A47" s="1119" t="s">
        <v>548</v>
      </c>
      <c r="B47" s="1120">
        <f ca="1">'预评函-3'!D4</f>
        <v>170</v>
      </c>
    </row>
    <row r="48" spans="1:2">
      <c r="A48" s="1119" t="s">
        <v>549</v>
      </c>
      <c r="B48" s="1120">
        <f ca="1">'预评函-3'!E4</f>
        <v>18115</v>
      </c>
    </row>
    <row r="49" spans="1:2">
      <c r="A49" s="1119" t="s">
        <v>550</v>
      </c>
      <c r="B49" s="1120" t="str">
        <f ca="1">'预评函-3'!D5</f>
        <v>壹佰柒拾万元整</v>
      </c>
    </row>
    <row r="50" spans="1:2">
      <c r="A50" s="1119" t="s">
        <v>574</v>
      </c>
      <c r="B50" s="1120" t="str">
        <f>'预评函-3'!F2</f>
        <v>在建建筑物价值</v>
      </c>
    </row>
    <row r="51" spans="1:2">
      <c r="A51" s="1119" t="s">
        <v>551</v>
      </c>
      <c r="B51" s="1120">
        <f ca="1">'预评函-3'!F4</f>
        <v>37</v>
      </c>
    </row>
    <row r="52" spans="1:2">
      <c r="A52" s="1119" t="s">
        <v>552</v>
      </c>
      <c r="B52" s="1120">
        <f ca="1">'预评函-3'!G4</f>
        <v>3896</v>
      </c>
    </row>
    <row r="53" spans="1:2">
      <c r="A53" s="1119" t="s">
        <v>580</v>
      </c>
      <c r="B53" s="1120" t="str">
        <f ca="1">'预评函-3'!F5</f>
        <v>叁拾柒万元整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5" thickBot="1">
      <c r="A73" s="1122" t="s">
        <v>565</v>
      </c>
      <c r="B73" s="1123">
        <f ca="1">'预评函-4'!B5</f>
        <v>1120070131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5" sqref="H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2291</v>
      </c>
      <c r="C17" s="1442"/>
    </row>
    <row r="18" spans="1:3">
      <c r="A18" s="1441" t="s">
        <v>1046</v>
      </c>
      <c r="B18" s="1441" t="s">
        <v>2435</v>
      </c>
      <c r="C18" s="1442"/>
    </row>
    <row r="19" spans="1:3">
      <c r="A19" s="1441" t="s">
        <v>1047</v>
      </c>
      <c r="B19" s="1441" t="s">
        <v>3477</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十里堡甲3号A座4层05F写字楼用房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0"/>
      <c r="B54" s="1447" t="s">
        <v>385</v>
      </c>
      <c r="C54" s="1445" t="s">
        <v>583</v>
      </c>
    </row>
    <row r="55" spans="1:4">
      <c r="A55" s="3200"/>
      <c r="B55" s="1447" t="s">
        <v>386</v>
      </c>
      <c r="C55" s="1445" t="s">
        <v>584</v>
      </c>
    </row>
    <row r="56" spans="1:4">
      <c r="A56" s="3200"/>
      <c r="B56" s="1447" t="s">
        <v>387</v>
      </c>
      <c r="C56" s="1445" t="s">
        <v>588</v>
      </c>
    </row>
    <row r="57" spans="1:4">
      <c r="A57" s="320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201" t="s">
        <v>2582</v>
      </c>
      <c r="J2" s="3201"/>
      <c r="K2" s="3201"/>
      <c r="L2" s="3201"/>
      <c r="M2" s="3201"/>
      <c r="N2" s="3201"/>
      <c r="O2" s="3201"/>
      <c r="P2" s="3201"/>
      <c r="Q2" s="3201"/>
      <c r="R2" s="3201"/>
    </row>
    <row r="3" spans="1:18">
      <c r="A3" s="2760" t="s">
        <v>2503</v>
      </c>
      <c r="B3" s="2761">
        <f>项目基本情况!D3</f>
        <v>45450</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2.5299999999999998</v>
      </c>
      <c r="D5" s="2765">
        <f>IF(ISERROR(ROUND(POWER(1+E5,A5-C5)*(POWER(1+E5,C5)-1)/(POWER(1+E5,A5)-1),3)),0,ROUND(POWER(1+E5,A5-C5)*(POWER(1+E5,C5)-1)/(POWER(1+E5,A5)-1),4))</f>
        <v>0.1193</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12.54</v>
      </c>
      <c r="D6" s="2765">
        <f>IF(ISERROR(ROUND(POWER(1+E6,A6-C6)*(POWER(1+E6,C6)-1)/(POWER(1+E6,A6)-1),3)),0,ROUND(POWER(1+E6,A6-C6)*(POWER(1+E6,C6)-1)/(POWER(1+E6,A6)-1),4))</f>
        <v>0.4521</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32.549999999999997</v>
      </c>
      <c r="D7" s="2765">
        <f>IF(ISERROR(ROUND(POWER(1+E7,A7-C7)*(POWER(1+E7,C7)-1)/(POWER(1+E7,A7)-1),3)),0,ROUND(POWER(1+E7,A7-C7)*(POWER(1+E7,C7)-1)/(POWER(1+E7,A7)-1),4))</f>
        <v>0.77049999999999996</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4.25" thickBot="1">
      <c r="A18" s="2770" t="s">
        <v>2518</v>
      </c>
      <c r="B18" s="2771">
        <f>ROUND(B17*F11/F12,2)</f>
        <v>5541.87</v>
      </c>
      <c r="C18" s="2771">
        <f>ROUND(F11/F12,4)</f>
        <v>1.1521999999999999</v>
      </c>
      <c r="D18" s="2772"/>
      <c r="E18" s="2772"/>
      <c r="F18" s="2773"/>
    </row>
    <row r="19" spans="1:13" ht="14.25" thickBot="1"/>
    <row r="20" spans="1:13" s="2806" customFormat="1" ht="14.2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4.2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3" sqref="E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09" t="str">
        <f>IF(B10="北京市","北京市",C10)&amp;F10&amp;IF(结果表!G1="在建","出让国有建设用地使用权及在建建筑物",IF(结果表!G1="土地","出让国有建设用地使用权",))&amp;B9&amp;"预评估"</f>
        <v>北京市朝阳区十里堡甲3号A座4层05F写字楼用房房地产抵押价值预评估</v>
      </c>
      <c r="C1" s="3210"/>
      <c r="D1" s="3210"/>
      <c r="E1" s="3210"/>
      <c r="F1" s="3210"/>
      <c r="G1" s="3210"/>
      <c r="H1" s="3210"/>
      <c r="I1" s="3211"/>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北京市朝阳区十里堡甲3号A座4层05F写字楼用房房地产抵押价值</v>
      </c>
      <c r="T1" s="1618"/>
      <c r="U1" s="1618"/>
      <c r="V1" s="1618"/>
      <c r="W1" s="1618"/>
      <c r="X1" s="1618"/>
      <c r="Y1" s="1618"/>
      <c r="Z1" s="1618"/>
      <c r="AA1" s="1618"/>
      <c r="AB1" s="1618"/>
    </row>
    <row r="2" spans="1:30">
      <c r="A2" s="2182" t="s">
        <v>2168</v>
      </c>
      <c r="B2" s="122"/>
      <c r="D2" s="2445"/>
      <c r="E2" s="2439"/>
      <c r="F2" s="2439"/>
      <c r="G2" s="2440"/>
      <c r="H2" s="2440"/>
      <c r="I2" s="2440"/>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北京市朝阳区十里堡甲3号A座4层05F写字楼用房房地产</v>
      </c>
      <c r="T2" s="1618"/>
      <c r="U2" s="1618"/>
      <c r="V2" s="1618"/>
      <c r="W2" s="1618"/>
      <c r="X2" s="1618"/>
      <c r="Y2" s="1618"/>
      <c r="Z2" s="1618"/>
      <c r="AA2" s="1618"/>
      <c r="AB2" s="1618"/>
    </row>
    <row r="3" spans="1:30">
      <c r="A3" s="294" t="s">
        <v>2169</v>
      </c>
      <c r="B3" s="2185">
        <v>45450</v>
      </c>
      <c r="C3" s="2186" t="s">
        <v>2170</v>
      </c>
      <c r="D3" s="2185">
        <f>B3</f>
        <v>45450</v>
      </c>
      <c r="E3" s="2440"/>
      <c r="F3" s="2440"/>
      <c r="G3" s="2440"/>
      <c r="H3" s="2440"/>
      <c r="I3" s="2440"/>
      <c r="J3" s="2243"/>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t="s">
        <v>3382</v>
      </c>
      <c r="C4" s="2188">
        <f ca="1">SUMIF(注册房地产估价师,B4,估价师及机构信息!B3:B24)</f>
        <v>1419970001</v>
      </c>
      <c r="D4" s="2187" t="s">
        <v>3383</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3"/>
      <c r="K4" s="2189" t="str">
        <f ca="1">CONCATENATE(B4,"（注册号：",C4,")、",D4,"（注册号：",E4,")")</f>
        <v>吴薇（注册号：1419970001)、郑燚（注册号：1120070131)</v>
      </c>
      <c r="L4" s="2184"/>
      <c r="M4" s="2184"/>
      <c r="N4" s="2182"/>
      <c r="O4" s="1466"/>
      <c r="P4" s="2182"/>
      <c r="Q4" s="2182"/>
      <c r="R4" s="2182"/>
      <c r="S4" s="1561"/>
      <c r="T4" s="1618"/>
      <c r="U4" s="1618"/>
      <c r="V4" s="1618"/>
      <c r="W4" s="1618"/>
      <c r="X4" s="1618"/>
      <c r="Y4" s="1618"/>
      <c r="Z4" s="1618"/>
      <c r="AA4" s="1618"/>
      <c r="AB4" s="1618"/>
    </row>
    <row r="5" spans="1:30" ht="13.5" thickTop="1">
      <c r="A5" s="2190" t="s">
        <v>2172</v>
      </c>
      <c r="B5" s="3142"/>
      <c r="C5" s="2191"/>
      <c r="D5" s="2192"/>
      <c r="E5" s="2440"/>
      <c r="F5" s="2440"/>
      <c r="G5" s="2440"/>
      <c r="H5" s="2440"/>
      <c r="I5" s="2440"/>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3" t="s">
        <v>2173</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2174</v>
      </c>
      <c r="B7" s="2197"/>
      <c r="C7" s="2195"/>
      <c r="D7" s="2196"/>
      <c r="E7" s="2439"/>
      <c r="F7" s="2440"/>
      <c r="G7" s="2440"/>
      <c r="H7" s="2440"/>
      <c r="I7" s="2440"/>
      <c r="J7" s="2243"/>
      <c r="K7" s="2400"/>
      <c r="L7" s="2397"/>
      <c r="M7" s="2397"/>
      <c r="N7" s="2243"/>
      <c r="O7" s="1670"/>
      <c r="P7" s="2243"/>
      <c r="Q7" s="2243"/>
      <c r="R7" s="2243"/>
    </row>
    <row r="8" spans="1:30">
      <c r="A8" s="2198" t="s">
        <v>2175</v>
      </c>
      <c r="B8" s="2199" t="s">
        <v>3378</v>
      </c>
      <c r="C8" s="2200"/>
      <c r="D8" s="3212" t="s">
        <v>2176</v>
      </c>
      <c r="E8" s="2201" t="s">
        <v>3384</v>
      </c>
      <c r="F8" s="2202"/>
      <c r="G8" s="2440"/>
      <c r="H8" s="2440"/>
      <c r="I8" s="2440"/>
      <c r="J8" s="2243"/>
      <c r="K8" s="2398"/>
      <c r="L8" s="2397"/>
      <c r="M8" s="2397"/>
      <c r="N8" s="2243"/>
      <c r="O8" s="1670"/>
      <c r="P8" s="2243"/>
      <c r="Q8" s="2243"/>
      <c r="R8" s="2243"/>
    </row>
    <row r="9" spans="1:30" ht="13.5" thickBot="1">
      <c r="A9" s="2203" t="s">
        <v>2177</v>
      </c>
      <c r="B9" s="2204" t="s">
        <v>3384</v>
      </c>
      <c r="C9" s="2205"/>
      <c r="D9" s="3213"/>
      <c r="E9" s="2204"/>
      <c r="F9" s="2206"/>
      <c r="G9" s="2441"/>
      <c r="H9" s="2441"/>
      <c r="I9" s="2441"/>
      <c r="J9" s="2243"/>
      <c r="K9" s="2400"/>
      <c r="L9" s="2397"/>
      <c r="M9" s="2397"/>
      <c r="N9" s="2243"/>
      <c r="O9" s="1670"/>
      <c r="P9" s="2243"/>
      <c r="Q9" s="2243"/>
      <c r="R9" s="2243"/>
    </row>
    <row r="10" spans="1:30" ht="13.5" thickTop="1">
      <c r="A10" s="2207" t="s">
        <v>2178</v>
      </c>
      <c r="B10" s="2208" t="s">
        <v>3385</v>
      </c>
      <c r="C10" s="2209"/>
      <c r="D10" s="2192"/>
      <c r="E10" s="2210" t="s">
        <v>2179</v>
      </c>
      <c r="F10" s="3150" t="s">
        <v>3465</v>
      </c>
      <c r="G10" s="2442"/>
      <c r="H10" s="2443"/>
      <c r="I10" s="2444"/>
      <c r="J10" s="2243"/>
      <c r="K10" s="2400"/>
      <c r="L10" s="2397"/>
      <c r="M10" s="2397"/>
      <c r="N10" s="2243"/>
      <c r="O10" s="1670"/>
      <c r="P10" s="2243"/>
      <c r="Q10" s="2243"/>
      <c r="R10" s="2243"/>
    </row>
    <row r="11" spans="1:30">
      <c r="A11" s="2211" t="s">
        <v>2180</v>
      </c>
      <c r="B11" s="3159" t="s">
        <v>3488</v>
      </c>
      <c r="C11" s="2212"/>
      <c r="D11" s="2213"/>
      <c r="E11" s="2182"/>
      <c r="F11" s="2182"/>
      <c r="G11" s="2182"/>
      <c r="H11" s="2182"/>
      <c r="I11" s="2182"/>
      <c r="J11" s="2799"/>
      <c r="K11" s="2397"/>
      <c r="L11" s="2397"/>
      <c r="M11" s="2397"/>
      <c r="N11" s="2243"/>
      <c r="O11" s="1670"/>
      <c r="P11" s="2243"/>
      <c r="Q11" s="2243"/>
      <c r="R11" s="2243"/>
    </row>
    <row r="12" spans="1:30">
      <c r="A12" s="2214" t="s">
        <v>2181</v>
      </c>
      <c r="B12" s="315" t="s">
        <v>2182</v>
      </c>
      <c r="C12" s="2215" t="s">
        <v>2183</v>
      </c>
      <c r="D12" s="2215" t="s">
        <v>2184</v>
      </c>
      <c r="E12" s="2215" t="s">
        <v>2185</v>
      </c>
      <c r="F12" s="2215" t="s">
        <v>2186</v>
      </c>
      <c r="G12" s="2215" t="s">
        <v>2187</v>
      </c>
      <c r="H12" s="2215" t="s">
        <v>2188</v>
      </c>
      <c r="I12" s="2798" t="s">
        <v>2578</v>
      </c>
      <c r="J12" s="2800"/>
      <c r="K12" s="2397"/>
      <c r="L12" s="2397"/>
      <c r="M12" s="2243"/>
      <c r="N12" s="1670"/>
      <c r="O12" s="2243"/>
      <c r="P12" s="2243"/>
      <c r="Q12" s="2243"/>
      <c r="AD12" s="1618"/>
    </row>
    <row r="13" spans="1:30">
      <c r="A13" s="3119" t="s">
        <v>3334</v>
      </c>
      <c r="B13" s="2216" t="s">
        <v>2189</v>
      </c>
      <c r="C13" s="802"/>
      <c r="D13" s="802"/>
      <c r="E13" s="802">
        <v>52386</v>
      </c>
      <c r="F13" s="802"/>
      <c r="G13" s="802"/>
      <c r="H13" s="802"/>
      <c r="I13" s="802"/>
      <c r="J13" s="2800"/>
      <c r="K13" s="2397"/>
      <c r="L13" s="2397"/>
      <c r="M13" s="2243"/>
      <c r="N13" s="1670"/>
      <c r="O13" s="2243"/>
      <c r="P13" s="2243"/>
      <c r="Q13" s="2243"/>
      <c r="AD13" s="1618"/>
    </row>
    <row r="14" spans="1:30">
      <c r="A14" s="1018"/>
      <c r="B14" s="2216" t="s">
        <v>2190</v>
      </c>
      <c r="C14" s="2217"/>
      <c r="D14" s="2217">
        <v>40</v>
      </c>
      <c r="E14" s="2217">
        <v>50</v>
      </c>
      <c r="F14" s="2217"/>
      <c r="G14" s="2217"/>
      <c r="H14" s="2217"/>
      <c r="I14" s="2217"/>
      <c r="J14" s="2801"/>
      <c r="K14" s="2397"/>
      <c r="L14" s="2397"/>
      <c r="M14" s="2243"/>
      <c r="N14" s="1670"/>
      <c r="O14" s="2243"/>
      <c r="P14" s="2243"/>
      <c r="Q14" s="2243"/>
      <c r="AD14" s="1618"/>
    </row>
    <row r="15" spans="1:30">
      <c r="A15" s="312"/>
      <c r="B15" s="2218" t="s">
        <v>2191</v>
      </c>
      <c r="C15" s="2219" t="str">
        <f>IF(A13="出让",IF(C13="","",ROUNDDOWN(MIN((C13-$D$3)/365,C14),2)),C14)</f>
        <v/>
      </c>
      <c r="D15" s="2219" t="str">
        <f>IF(A13="出让",IF(D13="","",ROUNDDOWN(MIN((D13-$D$3)/365,D14),2)),D14)</f>
        <v/>
      </c>
      <c r="E15" s="2219">
        <f>IF(A13="出让",IF(E13="","",ROUNDDOWN(MIN((E13-$D$3)/365,E14),2)),E14)</f>
        <v>19</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2192</v>
      </c>
      <c r="B16" s="3219"/>
      <c r="C16" s="3220"/>
      <c r="D16" s="3221"/>
      <c r="E16" s="2220" t="s">
        <v>2193</v>
      </c>
      <c r="F16" s="3222"/>
      <c r="G16" s="3223"/>
      <c r="H16" s="3223"/>
      <c r="I16" s="3224"/>
      <c r="J16" s="2243"/>
      <c r="K16" s="2401"/>
      <c r="L16" s="1670"/>
      <c r="M16" s="1670"/>
      <c r="N16" s="2243"/>
      <c r="O16" s="1670"/>
      <c r="P16" s="2243"/>
      <c r="Q16" s="2243"/>
      <c r="R16" s="2243"/>
    </row>
    <row r="17" spans="1:28">
      <c r="A17" s="305" t="s">
        <v>2194</v>
      </c>
      <c r="B17" s="294" t="s">
        <v>2195</v>
      </c>
      <c r="C17" s="8">
        <f>'数据-汇总表'!E3</f>
        <v>94.12</v>
      </c>
      <c r="D17" s="1256" t="s">
        <v>2196</v>
      </c>
      <c r="E17" s="3225" t="s">
        <v>2197</v>
      </c>
      <c r="F17" s="3226"/>
      <c r="G17" s="3226"/>
      <c r="H17" s="3226"/>
      <c r="I17" s="3227"/>
      <c r="J17" s="2243"/>
      <c r="K17" s="2402"/>
      <c r="L17" s="1670"/>
      <c r="M17" s="1670"/>
      <c r="N17" s="2243"/>
      <c r="O17" s="1670"/>
      <c r="P17" s="2243"/>
      <c r="Q17" s="2243"/>
      <c r="R17" s="2243"/>
      <c r="S17" s="2243"/>
      <c r="T17" s="2243"/>
      <c r="U17" s="2243"/>
      <c r="V17" s="2243"/>
    </row>
    <row r="18" spans="1:28" ht="24.75" thickBot="1">
      <c r="A18" s="2221" t="s">
        <v>2198</v>
      </c>
      <c r="B18" s="1027" t="s">
        <v>2199</v>
      </c>
      <c r="C18" s="2222">
        <f>'数据-汇总表'!D3</f>
        <v>22.76</v>
      </c>
      <c r="D18" s="1029" t="s">
        <v>2200</v>
      </c>
      <c r="E18" s="3228" t="s">
        <v>2201</v>
      </c>
      <c r="F18" s="3229"/>
      <c r="G18" s="3229"/>
      <c r="H18" s="3229"/>
      <c r="I18" s="3230"/>
      <c r="J18" s="2243"/>
      <c r="K18" s="2402"/>
      <c r="L18" s="1670"/>
      <c r="M18" s="1670"/>
      <c r="N18" s="2243"/>
      <c r="O18" s="1670"/>
      <c r="P18" s="2243"/>
      <c r="Q18" s="2243"/>
      <c r="R18" s="2243"/>
      <c r="S18" s="2243"/>
      <c r="T18" s="2243"/>
      <c r="U18" s="2243"/>
      <c r="V18" s="2243"/>
    </row>
    <row r="19" spans="1:28" ht="37.5" thickTop="1" thickBot="1">
      <c r="A19" s="319" t="s">
        <v>1055</v>
      </c>
      <c r="B19" s="299" t="s">
        <v>2202</v>
      </c>
      <c r="C19" s="1455"/>
      <c r="D19" s="1456" t="s">
        <v>2203</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2204</v>
      </c>
      <c r="B20" s="3215" t="s">
        <v>2205</v>
      </c>
      <c r="C20" s="3216"/>
      <c r="D20" s="3217" t="s">
        <v>2206</v>
      </c>
      <c r="E20" s="3218"/>
      <c r="F20" s="2428" t="s">
        <v>1056</v>
      </c>
      <c r="G20" s="2440"/>
      <c r="H20" s="2440"/>
      <c r="I20" s="2440"/>
      <c r="J20" s="2243"/>
      <c r="K20" s="3214" t="s">
        <v>2207</v>
      </c>
      <c r="L20" s="645"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25" thickBot="1">
      <c r="A21" s="2415"/>
      <c r="B21" s="2416" t="s">
        <v>3434</v>
      </c>
      <c r="C21" s="2294" t="s">
        <v>1057</v>
      </c>
      <c r="D21" s="1460" t="s">
        <v>2208</v>
      </c>
      <c r="E21" s="2417" t="s">
        <v>1057</v>
      </c>
      <c r="F21" s="2429"/>
      <c r="G21" s="2440"/>
      <c r="H21" s="2440"/>
      <c r="I21" s="2440"/>
      <c r="J21" s="2243"/>
      <c r="K21" s="3214"/>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2209</v>
      </c>
      <c r="C22" s="2294" t="s">
        <v>1058</v>
      </c>
      <c r="D22" s="2440"/>
      <c r="E22" s="2440"/>
      <c r="F22" s="2440"/>
      <c r="G22" s="2440"/>
      <c r="H22" s="2440"/>
      <c r="I22" s="2440"/>
      <c r="J22" s="2243"/>
      <c r="K22" s="3214"/>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2210</v>
      </c>
      <c r="B23" s="2291" t="s">
        <v>2211</v>
      </c>
      <c r="C23" s="2420"/>
      <c r="D23" s="2421" t="s">
        <v>2211</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03" t="s">
        <v>2212</v>
      </c>
      <c r="B27" s="312" t="s">
        <v>2213</v>
      </c>
      <c r="C27" s="2223" t="s">
        <v>3386</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03"/>
      <c r="B28" s="294" t="s">
        <v>2214</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03"/>
      <c r="B29" s="294" t="s">
        <v>2215</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04"/>
      <c r="B30" s="294" t="s">
        <v>2216</v>
      </c>
      <c r="C30" s="3205"/>
      <c r="D30" s="3206"/>
      <c r="E30" s="2440"/>
      <c r="F30" s="2440"/>
      <c r="G30" s="2440"/>
      <c r="H30" s="2440"/>
      <c r="I30" s="2440"/>
      <c r="J30" s="2243"/>
      <c r="K30" s="2400"/>
      <c r="L30" s="2397"/>
      <c r="M30" s="2397"/>
      <c r="N30" s="2243"/>
      <c r="O30" s="1670"/>
      <c r="P30" s="2243"/>
      <c r="Q30" s="2243"/>
      <c r="R30" s="2243"/>
      <c r="S30" s="2243"/>
      <c r="T30" s="2243"/>
      <c r="U30" s="2243"/>
      <c r="V30" s="2243"/>
    </row>
    <row r="31" spans="1:28">
      <c r="A31" s="3207" t="s">
        <v>2217</v>
      </c>
      <c r="B31" s="2229" t="s">
        <v>3387</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08"/>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08"/>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2218</v>
      </c>
      <c r="B34" s="1870"/>
      <c r="C34" s="1870"/>
      <c r="D34" s="1870"/>
      <c r="E34" s="1870"/>
      <c r="F34" s="1870"/>
      <c r="G34" s="1870"/>
      <c r="H34" s="1870"/>
      <c r="I34" s="2440"/>
      <c r="J34" s="2243"/>
      <c r="K34" s="8">
        <f>COUNTIF(B34:H34,"——")</f>
        <v>0</v>
      </c>
      <c r="L34" s="315" t="s">
        <v>2219</v>
      </c>
      <c r="M34" s="315" t="s">
        <v>2220</v>
      </c>
      <c r="N34" s="315" t="s">
        <v>2221</v>
      </c>
      <c r="O34" s="315" t="s">
        <v>2222</v>
      </c>
      <c r="P34" s="315" t="s">
        <v>2223</v>
      </c>
      <c r="Q34" s="315" t="s">
        <v>2224</v>
      </c>
      <c r="R34" s="315" t="s">
        <v>2225</v>
      </c>
      <c r="S34" s="3202" t="s">
        <v>2226</v>
      </c>
      <c r="T34" s="315" t="str">
        <f>NUMBERSTRING(7-K34,1)&amp;"通"</f>
        <v>七通</v>
      </c>
      <c r="U34" s="2243"/>
      <c r="V34" s="2243"/>
    </row>
    <row r="35" spans="1:30">
      <c r="A35" s="2234"/>
      <c r="B35" s="3202" t="s">
        <v>2227</v>
      </c>
      <c r="C35" s="3202"/>
      <c r="D35" s="3202"/>
      <c r="E35" s="3202"/>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2"/>
      <c r="T35" s="138" t="str">
        <f>IF(T34="一通",L35,IF(T34="二通",M35,IF(T34="三通",N35,IF(T34="四通",O35,IF(T34="五通",P35,IF(T34="六通",Q35,R35))))))</f>
        <v>、、、、、、</v>
      </c>
      <c r="U35" s="2243"/>
      <c r="V35" s="2243"/>
    </row>
    <row r="36" spans="1:30">
      <c r="A36" s="2183"/>
      <c r="B36" s="8" t="s">
        <v>2184</v>
      </c>
      <c r="C36" s="8" t="s">
        <v>2185</v>
      </c>
      <c r="D36" s="8" t="s">
        <v>2183</v>
      </c>
      <c r="E36" s="8" t="s">
        <v>2188</v>
      </c>
      <c r="F36" s="2798" t="s">
        <v>2581</v>
      </c>
      <c r="G36" s="2440"/>
      <c r="H36" s="2440"/>
      <c r="I36" s="2440"/>
      <c r="J36" s="2243"/>
      <c r="K36" s="2400"/>
      <c r="L36" s="2397"/>
      <c r="M36" s="2397"/>
      <c r="N36" s="2243"/>
      <c r="O36" s="1670"/>
      <c r="P36" s="2243"/>
      <c r="Q36" s="2243"/>
      <c r="R36" s="2243"/>
      <c r="S36" s="2243"/>
      <c r="T36" s="2243"/>
      <c r="U36" s="2243"/>
      <c r="V36" s="2243"/>
    </row>
    <row r="37" spans="1:30">
      <c r="A37" s="2413" t="s">
        <v>2228</v>
      </c>
      <c r="B37" s="2235"/>
      <c r="C37" s="2235" t="s">
        <v>296</v>
      </c>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2229</v>
      </c>
      <c r="B38" s="2236"/>
      <c r="C38" s="2236" t="s">
        <v>245</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2230</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3"/>
      <c r="K40" s="2399"/>
      <c r="L40" s="1670"/>
      <c r="M40" s="1670"/>
      <c r="N40" s="2243"/>
      <c r="O40" s="1670"/>
      <c r="P40" s="2243"/>
      <c r="Q40" s="2243"/>
      <c r="R40" s="2243"/>
      <c r="S40" s="2243"/>
      <c r="T40" s="2243"/>
      <c r="U40" s="2243"/>
      <c r="V40" s="2243"/>
    </row>
    <row r="41" spans="1:30">
      <c r="A41" s="2240" t="s">
        <v>2231</v>
      </c>
      <c r="B41" s="1627"/>
      <c r="C41" s="1281"/>
      <c r="D41" s="2182"/>
      <c r="E41" s="2182"/>
      <c r="F41" s="2182"/>
      <c r="G41" s="2182"/>
      <c r="H41" s="2182"/>
      <c r="I41" s="1466"/>
      <c r="J41" s="2243"/>
      <c r="K41" s="2400"/>
      <c r="L41" s="2397"/>
      <c r="M41" s="2397"/>
      <c r="N41" s="2243"/>
      <c r="O41" s="1670"/>
      <c r="P41" s="2243"/>
      <c r="Q41" s="2243"/>
      <c r="R41" s="2243"/>
      <c r="S41" s="2243"/>
      <c r="T41" s="2243"/>
      <c r="U41" s="2243"/>
      <c r="V41" s="2243"/>
    </row>
    <row r="42" spans="1:30" ht="25.5">
      <c r="A42" s="315" t="s">
        <v>2232</v>
      </c>
      <c r="B42" s="8" t="s">
        <v>2233</v>
      </c>
      <c r="C42" s="8" t="s">
        <v>2234</v>
      </c>
      <c r="D42" s="8" t="s">
        <v>2235</v>
      </c>
      <c r="E42" s="8" t="s">
        <v>2236</v>
      </c>
      <c r="F42" s="8" t="s">
        <v>2237</v>
      </c>
      <c r="G42" s="8" t="s">
        <v>2238</v>
      </c>
      <c r="H42" s="8" t="s">
        <v>2239</v>
      </c>
      <c r="I42" s="8" t="s">
        <v>2240</v>
      </c>
      <c r="J42" s="2409" t="s">
        <v>2241</v>
      </c>
      <c r="K42" s="2410" t="s">
        <v>2242</v>
      </c>
      <c r="L42" s="2410" t="s">
        <v>2243</v>
      </c>
      <c r="M42" s="2410" t="s">
        <v>2244</v>
      </c>
      <c r="N42" s="2403" t="s">
        <v>2245</v>
      </c>
      <c r="O42" s="2403" t="s">
        <v>2246</v>
      </c>
      <c r="P42" s="2403" t="s">
        <v>2247</v>
      </c>
      <c r="Q42" s="2404" t="s">
        <v>2248</v>
      </c>
      <c r="R42" s="2404" t="s">
        <v>2249</v>
      </c>
      <c r="S42" s="2243"/>
      <c r="T42" s="2243"/>
      <c r="U42" s="2243"/>
      <c r="V42" s="2243"/>
    </row>
    <row r="43" spans="1:30" s="1616" customFormat="1">
      <c r="A43" s="1462"/>
      <c r="B43" s="988"/>
      <c r="C43" s="988"/>
      <c r="D43" s="988"/>
      <c r="E43" s="988"/>
      <c r="F43" s="988"/>
      <c r="G43" s="988"/>
      <c r="H43" s="988"/>
      <c r="I43" s="988"/>
      <c r="J43" s="2241"/>
      <c r="K43" s="2242"/>
      <c r="L43" s="2242"/>
      <c r="M43" s="988"/>
      <c r="N43" s="988"/>
      <c r="O43" s="988"/>
      <c r="P43" s="988"/>
      <c r="Q43" s="988"/>
      <c r="R43" s="988"/>
      <c r="S43" s="2243"/>
      <c r="T43" s="2243"/>
      <c r="U43" s="2243"/>
      <c r="V43" s="2243"/>
    </row>
    <row r="44" spans="1:30" s="1616" customFormat="1">
      <c r="A44" s="1462"/>
      <c r="B44" s="1462"/>
      <c r="C44" s="988"/>
      <c r="D44" s="988"/>
      <c r="E44" s="988"/>
      <c r="F44" s="988"/>
      <c r="G44" s="988"/>
      <c r="H44" s="988"/>
      <c r="I44" s="988"/>
      <c r="J44" s="2241"/>
      <c r="K44" s="2242"/>
      <c r="L44" s="2242"/>
      <c r="M44" s="988"/>
      <c r="N44" s="988"/>
      <c r="O44" s="988"/>
      <c r="P44" s="988"/>
      <c r="Q44" s="988"/>
      <c r="R44" s="988"/>
      <c r="S44" s="2243"/>
      <c r="T44" s="2243"/>
      <c r="U44" s="2243"/>
      <c r="V44" s="2243"/>
    </row>
    <row r="45" spans="1:30" s="1616" customFormat="1">
      <c r="A45" s="1462"/>
      <c r="B45" s="1462"/>
      <c r="C45" s="988"/>
      <c r="D45" s="988"/>
      <c r="E45" s="988"/>
      <c r="F45" s="988"/>
      <c r="G45" s="988"/>
      <c r="H45" s="988"/>
      <c r="I45" s="988"/>
      <c r="J45" s="2241"/>
      <c r="K45" s="2242"/>
      <c r="L45" s="2242"/>
      <c r="M45" s="988"/>
      <c r="N45" s="988"/>
      <c r="O45" s="988"/>
      <c r="P45" s="988"/>
      <c r="Q45" s="988"/>
      <c r="R45" s="988"/>
      <c r="S45" s="2243"/>
      <c r="T45" s="2243"/>
      <c r="U45" s="2243"/>
      <c r="V45" s="2243"/>
    </row>
    <row r="46" spans="1:30" s="1616" customFormat="1">
      <c r="A46" s="1462"/>
      <c r="B46" s="1462"/>
      <c r="C46" s="988"/>
      <c r="D46" s="988"/>
      <c r="E46" s="988"/>
      <c r="F46" s="988"/>
      <c r="G46" s="988"/>
      <c r="H46" s="988"/>
      <c r="I46" s="988"/>
      <c r="J46" s="2241"/>
      <c r="K46" s="2242"/>
      <c r="L46" s="2242"/>
      <c r="M46" s="988"/>
      <c r="N46" s="988"/>
      <c r="O46" s="988"/>
      <c r="P46" s="988"/>
      <c r="Q46" s="988"/>
      <c r="R46" s="988"/>
      <c r="S46" s="2243"/>
      <c r="T46" s="2243"/>
      <c r="U46" s="2243"/>
      <c r="V46" s="2243"/>
    </row>
    <row r="47" spans="1:30" s="1616" customFormat="1">
      <c r="A47" s="1462"/>
      <c r="B47" s="1462"/>
      <c r="C47" s="988"/>
      <c r="D47" s="988"/>
      <c r="E47" s="988"/>
      <c r="F47" s="988"/>
      <c r="G47" s="988"/>
      <c r="H47" s="988"/>
      <c r="I47" s="988"/>
      <c r="J47" s="2241"/>
      <c r="K47" s="2242"/>
      <c r="L47" s="2242"/>
      <c r="M47" s="988"/>
      <c r="N47" s="988"/>
      <c r="O47" s="988"/>
      <c r="P47" s="988"/>
      <c r="Q47" s="988"/>
      <c r="R47" s="988"/>
      <c r="S47" s="2243"/>
      <c r="T47" s="2243"/>
      <c r="U47" s="2243"/>
      <c r="V47" s="2243"/>
    </row>
    <row r="48" spans="1:30" s="1616" customFormat="1">
      <c r="A48" s="1462"/>
      <c r="B48" s="1462"/>
      <c r="C48" s="988"/>
      <c r="D48" s="988"/>
      <c r="E48" s="988"/>
      <c r="F48" s="988"/>
      <c r="G48" s="988"/>
      <c r="H48" s="988"/>
      <c r="I48" s="988"/>
      <c r="J48" s="2241"/>
      <c r="K48" s="2242"/>
      <c r="L48" s="2242"/>
      <c r="M48" s="988"/>
      <c r="N48" s="988"/>
      <c r="O48" s="988"/>
      <c r="P48" s="988"/>
      <c r="Q48" s="988"/>
      <c r="R48" s="988"/>
      <c r="S48" s="2243"/>
      <c r="T48" s="2243"/>
      <c r="U48" s="2243"/>
      <c r="V48" s="2243"/>
    </row>
    <row r="49" spans="1:22" s="1616" customFormat="1">
      <c r="A49" s="1462"/>
      <c r="B49" s="1462"/>
      <c r="C49" s="988"/>
      <c r="D49" s="988"/>
      <c r="E49" s="988"/>
      <c r="F49" s="988"/>
      <c r="G49" s="988"/>
      <c r="H49" s="988"/>
      <c r="I49" s="988"/>
      <c r="J49" s="2241"/>
      <c r="K49" s="2242"/>
      <c r="L49" s="2242"/>
      <c r="M49" s="988"/>
      <c r="N49" s="988"/>
      <c r="O49" s="988"/>
      <c r="P49" s="988"/>
      <c r="Q49" s="988"/>
      <c r="R49" s="988"/>
      <c r="S49" s="2243"/>
      <c r="T49" s="2243"/>
      <c r="U49" s="2243"/>
      <c r="V49" s="2243"/>
    </row>
    <row r="50" spans="1:22" s="1616" customFormat="1">
      <c r="A50" s="1462"/>
      <c r="B50" s="1462"/>
      <c r="C50" s="988"/>
      <c r="D50" s="988"/>
      <c r="E50" s="988"/>
      <c r="F50" s="988"/>
      <c r="G50" s="988"/>
      <c r="H50" s="988"/>
      <c r="I50" s="988"/>
      <c r="J50" s="2241"/>
      <c r="K50" s="2242"/>
      <c r="L50" s="2242"/>
      <c r="M50" s="988"/>
      <c r="N50" s="988"/>
      <c r="O50" s="988"/>
      <c r="P50" s="988"/>
      <c r="Q50" s="988"/>
      <c r="R50" s="988"/>
      <c r="S50" s="2243"/>
      <c r="T50" s="2243"/>
      <c r="U50" s="2243"/>
      <c r="V50" s="2243"/>
    </row>
    <row r="51" spans="1:22" s="1616" customFormat="1">
      <c r="A51" s="1462"/>
      <c r="B51" s="1462"/>
      <c r="C51" s="988"/>
      <c r="D51" s="988"/>
      <c r="E51" s="988"/>
      <c r="F51" s="988"/>
      <c r="G51" s="988"/>
      <c r="H51" s="988"/>
      <c r="I51" s="988"/>
      <c r="J51" s="2241"/>
      <c r="K51" s="2242"/>
      <c r="L51" s="2242"/>
      <c r="M51" s="988"/>
      <c r="N51" s="988"/>
      <c r="O51" s="988"/>
      <c r="P51" s="988"/>
      <c r="Q51" s="988"/>
      <c r="R51" s="988"/>
    </row>
    <row r="52" spans="1:22" s="1616" customFormat="1">
      <c r="A52" s="1462"/>
      <c r="B52" s="1462"/>
      <c r="C52" s="1462"/>
      <c r="D52" s="1462"/>
      <c r="E52" s="1462"/>
      <c r="F52" s="988"/>
      <c r="G52" s="1462"/>
      <c r="H52" s="1462"/>
      <c r="I52" s="1462"/>
      <c r="J52" s="2244"/>
      <c r="K52" s="2242"/>
      <c r="L52" s="2242"/>
      <c r="M52" s="2242"/>
      <c r="N52" s="1462"/>
      <c r="O52" s="1462"/>
      <c r="P52" s="1462"/>
      <c r="Q52" s="1462"/>
      <c r="R52" s="1462"/>
    </row>
    <row r="53" spans="1:22" s="1616" customFormat="1">
      <c r="A53" s="1462"/>
      <c r="B53" s="1462"/>
      <c r="C53" s="1462"/>
      <c r="D53" s="1462"/>
      <c r="E53" s="1462"/>
      <c r="F53" s="988"/>
      <c r="G53" s="1462"/>
      <c r="H53" s="1462"/>
      <c r="I53" s="1462"/>
      <c r="J53" s="2244"/>
      <c r="K53" s="2242"/>
      <c r="L53" s="2242"/>
      <c r="M53" s="2242"/>
      <c r="N53" s="1462"/>
      <c r="O53" s="1462"/>
      <c r="P53" s="1462"/>
      <c r="Q53" s="1462"/>
      <c r="R53" s="1462"/>
    </row>
    <row r="54" spans="1:22" s="1616" customFormat="1">
      <c r="A54" s="1462"/>
      <c r="B54" s="1462"/>
      <c r="C54" s="1462"/>
      <c r="D54" s="1462"/>
      <c r="E54" s="1462"/>
      <c r="F54" s="988"/>
      <c r="G54" s="1462"/>
      <c r="H54" s="1462"/>
      <c r="I54" s="1462"/>
      <c r="J54" s="2244"/>
      <c r="K54" s="2242"/>
      <c r="L54" s="2242"/>
      <c r="M54" s="2242"/>
      <c r="N54" s="1462"/>
      <c r="O54" s="1462"/>
      <c r="P54" s="1462"/>
      <c r="Q54" s="1462"/>
      <c r="R54" s="1462"/>
    </row>
    <row r="55" spans="1:22" s="1616" customFormat="1">
      <c r="A55" s="1462"/>
      <c r="B55" s="1462"/>
      <c r="C55" s="1462"/>
      <c r="D55" s="1462"/>
      <c r="E55" s="1462"/>
      <c r="F55" s="988"/>
      <c r="G55" s="1462"/>
      <c r="H55" s="1462"/>
      <c r="I55" s="1462"/>
      <c r="J55" s="2244"/>
      <c r="K55" s="2242"/>
      <c r="L55" s="2242"/>
      <c r="M55" s="2242"/>
      <c r="N55" s="1462"/>
      <c r="O55" s="1462"/>
      <c r="P55" s="1462"/>
      <c r="Q55" s="1462"/>
      <c r="R55" s="1462"/>
    </row>
    <row r="56" spans="1:22" s="1616" customFormat="1">
      <c r="A56" s="1462"/>
      <c r="B56" s="1462"/>
      <c r="C56" s="1462"/>
      <c r="D56" s="1462"/>
      <c r="E56" s="1462"/>
      <c r="F56" s="98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5" t="s">
        <v>1067</v>
      </c>
      <c r="AZ2" s="986"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22.76</v>
      </c>
      <c r="B3" s="11">
        <f>IF(C3="否",G5-AT5,G5)</f>
        <v>94.12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7"/>
      <c r="AZ3" s="98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94.12</v>
      </c>
      <c r="H5" s="13">
        <f t="shared" ref="H5:AT5" si="0">SUM(H13:H656)</f>
        <v>94.12</v>
      </c>
      <c r="I5" s="13">
        <f t="shared" si="0"/>
        <v>94.12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94.12</v>
      </c>
      <c r="BA5" s="15">
        <f t="shared" si="1"/>
        <v>94.12</v>
      </c>
      <c r="BB5" s="15">
        <f t="shared" si="1"/>
        <v>94.12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22.76</v>
      </c>
      <c r="F6" s="13" t="s">
        <v>0</v>
      </c>
      <c r="G6" s="13" t="s">
        <v>1</v>
      </c>
      <c r="H6" s="17">
        <f>SUMIF(I$12:AB$12,"总值",I6:AB6)</f>
        <v>22.76</v>
      </c>
      <c r="I6" s="13">
        <f t="shared" ref="I6:AB6" si="2">ROUND($A$3*I5/$B$3,2)</f>
        <v>22.76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22.76</v>
      </c>
      <c r="AZ6" s="13" t="s">
        <v>2</v>
      </c>
      <c r="BA6" s="13">
        <f>ROUND($AY$6*BA5/$AZ$5,2)</f>
        <v>22.76</v>
      </c>
      <c r="BB6" s="13">
        <f>ROUND($AY$6*BB5/$AZ$5,2)</f>
        <v>22.76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0"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3389</v>
      </c>
      <c r="J9" s="760"/>
      <c r="K9" s="1491"/>
      <c r="L9" s="760"/>
      <c r="M9" s="1491"/>
      <c r="N9" s="760"/>
      <c r="O9" s="1491"/>
      <c r="P9" s="760"/>
      <c r="Q9" s="1491"/>
      <c r="R9" s="760"/>
      <c r="S9" s="1491"/>
      <c r="T9" s="760"/>
      <c r="U9" s="1491"/>
      <c r="V9" s="760"/>
      <c r="W9" s="1491"/>
      <c r="X9" s="1492"/>
      <c r="Y9" s="1491"/>
      <c r="Z9" s="760"/>
      <c r="AA9" s="1491"/>
      <c r="AB9" s="760"/>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0"/>
      <c r="K10" s="1497"/>
      <c r="L10" s="760"/>
      <c r="M10" s="1497"/>
      <c r="N10" s="760"/>
      <c r="O10" s="1497"/>
      <c r="P10" s="760"/>
      <c r="Q10" s="1497"/>
      <c r="R10" s="760"/>
      <c r="S10" s="1497"/>
      <c r="T10" s="760"/>
      <c r="U10" s="1497"/>
      <c r="V10" s="760"/>
      <c r="W10" s="1497"/>
      <c r="X10" s="760"/>
      <c r="Y10" s="1497"/>
      <c r="Z10" s="760"/>
      <c r="AA10" s="1497"/>
      <c r="AB10" s="760"/>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3390</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办公楼</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988"/>
      <c r="B13" s="988"/>
      <c r="C13" s="988"/>
      <c r="D13" s="1513" t="s">
        <v>3388</v>
      </c>
      <c r="E13" s="13">
        <f>IF($C$3="是",ROUND($A$3*G13/$B$3,2),ROUND($A$3*(G13-AT13)/$B$3,2))</f>
        <v>22.76</v>
      </c>
      <c r="F13" s="29"/>
      <c r="G13" s="30">
        <f>H13+AC13+AT13</f>
        <v>94.12</v>
      </c>
      <c r="H13" s="17">
        <f>SUMIF(I$12:AB$12,"总值",I13:AB13)</f>
        <v>94.12</v>
      </c>
      <c r="I13" s="1514">
        <v>94.12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22.76</v>
      </c>
      <c r="AZ13" s="13">
        <f>BA13+BL13</f>
        <v>94.12</v>
      </c>
      <c r="BA13" s="13">
        <f>SUM(BB13:BK13)</f>
        <v>94.12</v>
      </c>
      <c r="BB13" s="13">
        <f>IF($D13="是",I13-J13,0)</f>
        <v>94.12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988"/>
      <c r="B14" s="98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988"/>
      <c r="B15" s="98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988"/>
      <c r="B16" s="98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988"/>
      <c r="B17" s="98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 sqref="I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0" t="s">
        <v>1131</v>
      </c>
      <c r="B2" s="3240"/>
      <c r="C2" s="3240"/>
      <c r="D2" s="747" t="s">
        <v>1107</v>
      </c>
      <c r="E2" s="1523" t="s">
        <v>1108</v>
      </c>
      <c r="F2" s="2437"/>
      <c r="G2" s="2430"/>
      <c r="H2" s="2431"/>
      <c r="I2" s="2146" t="s">
        <v>1132</v>
      </c>
      <c r="J2" s="2437"/>
      <c r="K2" s="2437"/>
      <c r="L2" s="2437"/>
      <c r="M2" s="2437"/>
      <c r="N2" s="2438"/>
      <c r="O2" s="2437"/>
      <c r="P2" s="2437"/>
    </row>
    <row r="3" spans="1:16" ht="15.75" thickBot="1">
      <c r="A3" s="3241" t="s">
        <v>1105</v>
      </c>
      <c r="B3" s="3241"/>
      <c r="C3" s="3241"/>
      <c r="D3" s="41">
        <f>'数据-基础表'!AY6</f>
        <v>22.76</v>
      </c>
      <c r="E3" s="41">
        <f>'数据-基础表'!AZ5</f>
        <v>94.12</v>
      </c>
      <c r="F3" s="2437"/>
      <c r="G3" s="42"/>
      <c r="H3" s="43" t="s">
        <v>1106</v>
      </c>
      <c r="I3" s="801">
        <f>ROUND('数据-基础表'!B3/'数据-基础表'!A3,2)</f>
        <v>4.1399999999999997</v>
      </c>
      <c r="J3" s="2437"/>
      <c r="K3" s="2437"/>
      <c r="L3" s="2437"/>
      <c r="M3" s="2437"/>
      <c r="N3" s="2438"/>
      <c r="O3" s="2437"/>
      <c r="P3" s="2437"/>
    </row>
    <row r="4" spans="1:16" ht="15">
      <c r="A4" s="3242"/>
      <c r="B4" s="3243"/>
      <c r="C4" s="3244"/>
      <c r="D4" s="1524" t="s">
        <v>1107</v>
      </c>
      <c r="E4" s="1525" t="s">
        <v>1108</v>
      </c>
      <c r="F4" s="2437"/>
      <c r="G4" s="2432" t="s">
        <v>1133</v>
      </c>
      <c r="H4" s="43" t="s">
        <v>1113</v>
      </c>
      <c r="I4" s="801">
        <f>ROUND(SUMIF('数据-基础表'!I9:AS9,"地上",'数据-基础表'!I5:AS5)/'数据-基础表'!A3,2)</f>
        <v>4.1399999999999997</v>
      </c>
      <c r="J4" s="2437"/>
      <c r="K4" s="2437"/>
      <c r="L4" s="2437"/>
      <c r="M4" s="2437"/>
      <c r="N4" s="2438"/>
      <c r="O4" s="2437"/>
      <c r="P4" s="2437"/>
    </row>
    <row r="5" spans="1:16">
      <c r="A5" s="42" t="s">
        <v>1109</v>
      </c>
      <c r="B5" s="3245" t="s">
        <v>1110</v>
      </c>
      <c r="C5" s="3245"/>
      <c r="D5" s="43">
        <f>ROUND($D$3*E5/$E$3,2)</f>
        <v>0</v>
      </c>
      <c r="E5" s="44">
        <f>SUMIF('数据-基础表'!$11:$11,"住宅",'数据-基础表'!$5:$5)</f>
        <v>0</v>
      </c>
      <c r="F5" s="2437"/>
      <c r="G5" s="42"/>
      <c r="H5" s="43" t="s">
        <v>1106</v>
      </c>
      <c r="I5" s="801">
        <f>ROUND(E31/D31,2)</f>
        <v>4.1399999999999997</v>
      </c>
      <c r="J5" s="2437"/>
      <c r="K5" s="2437"/>
      <c r="L5" s="2437"/>
      <c r="M5" s="2437"/>
      <c r="N5" s="2437"/>
      <c r="O5" s="2437"/>
      <c r="P5" s="2437"/>
    </row>
    <row r="6" spans="1:16" ht="15" thickBot="1">
      <c r="A6" s="1527"/>
      <c r="B6" s="3245" t="s">
        <v>1111</v>
      </c>
      <c r="C6" s="3245"/>
      <c r="D6" s="43">
        <f>ROUND($D$3*E6/$E$3,2)</f>
        <v>22.76</v>
      </c>
      <c r="E6" s="44">
        <f>E3-E5</f>
        <v>94.12</v>
      </c>
      <c r="F6" s="2437"/>
      <c r="G6" s="1529" t="s">
        <v>1112</v>
      </c>
      <c r="H6" s="45" t="s">
        <v>1113</v>
      </c>
      <c r="I6" s="2433">
        <f>ROUND(F31/D31,2)</f>
        <v>4.1399999999999997</v>
      </c>
      <c r="J6" s="2437"/>
      <c r="K6" s="2437"/>
      <c r="L6" s="2437"/>
      <c r="M6" s="2437"/>
      <c r="N6" s="2437"/>
      <c r="O6" s="2437"/>
      <c r="P6" s="2437"/>
    </row>
    <row r="7" spans="1:16" ht="15.75" thickBot="1">
      <c r="A7" s="3237"/>
      <c r="B7" s="3238"/>
      <c r="C7" s="3239"/>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22.76</v>
      </c>
      <c r="E8" s="46">
        <f>SUMIF('数据-基础表'!BB10:BK10,"地上",'数据-基础表'!BB5:BK5)</f>
        <v>94.12</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22.76</v>
      </c>
      <c r="E16" s="48">
        <f>SUM(E8:E15)</f>
        <v>94.12</v>
      </c>
      <c r="F16" s="2437"/>
      <c r="G16" s="2437"/>
      <c r="H16" s="1531" t="s">
        <v>1135</v>
      </c>
      <c r="I16" s="1532"/>
      <c r="J16" s="1071"/>
      <c r="K16" s="3234" t="s">
        <v>1135</v>
      </c>
      <c r="L16" s="3235"/>
      <c r="M16" s="3235"/>
      <c r="N16" s="3235"/>
      <c r="O16" s="3235"/>
      <c r="P16" s="3236"/>
    </row>
    <row r="17" spans="1:19" ht="15">
      <c r="A17" s="1533" t="s">
        <v>1136</v>
      </c>
      <c r="B17" s="1534" t="s">
        <v>1137</v>
      </c>
      <c r="C17" s="1535" t="s">
        <v>1138</v>
      </c>
      <c r="D17" s="1536" t="s">
        <v>1126</v>
      </c>
      <c r="E17" s="1537" t="s">
        <v>1127</v>
      </c>
      <c r="F17" s="1538"/>
      <c r="G17" s="1539"/>
      <c r="H17" s="1540" t="s">
        <v>1139</v>
      </c>
      <c r="I17" s="1541" t="s">
        <v>1124</v>
      </c>
      <c r="J17" s="1071"/>
      <c r="K17" s="3231" t="s">
        <v>1140</v>
      </c>
      <c r="L17" s="3232"/>
      <c r="M17" s="3233"/>
      <c r="N17" s="3231" t="s">
        <v>1141</v>
      </c>
      <c r="O17" s="3232"/>
      <c r="P17" s="3233"/>
      <c r="R17" s="768" t="s">
        <v>1142</v>
      </c>
      <c r="S17" s="54"/>
    </row>
    <row r="18" spans="1:19" ht="15">
      <c r="A18" s="1529"/>
      <c r="B18" s="1526"/>
      <c r="C18" s="1542"/>
      <c r="D18" s="1543"/>
      <c r="E18" s="1544" t="s">
        <v>1143</v>
      </c>
      <c r="F18" s="1545" t="s">
        <v>1144</v>
      </c>
      <c r="G18" s="1546" t="s">
        <v>1145</v>
      </c>
      <c r="H18" s="979" t="s">
        <v>1146</v>
      </c>
      <c r="I18" s="1547" t="s">
        <v>1147</v>
      </c>
      <c r="J18" s="1071"/>
      <c r="K18" s="979" t="s">
        <v>1148</v>
      </c>
      <c r="L18" s="1548" t="s">
        <v>1149</v>
      </c>
      <c r="M18" s="801" t="s">
        <v>1150</v>
      </c>
      <c r="N18" s="979" t="s">
        <v>1148</v>
      </c>
      <c r="O18" s="1548" t="s">
        <v>1149</v>
      </c>
      <c r="P18" s="801" t="s">
        <v>1150</v>
      </c>
      <c r="R18" s="43" t="s">
        <v>1151</v>
      </c>
      <c r="S18" s="43" t="s">
        <v>1152</v>
      </c>
    </row>
    <row r="19" spans="1:19">
      <c r="A19" s="1549"/>
      <c r="B19" s="45" t="s">
        <v>1125</v>
      </c>
      <c r="C19" s="3113" t="s">
        <v>3467</v>
      </c>
      <c r="D19" s="43">
        <f>ROUND($D$3*E19/$E$3,2)</f>
        <v>22.76</v>
      </c>
      <c r="E19" s="51">
        <f t="shared" ref="E19:E26" si="1">SUM(F19:G19)</f>
        <v>94.12</v>
      </c>
      <c r="F19" s="2555">
        <f>'数据-基础表'!I13</f>
        <v>94.12</v>
      </c>
      <c r="G19" s="1243"/>
      <c r="H19" s="636">
        <f>ROUND($D$3*I19/$E$3,2)</f>
        <v>0</v>
      </c>
      <c r="I19" s="46">
        <f t="shared" ref="I19:I26" si="2">IF($I$17="自定义",P19,M19)</f>
        <v>0</v>
      </c>
      <c r="J19" s="1071"/>
      <c r="K19" s="636">
        <f t="shared" ref="K19:K26" si="3">ROUND(E$28*E19/E$27,2)</f>
        <v>0</v>
      </c>
      <c r="L19" s="43">
        <f t="shared" ref="L19:L26" si="4">ROUND(IF(COUNTIF(C19,"*住宅*")&gt;0,E$29*E19/E$32,0),2)</f>
        <v>0</v>
      </c>
      <c r="M19" s="46">
        <f>K19+L19</f>
        <v>0</v>
      </c>
      <c r="N19" s="1550"/>
      <c r="O19" s="1551"/>
      <c r="P19" s="46">
        <f>N19+O19</f>
        <v>0</v>
      </c>
      <c r="R19" s="43">
        <f t="shared" ref="R19:S26" si="5">D19+H19</f>
        <v>22.76</v>
      </c>
      <c r="S19" s="51">
        <f t="shared" si="5"/>
        <v>94.12</v>
      </c>
    </row>
    <row r="20" spans="1:19">
      <c r="A20" s="1549"/>
      <c r="B20" s="45" t="s">
        <v>1153</v>
      </c>
      <c r="C20" s="3113"/>
      <c r="D20" s="43">
        <f t="shared" ref="D20:D26" si="6">ROUND($D$3*E20/$E$3,2)</f>
        <v>0</v>
      </c>
      <c r="E20" s="51">
        <f t="shared" si="1"/>
        <v>0</v>
      </c>
      <c r="F20" s="2555"/>
      <c r="G20" s="1243"/>
      <c r="H20" s="636">
        <f t="shared" ref="H20:H26" si="7">ROUND($D$3*I20/$E$3,2)</f>
        <v>0</v>
      </c>
      <c r="I20" s="46">
        <f t="shared" si="2"/>
        <v>0</v>
      </c>
      <c r="J20" s="1071"/>
      <c r="K20" s="636">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6">
        <f t="shared" si="7"/>
        <v>0</v>
      </c>
      <c r="I21" s="46">
        <f t="shared" si="2"/>
        <v>0</v>
      </c>
      <c r="J21" s="1071"/>
      <c r="K21" s="636">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6">
        <f t="shared" si="7"/>
        <v>0</v>
      </c>
      <c r="I22" s="46">
        <f t="shared" si="2"/>
        <v>0</v>
      </c>
      <c r="J22" s="1071"/>
      <c r="K22" s="636">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6">
        <f>ROUND($D$3*I23/$E$3,2)</f>
        <v>0</v>
      </c>
      <c r="I23" s="46">
        <f t="shared" si="2"/>
        <v>0</v>
      </c>
      <c r="J23" s="1071"/>
      <c r="K23" s="636">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6">
        <f>ROUND($D$3*I24/$E$3,2)</f>
        <v>0</v>
      </c>
      <c r="I24" s="46">
        <f t="shared" si="2"/>
        <v>0</v>
      </c>
      <c r="J24" s="1071"/>
      <c r="K24" s="636">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6">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22.76</v>
      </c>
      <c r="E27" s="1073">
        <f>IF(SUM(E19:E26)='数据-基础表'!BA5,SUM(E19:E26),IF(F27="地上面积有误","面积有误","地下面积有误"))</f>
        <v>94.12</v>
      </c>
      <c r="F27" s="1072">
        <f>IF(SUM(F19:F26)=E8,SUM(F19:F26),"地上面积有误")</f>
        <v>94.12</v>
      </c>
      <c r="G27" s="1074">
        <f>SUM(G19:G26)</f>
        <v>0</v>
      </c>
      <c r="H27" s="1075">
        <f>SUM(H19:H26)</f>
        <v>0</v>
      </c>
      <c r="I27" s="1076">
        <f>SUM(I19:I26)</f>
        <v>0</v>
      </c>
      <c r="J27" s="1071"/>
      <c r="K27" s="1077">
        <f>SUM(K19:K26)</f>
        <v>0</v>
      </c>
      <c r="L27" s="784">
        <f>SUM(L19:L26)</f>
        <v>0</v>
      </c>
      <c r="M27" s="1078">
        <f>SUM(M19:M26)</f>
        <v>0</v>
      </c>
      <c r="N27" s="1077">
        <f t="shared" ref="N27:O27" si="10">SUM(N19:N26)</f>
        <v>0</v>
      </c>
      <c r="O27" s="784">
        <f t="shared" si="10"/>
        <v>0</v>
      </c>
      <c r="P27" s="94">
        <f>SUM(P19:P26)</f>
        <v>0</v>
      </c>
      <c r="R27" s="967">
        <f>IF(SUM(R19:R26)=$D$3,SUM(R19:R26),SUM(R19:R26)&amp;"误差"&amp;ROUND(SUM(R19:R26)-$D$3,2))</f>
        <v>22.76</v>
      </c>
      <c r="S27" s="43">
        <f>IF(SUM(S19:S26)=$E$3,SUM(S19:S26),SUM(S19:S26)&amp;"误差"&amp;ROUND(SUM(S19:S26)-E3,2))</f>
        <v>94.12</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4" t="s">
        <v>1158</v>
      </c>
      <c r="D31" s="642">
        <f>D27+D30</f>
        <v>22.76</v>
      </c>
      <c r="E31" s="642">
        <f>E27+E30</f>
        <v>94.12</v>
      </c>
      <c r="F31" s="643">
        <f>F27+F30</f>
        <v>94.12</v>
      </c>
      <c r="G31" s="644">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K24" sqref="AK2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5"/>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3">
        <f>项目基本情况!D3</f>
        <v>45450</v>
      </c>
      <c r="C2" s="1071"/>
      <c r="D2" s="1563"/>
      <c r="E2" s="1071"/>
      <c r="F2" s="1071"/>
      <c r="G2" s="1071"/>
      <c r="H2" s="1071"/>
      <c r="I2" s="1071"/>
      <c r="J2" s="1071"/>
      <c r="K2" s="862"/>
      <c r="L2" s="862"/>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2"/>
      <c r="L3" s="862"/>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3391</v>
      </c>
      <c r="O5" s="1577" t="s">
        <v>1181</v>
      </c>
      <c r="P5" s="1580" t="s">
        <v>1182</v>
      </c>
      <c r="Q5" s="58" t="s">
        <v>1183</v>
      </c>
      <c r="R5" s="1581" t="s">
        <v>1184</v>
      </c>
      <c r="S5" s="1582" t="s">
        <v>1185</v>
      </c>
      <c r="T5" s="1583" t="s">
        <v>1186</v>
      </c>
      <c r="U5" s="984" t="s">
        <v>1187</v>
      </c>
      <c r="V5" s="504" t="s">
        <v>1188</v>
      </c>
      <c r="W5" s="504" t="s">
        <v>1189</v>
      </c>
      <c r="X5" s="60"/>
      <c r="Y5" s="59" t="s">
        <v>1190</v>
      </c>
      <c r="Z5" s="1101" t="s">
        <v>1187</v>
      </c>
      <c r="AA5" s="504" t="s">
        <v>1188</v>
      </c>
      <c r="AB5" s="504" t="s">
        <v>1189</v>
      </c>
      <c r="AC5" s="60"/>
      <c r="AD5" s="60" t="s">
        <v>1190</v>
      </c>
      <c r="AE5" s="984" t="s">
        <v>1191</v>
      </c>
      <c r="AF5" s="504" t="s">
        <v>1192</v>
      </c>
      <c r="AG5" s="59" t="s">
        <v>1193</v>
      </c>
      <c r="AH5" s="984" t="s">
        <v>1194</v>
      </c>
      <c r="AI5" s="1101" t="s">
        <v>1195</v>
      </c>
      <c r="AJ5" s="1101" t="s">
        <v>1196</v>
      </c>
      <c r="AK5" s="504" t="s">
        <v>1197</v>
      </c>
      <c r="AL5" s="504" t="s">
        <v>1198</v>
      </c>
      <c r="AM5" s="59" t="s">
        <v>1199</v>
      </c>
      <c r="AN5" s="1584" t="s">
        <v>1200</v>
      </c>
      <c r="AO5" s="1454" t="s">
        <v>1201</v>
      </c>
      <c r="AP5" s="967"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4层05F办公</v>
      </c>
      <c r="B6" s="1587" t="str">
        <f>IF(A6=0,"","经营性")</f>
        <v>经营性</v>
      </c>
      <c r="C6" s="1588" t="s">
        <v>21</v>
      </c>
      <c r="D6" s="804">
        <f>SUMIF(项目基本情况!C$12:I$12,C6,项目基本情况!C$14:I$14)</f>
        <v>50</v>
      </c>
      <c r="E6" s="803">
        <f>IF(B6="","",SUMIF(项目基本情况!C$12:I$12,C6,项目基本情况!C$13:I$13))</f>
        <v>52386</v>
      </c>
      <c r="F6" s="61">
        <f>SUMIF(项目基本情况!C$12:I$12,C6,项目基本情况!C$15:I$15)</f>
        <v>19</v>
      </c>
      <c r="G6" s="62">
        <f>IF(ISERROR(ROUND(POWER(1+H6,D6-F6)*(POWER(1+H6,F6)-1)/(POWER(1+H6,D6)-1),3)),0,ROUND(POWER(1+H6,D6-F6)*(POWER(1+H6,F6)-1)/(POWER(1+H6,D6)-1),3))</f>
        <v>0.66200000000000003</v>
      </c>
      <c r="H6" s="690">
        <v>0.05</v>
      </c>
      <c r="I6" s="690">
        <v>5.5E-2</v>
      </c>
      <c r="J6" s="63">
        <v>7.0000000000000007E-2</v>
      </c>
      <c r="K6" s="969">
        <f>SUMIF('数据-汇总表'!C$19:C$33,A6,'数据-汇总表'!E$19:E$33)</f>
        <v>94.12</v>
      </c>
      <c r="L6" s="691">
        <v>4500</v>
      </c>
      <c r="M6" s="64">
        <f t="shared" ref="M6:M14" si="0">ROUND(K6*L6/10000,0)</f>
        <v>42</v>
      </c>
      <c r="N6" s="689">
        <f>N23</f>
        <v>0.72</v>
      </c>
      <c r="O6" s="64" t="str">
        <f>IF($N$5="成新度","——",ROUND(M6*N6,0))</f>
        <v>——</v>
      </c>
      <c r="P6" s="65" t="str">
        <f>IF($N$5="成新度","——",M6-O6)</f>
        <v>——</v>
      </c>
      <c r="Q6" s="692">
        <v>0.15</v>
      </c>
      <c r="R6" s="66">
        <f ca="1">SUMIF('数据-汇总表'!C$19:C$33,A6,'数据-汇总表'!R$19:R$27)</f>
        <v>22.76</v>
      </c>
      <c r="S6" s="49">
        <f>IF('数据-汇总表'!$I$17="按面积比例",SUMIF('数据-汇总表'!C$19:C$33,A6,'数据-汇总表'!K$19:K$33),SUMIF('数据-汇总表'!C$19:C$33,A6,'数据-汇总表'!N$19:N$33))</f>
        <v>0</v>
      </c>
      <c r="T6" s="1092">
        <f>ROUND($L$14*S6/10000,0)</f>
        <v>0</v>
      </c>
      <c r="U6" s="3124">
        <f>'比较法-租金办公'!C50</f>
        <v>3.2</v>
      </c>
      <c r="V6" s="67">
        <v>2.5000000000000001E-2</v>
      </c>
      <c r="W6" s="67">
        <v>0.1</v>
      </c>
      <c r="X6" s="978"/>
      <c r="Y6" s="68">
        <f>N6</f>
        <v>0.72</v>
      </c>
      <c r="Z6" s="69"/>
      <c r="AA6" s="63"/>
      <c r="AB6" s="63"/>
      <c r="AC6" s="978"/>
      <c r="AD6" s="70"/>
      <c r="AE6" s="979">
        <f ca="1">IF(AN6="",0,SUMIF(INDIRECT("'"&amp;AN6&amp;"'"&amp;"!E:E"),$AE$5,INDIRECT("'"&amp;AN6&amp;"'"&amp;"!F:F")))</f>
        <v>19</v>
      </c>
      <c r="AF6" s="74"/>
      <c r="AG6" s="130">
        <f>IF(AF6="",0,AE6-AF6)</f>
        <v>0</v>
      </c>
      <c r="AH6" s="71"/>
      <c r="AI6" s="73">
        <v>365</v>
      </c>
      <c r="AJ6" s="74"/>
      <c r="AK6" s="3153">
        <v>8.0000000000000002E-3</v>
      </c>
      <c r="AL6" s="76">
        <v>1E-3</v>
      </c>
      <c r="AM6" s="77">
        <v>5.0000000000000001E-3</v>
      </c>
      <c r="AN6" s="1589" t="s">
        <v>3398</v>
      </c>
      <c r="AO6" s="50">
        <f ca="1">SUMIF(INDIRECT("'"&amp;AN6&amp;"'"&amp;"!A:A"),"总价",INDIRECT("'"&amp;AN6&amp;"'"&amp;"!B:B"))</f>
        <v>128.05099999999999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2">
        <f t="shared" si="5"/>
        <v>0</v>
      </c>
      <c r="U8" s="3125"/>
      <c r="V8" s="693"/>
      <c r="W8" s="693"/>
      <c r="X8" s="978"/>
      <c r="Y8" s="68"/>
      <c r="Z8" s="69"/>
      <c r="AA8" s="63"/>
      <c r="AB8" s="63"/>
      <c r="AC8" s="978"/>
      <c r="AD8" s="70"/>
      <c r="AE8" s="979">
        <f t="shared" ca="1" si="6"/>
        <v>0</v>
      </c>
      <c r="AF8" s="74"/>
      <c r="AG8" s="130">
        <f t="shared" si="7"/>
        <v>0</v>
      </c>
      <c r="AH8" s="694"/>
      <c r="AI8" s="73"/>
      <c r="AJ8" s="74"/>
      <c r="AK8" s="695"/>
      <c r="AL8" s="696"/>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8"/>
      <c r="Y9" s="68"/>
      <c r="Z9" s="69"/>
      <c r="AA9" s="63"/>
      <c r="AB9" s="63"/>
      <c r="AC9" s="978"/>
      <c r="AD9" s="70"/>
      <c r="AE9" s="979">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8"/>
      <c r="Y10" s="68"/>
      <c r="Z10" s="69"/>
      <c r="AA10" s="63"/>
      <c r="AB10" s="63"/>
      <c r="AC10" s="978"/>
      <c r="AD10" s="70"/>
      <c r="AE10" s="979">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8"/>
      <c r="Y11" s="68"/>
      <c r="Z11" s="81"/>
      <c r="AA11" s="63"/>
      <c r="AB11" s="63"/>
      <c r="AC11" s="978"/>
      <c r="AD11" s="70"/>
      <c r="AE11" s="979">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8"/>
      <c r="Y12" s="68"/>
      <c r="Z12" s="81"/>
      <c r="AA12" s="63"/>
      <c r="AB12" s="63"/>
      <c r="AC12" s="978"/>
      <c r="AD12" s="70"/>
      <c r="AE12" s="979">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8"/>
      <c r="Y13" s="68"/>
      <c r="Z13" s="69"/>
      <c r="AA13" s="63"/>
      <c r="AB13" s="63"/>
      <c r="AC13" s="978"/>
      <c r="AD13" s="70"/>
      <c r="AE13" s="979">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2"/>
      <c r="U14" s="636"/>
      <c r="V14" s="974"/>
      <c r="W14" s="974"/>
      <c r="X14" s="975"/>
      <c r="Y14" s="976"/>
      <c r="Z14" s="54"/>
      <c r="AA14" s="977"/>
      <c r="AB14" s="977"/>
      <c r="AC14" s="978"/>
      <c r="AD14" s="975"/>
      <c r="AE14" s="979"/>
      <c r="AF14" s="50"/>
      <c r="AG14" s="130"/>
      <c r="AH14" s="979"/>
      <c r="AI14" s="1266"/>
      <c r="AJ14" s="50"/>
      <c r="AK14" s="980"/>
      <c r="AL14" s="981"/>
      <c r="AM14" s="982"/>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4"/>
      <c r="E15" s="803"/>
      <c r="F15" s="61"/>
      <c r="G15" s="62"/>
      <c r="H15" s="968"/>
      <c r="I15" s="968"/>
      <c r="J15" s="968"/>
      <c r="K15" s="969">
        <f>SUMIF('数据-汇总表'!C$19:C$33,A15,'数据-汇总表'!E$19:E$33)</f>
        <v>0</v>
      </c>
      <c r="L15" s="970"/>
      <c r="M15" s="64"/>
      <c r="N15" s="971"/>
      <c r="O15" s="64"/>
      <c r="P15" s="65"/>
      <c r="Q15" s="972"/>
      <c r="R15" s="66"/>
      <c r="S15" s="49"/>
      <c r="T15" s="1092"/>
      <c r="U15" s="636"/>
      <c r="V15" s="974"/>
      <c r="W15" s="974"/>
      <c r="X15" s="975"/>
      <c r="Y15" s="976"/>
      <c r="Z15" s="54"/>
      <c r="AA15" s="977"/>
      <c r="AB15" s="977"/>
      <c r="AC15" s="978"/>
      <c r="AD15" s="975"/>
      <c r="AE15" s="979"/>
      <c r="AF15" s="50"/>
      <c r="AG15" s="130"/>
      <c r="AH15" s="979"/>
      <c r="AI15" s="1266"/>
      <c r="AJ15" s="50"/>
      <c r="AK15" s="980"/>
      <c r="AL15" s="981"/>
      <c r="AM15" s="982"/>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2"/>
      <c r="D16" s="1594"/>
      <c r="E16" s="82"/>
      <c r="F16" s="82"/>
      <c r="G16" s="83">
        <f>ROUND(SUMPRODUCT(G6:G13,K6:K13)/SUMPRODUCT((G6:G13&gt;0)*(K6:K13)),3)</f>
        <v>0.66200000000000003</v>
      </c>
      <c r="H16" s="84">
        <f>ROUND(SUMPRODUCT(H6:H13,K6:K13)/SUMPRODUCT((H6:H13&gt;0)*(K6:K13)),3)</f>
        <v>0.05</v>
      </c>
      <c r="I16" s="85"/>
      <c r="J16" s="85"/>
      <c r="K16" s="86">
        <f>SUM(K6:K15)</f>
        <v>94.12</v>
      </c>
      <c r="L16" s="87">
        <f>ROUND(M16*10000/SUM(K6:K14),0)</f>
        <v>4462</v>
      </c>
      <c r="M16" s="87">
        <f>SUM(M6:M14)</f>
        <v>42</v>
      </c>
      <c r="N16" s="88">
        <f>ROUND(SUMPRODUCT(M6:M14,N6:N14)/M16,3)</f>
        <v>0.72</v>
      </c>
      <c r="O16" s="87">
        <f>SUM(O6:O14)</f>
        <v>0</v>
      </c>
      <c r="P16" s="87">
        <f>SUM(P6:P14)</f>
        <v>0</v>
      </c>
      <c r="Q16" s="89">
        <f>ROUND(SUMPRODUCT(Q6:Q13,K6:K13)/SUMPRODUCT((Q6:Q13&gt;0)*(K6:K13)),2)</f>
        <v>0.15</v>
      </c>
      <c r="R16" s="973">
        <f ca="1">SUM(R6:R13)</f>
        <v>22.76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f>Q16/B20</f>
        <v>7.4999999999999997E-2</v>
      </c>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v>7.5</v>
      </c>
      <c r="K18" s="2447"/>
      <c r="L18" s="2447">
        <v>3500</v>
      </c>
      <c r="M18" s="2446"/>
      <c r="N18" s="2446"/>
      <c r="O18" s="2446"/>
      <c r="P18" s="2446"/>
      <c r="Q18" s="2446"/>
      <c r="R18" s="2446"/>
      <c r="S18" s="2446"/>
      <c r="T18" s="3143"/>
      <c r="U18" s="2446">
        <v>3.7</v>
      </c>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2303</v>
      </c>
      <c r="D19" s="2449"/>
      <c r="E19" s="2437"/>
      <c r="F19" s="2437"/>
      <c r="G19" s="2437"/>
      <c r="H19" s="2437"/>
      <c r="I19" s="2437"/>
      <c r="J19" s="2437"/>
      <c r="K19" s="2447"/>
      <c r="L19" s="2447"/>
      <c r="M19" s="2447"/>
      <c r="N19" s="2447">
        <v>2002</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2</v>
      </c>
      <c r="C20" s="2559" t="s">
        <v>2301</v>
      </c>
      <c r="D20" s="2449"/>
      <c r="E20" s="2437"/>
      <c r="F20" s="2437"/>
      <c r="G20" s="2437"/>
      <c r="H20" s="2437"/>
      <c r="I20" s="2437"/>
      <c r="J20" s="2437"/>
      <c r="K20" s="2447"/>
      <c r="L20" s="2447"/>
      <c r="M20" s="2447"/>
      <c r="N20" s="2447"/>
      <c r="O20" s="2446"/>
      <c r="P20" s="2446"/>
      <c r="Q20" s="2446"/>
      <c r="R20" s="2446"/>
      <c r="S20" s="2446"/>
      <c r="T20" s="2446"/>
      <c r="U20" s="2446">
        <f>'比较法-都会国际办公'!C50</f>
        <v>20761</v>
      </c>
      <c r="V20" s="2446">
        <f>U6*365/U20</f>
        <v>5.6259332402100092E-2</v>
      </c>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v>2</v>
      </c>
      <c r="C21" s="2437"/>
      <c r="D21" s="2449"/>
      <c r="E21" s="2437"/>
      <c r="F21" s="2437"/>
      <c r="G21" s="2437"/>
      <c r="H21" s="2437"/>
      <c r="I21" s="2437"/>
      <c r="J21" s="2437"/>
      <c r="K21" s="2447"/>
      <c r="L21" s="2447"/>
      <c r="M21" s="3152" t="s">
        <v>3392</v>
      </c>
      <c r="N21" s="3151">
        <f>ROUND(1-(1-0%)*(2024-N19)/60,2)</f>
        <v>0.63</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2</v>
      </c>
      <c r="C22" s="2437"/>
      <c r="D22" s="2449"/>
      <c r="E22" s="2437"/>
      <c r="F22" s="2437"/>
      <c r="G22" s="2437"/>
      <c r="H22" s="2437"/>
      <c r="I22" s="2437"/>
      <c r="J22" s="2437"/>
      <c r="K22" s="2447"/>
      <c r="L22" s="2447"/>
      <c r="M22" s="3152" t="s">
        <v>3393</v>
      </c>
      <c r="N22" s="2447">
        <v>0.8</v>
      </c>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2</v>
      </c>
      <c r="C23" s="2437"/>
      <c r="D23" s="2449"/>
      <c r="E23" s="2437"/>
      <c r="F23" s="2437"/>
      <c r="G23" s="2437"/>
      <c r="H23" s="2437"/>
      <c r="I23" s="2437"/>
      <c r="J23" s="2437"/>
      <c r="K23" s="2447"/>
      <c r="L23" s="2447"/>
      <c r="M23" s="3152" t="s">
        <v>3394</v>
      </c>
      <c r="N23" s="2447">
        <f>ROUND((N21+N22)/2,2)</f>
        <v>0.72</v>
      </c>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7"/>
      <c r="N24" s="2447"/>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v>160</v>
      </c>
      <c r="C27" s="2560" t="s">
        <v>2305</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f ca="1">'成本法 (元)'!C10/10000</f>
        <v>1.8824000000000001</v>
      </c>
      <c r="C29" s="2561" t="s">
        <v>2292</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7">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8"/>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39">
        <v>0.04</v>
      </c>
      <c r="C33" s="2562" t="s">
        <v>2293</v>
      </c>
      <c r="D33" s="2449"/>
      <c r="E33" s="2437"/>
      <c r="F33" s="2437"/>
      <c r="G33" s="2437"/>
      <c r="H33" s="2437"/>
      <c r="I33" s="2437"/>
      <c r="J33" s="2437"/>
      <c r="K33" s="2447">
        <v>3</v>
      </c>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v>
      </c>
      <c r="C34" s="2562" t="s">
        <v>2294</v>
      </c>
      <c r="D34" s="2457" t="s">
        <v>2302</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2295</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2296</v>
      </c>
      <c r="D36" s="2449"/>
      <c r="E36" s="2437"/>
      <c r="F36" s="2437"/>
      <c r="G36" s="2437"/>
      <c r="H36" s="2437"/>
      <c r="I36" s="2437"/>
      <c r="J36" s="2437"/>
      <c r="K36" s="2447">
        <v>1.5</v>
      </c>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0.02</v>
      </c>
      <c r="C37" s="2562" t="s">
        <v>2297</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0.02</v>
      </c>
      <c r="C38" s="2562" t="s">
        <v>2297</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2312</v>
      </c>
      <c r="B40" s="1015">
        <f ca="1">IF(A40="利息：取LPR",存贷款利率!G1,存贷款利率!G1+C40)</f>
        <v>3.4500000000000003E-2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7.0000000000000007E-2</v>
      </c>
      <c r="C44" s="2562" t="s">
        <v>2306</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2298</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2299</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2307</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2298</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2300</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18</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t="s">
        <v>296</v>
      </c>
      <c r="C53" s="2438" t="s">
        <v>1246</v>
      </c>
      <c r="D53" s="2563" t="s">
        <v>2304</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4"/>
      <c r="D69" s="1615"/>
      <c r="K69" s="686"/>
      <c r="L69" s="686"/>
    </row>
    <row r="70" spans="1:44" s="683" customFormat="1">
      <c r="A70" s="1614"/>
      <c r="D70" s="1615"/>
      <c r="K70" s="686"/>
      <c r="L70" s="686"/>
    </row>
    <row r="71" spans="1:44" s="683" customFormat="1">
      <c r="A71" s="1614"/>
      <c r="D71" s="1615"/>
      <c r="K71" s="686"/>
      <c r="L71" s="686"/>
    </row>
    <row r="72" spans="1:44" s="683" customFormat="1">
      <c r="A72" s="1614"/>
      <c r="D72" s="1615"/>
      <c r="K72" s="686"/>
      <c r="L72" s="686"/>
    </row>
    <row r="73" spans="1:44" s="683" customFormat="1">
      <c r="A73" s="1614"/>
      <c r="D73" s="1615"/>
      <c r="K73" s="686"/>
      <c r="L73" s="686"/>
    </row>
    <row r="74" spans="1:44" s="683" customFormat="1">
      <c r="A74" s="1614"/>
      <c r="D74" s="1615"/>
      <c r="K74" s="686"/>
      <c r="L74" s="686"/>
    </row>
    <row r="75" spans="1:44" s="683" customFormat="1">
      <c r="A75" s="1614"/>
      <c r="D75" s="1615"/>
      <c r="K75" s="686"/>
      <c r="L75" s="686"/>
    </row>
    <row r="76" spans="1:44" s="683" customFormat="1">
      <c r="A76" s="1614"/>
      <c r="D76" s="1615"/>
      <c r="K76" s="686"/>
      <c r="L76" s="686"/>
    </row>
    <row r="77" spans="1:44" s="683" customFormat="1">
      <c r="A77" s="1614"/>
      <c r="D77" s="1615"/>
      <c r="K77" s="686"/>
      <c r="L77" s="686"/>
    </row>
    <row r="78" spans="1:44" s="683" customFormat="1">
      <c r="A78" s="1614"/>
      <c r="D78" s="1615"/>
      <c r="K78" s="686"/>
      <c r="L78" s="686"/>
    </row>
    <row r="79" spans="1:44" s="683" customFormat="1">
      <c r="A79" s="1614"/>
      <c r="D79" s="1615"/>
      <c r="K79" s="686"/>
      <c r="L79" s="686"/>
    </row>
    <row r="80" spans="1:44" s="683" customFormat="1">
      <c r="A80" s="1614"/>
      <c r="D80" s="1615"/>
      <c r="K80" s="686"/>
      <c r="L80" s="686"/>
    </row>
    <row r="81" spans="1:12" s="683" customFormat="1">
      <c r="A81" s="1614"/>
      <c r="D81" s="1615"/>
      <c r="K81" s="686"/>
      <c r="L81" s="686"/>
    </row>
    <row r="82" spans="1:12" s="683" customFormat="1">
      <c r="A82" s="1614"/>
      <c r="D82" s="1615"/>
      <c r="K82" s="686"/>
      <c r="L82" s="686"/>
    </row>
    <row r="83" spans="1:12" s="683" customFormat="1">
      <c r="A83" s="1614"/>
      <c r="D83" s="1615"/>
      <c r="K83" s="686"/>
      <c r="L83" s="686"/>
    </row>
    <row r="84" spans="1:12" s="683" customFormat="1">
      <c r="A84" s="1614"/>
      <c r="D84" s="1615"/>
      <c r="K84" s="686"/>
      <c r="L84" s="686"/>
    </row>
    <row r="85" spans="1:12" s="683" customFormat="1">
      <c r="A85" s="1614"/>
      <c r="D85" s="1615"/>
      <c r="K85" s="686"/>
      <c r="L85" s="686"/>
    </row>
    <row r="86" spans="1:12" s="683" customFormat="1">
      <c r="A86" s="1614"/>
      <c r="D86" s="1615"/>
      <c r="K86" s="686"/>
      <c r="L86" s="686"/>
    </row>
    <row r="87" spans="1:12" s="683" customFormat="1">
      <c r="A87" s="1614"/>
      <c r="D87" s="1615"/>
      <c r="K87" s="686"/>
      <c r="L87" s="686"/>
    </row>
    <row r="88" spans="1:12" s="683" customFormat="1">
      <c r="A88" s="1614"/>
      <c r="D88" s="1615"/>
      <c r="K88" s="686"/>
      <c r="L88" s="686"/>
    </row>
    <row r="89" spans="1:12" s="683" customFormat="1">
      <c r="A89" s="1614"/>
      <c r="D89" s="1615"/>
      <c r="K89" s="686"/>
      <c r="L89" s="686"/>
    </row>
    <row r="90" spans="1:12" s="683" customFormat="1">
      <c r="A90" s="1614"/>
      <c r="D90" s="1615"/>
      <c r="K90" s="686"/>
      <c r="L90" s="686"/>
    </row>
    <row r="91" spans="1:12" s="683" customFormat="1">
      <c r="A91" s="1614"/>
      <c r="D91" s="1615"/>
      <c r="K91" s="686"/>
      <c r="L91" s="686"/>
    </row>
    <row r="92" spans="1:12" s="683" customFormat="1">
      <c r="A92" s="1614"/>
      <c r="D92" s="1615"/>
      <c r="K92" s="686"/>
      <c r="L92" s="686"/>
    </row>
    <row r="93" spans="1:12" s="683" customFormat="1">
      <c r="A93" s="1614"/>
      <c r="D93" s="1615"/>
      <c r="K93" s="686"/>
      <c r="L93" s="686"/>
    </row>
    <row r="94" spans="1:12" s="683" customFormat="1">
      <c r="A94" s="1614"/>
      <c r="D94" s="1615"/>
      <c r="K94" s="686"/>
      <c r="L94" s="686"/>
    </row>
    <row r="95" spans="1:12" s="683" customFormat="1">
      <c r="A95" s="1614"/>
      <c r="D95" s="1615"/>
      <c r="K95" s="686"/>
      <c r="L95" s="686"/>
    </row>
    <row r="96" spans="1:12" s="683" customFormat="1">
      <c r="A96" s="1614"/>
      <c r="D96" s="1615"/>
      <c r="K96" s="686"/>
      <c r="L96" s="686"/>
    </row>
    <row r="97" spans="1:12" s="683" customFormat="1">
      <c r="A97" s="1614"/>
      <c r="D97" s="1615"/>
      <c r="K97" s="686"/>
      <c r="L97" s="686"/>
    </row>
    <row r="98" spans="1:12" s="683" customFormat="1">
      <c r="A98" s="1614"/>
      <c r="D98" s="1615"/>
      <c r="K98" s="686"/>
      <c r="L98" s="686"/>
    </row>
    <row r="99" spans="1:12" s="683" customFormat="1">
      <c r="A99" s="1614"/>
      <c r="D99" s="1615"/>
      <c r="K99" s="686"/>
      <c r="L99" s="686"/>
    </row>
    <row r="100" spans="1:12" s="683" customFormat="1">
      <c r="A100" s="1614"/>
      <c r="D100" s="1615"/>
      <c r="K100" s="686"/>
      <c r="L100" s="686"/>
    </row>
    <row r="101" spans="1:12" s="683" customFormat="1">
      <c r="A101" s="1614"/>
      <c r="D101" s="1615"/>
      <c r="K101" s="686"/>
      <c r="L101" s="686"/>
    </row>
    <row r="102" spans="1:12" s="683" customFormat="1">
      <c r="A102" s="1614"/>
      <c r="D102" s="1615"/>
      <c r="K102" s="686"/>
      <c r="L102" s="686"/>
    </row>
    <row r="103" spans="1:12" s="683" customFormat="1">
      <c r="A103" s="1614"/>
      <c r="D103" s="1615"/>
      <c r="K103" s="686"/>
      <c r="L103" s="686"/>
    </row>
    <row r="104" spans="1:12" s="683" customFormat="1">
      <c r="A104" s="1614"/>
      <c r="D104" s="1615"/>
      <c r="K104" s="686"/>
      <c r="L104" s="686"/>
    </row>
    <row r="105" spans="1:12" s="683" customFormat="1">
      <c r="A105" s="1614"/>
      <c r="D105" s="1615"/>
      <c r="K105" s="686"/>
      <c r="L105" s="686"/>
    </row>
    <row r="106" spans="1:12" s="683" customFormat="1">
      <c r="A106" s="1614"/>
      <c r="D106" s="1615"/>
      <c r="K106" s="686"/>
      <c r="L106" s="686"/>
    </row>
    <row r="107" spans="1:12" s="683" customFormat="1">
      <c r="A107" s="1614"/>
      <c r="D107" s="1615"/>
      <c r="K107" s="686"/>
      <c r="L107" s="686"/>
    </row>
    <row r="108" spans="1:12" s="683" customFormat="1">
      <c r="A108" s="1614"/>
      <c r="D108" s="1615"/>
      <c r="K108" s="686"/>
      <c r="L108" s="686"/>
    </row>
    <row r="109" spans="1:12" s="683" customFormat="1">
      <c r="A109" s="1614"/>
      <c r="D109" s="1615"/>
      <c r="K109" s="686"/>
      <c r="L109" s="686"/>
    </row>
    <row r="110" spans="1:12" s="683" customFormat="1">
      <c r="A110" s="1614"/>
      <c r="D110" s="1615"/>
      <c r="K110" s="686"/>
      <c r="L110" s="686"/>
    </row>
    <row r="111" spans="1:12" s="683" customFormat="1">
      <c r="A111" s="1614"/>
      <c r="D111" s="1615"/>
      <c r="K111" s="686"/>
      <c r="L111" s="686"/>
    </row>
    <row r="112" spans="1:12" s="683" customFormat="1">
      <c r="A112" s="1614"/>
      <c r="D112" s="1615"/>
      <c r="K112" s="686"/>
      <c r="L112" s="686"/>
    </row>
    <row r="113" spans="1:12" s="683" customFormat="1">
      <c r="A113" s="1614"/>
      <c r="D113" s="1615"/>
      <c r="K113" s="686"/>
      <c r="L113" s="686"/>
    </row>
    <row r="114" spans="1:12" s="683" customFormat="1">
      <c r="A114" s="1614"/>
      <c r="D114" s="1615"/>
      <c r="K114" s="686"/>
      <c r="L114" s="686"/>
    </row>
    <row r="115" spans="1:12" s="683" customFormat="1">
      <c r="A115" s="1614"/>
      <c r="D115" s="1615"/>
      <c r="K115" s="686"/>
      <c r="L115" s="686"/>
    </row>
    <row r="116" spans="1:12" s="683" customFormat="1">
      <c r="A116" s="1614"/>
      <c r="D116" s="1615"/>
      <c r="K116" s="686"/>
      <c r="L116" s="686"/>
    </row>
    <row r="117" spans="1:12" s="683" customFormat="1">
      <c r="A117" s="1614"/>
      <c r="D117" s="1615"/>
      <c r="K117" s="686"/>
      <c r="L117" s="686"/>
    </row>
    <row r="118" spans="1:12" s="683" customFormat="1">
      <c r="A118" s="1614"/>
      <c r="D118" s="1615"/>
      <c r="K118" s="686"/>
      <c r="L118" s="686"/>
    </row>
    <row r="119" spans="1:12" s="683" customFormat="1">
      <c r="A119" s="1614"/>
      <c r="D119" s="1615"/>
      <c r="K119" s="686"/>
      <c r="L119" s="686"/>
    </row>
    <row r="120" spans="1:12" s="683" customFormat="1">
      <c r="A120" s="1614"/>
      <c r="D120" s="1615"/>
      <c r="K120" s="686"/>
      <c r="L120" s="686"/>
    </row>
    <row r="121" spans="1:12" s="683" customFormat="1">
      <c r="A121" s="1614"/>
      <c r="D121" s="1615"/>
      <c r="K121" s="686"/>
      <c r="L121" s="686"/>
    </row>
    <row r="122" spans="1:12" s="683" customFormat="1">
      <c r="A122" s="1614"/>
      <c r="D122" s="1615"/>
      <c r="K122" s="686"/>
      <c r="L122" s="686"/>
    </row>
    <row r="123" spans="1:12" s="683" customFormat="1">
      <c r="A123" s="1614"/>
      <c r="D123" s="1615"/>
      <c r="K123" s="686"/>
      <c r="L123" s="686"/>
    </row>
    <row r="124" spans="1:12" s="683" customFormat="1">
      <c r="A124" s="1614"/>
      <c r="D124" s="1615"/>
      <c r="K124" s="686"/>
      <c r="L124" s="686"/>
    </row>
    <row r="125" spans="1:12" s="683" customFormat="1">
      <c r="A125" s="1614"/>
      <c r="D125" s="1615"/>
      <c r="K125" s="686"/>
      <c r="L125" s="686"/>
    </row>
    <row r="126" spans="1:12" s="683" customFormat="1">
      <c r="A126" s="1614"/>
      <c r="D126" s="1615"/>
      <c r="K126" s="686"/>
      <c r="L126" s="686"/>
    </row>
    <row r="127" spans="1:12" s="683" customFormat="1">
      <c r="A127" s="1614"/>
      <c r="D127" s="1615"/>
      <c r="K127" s="686"/>
      <c r="L127" s="686"/>
    </row>
    <row r="128" spans="1:12" s="683" customFormat="1">
      <c r="A128" s="1614"/>
      <c r="D128" s="1615"/>
      <c r="K128" s="686"/>
      <c r="L128" s="686"/>
    </row>
    <row r="129" spans="1:12" s="683" customFormat="1">
      <c r="A129" s="1614"/>
      <c r="D129" s="1615"/>
      <c r="K129" s="686"/>
      <c r="L129" s="686"/>
    </row>
    <row r="130" spans="1:12" s="683" customFormat="1">
      <c r="A130" s="1614"/>
      <c r="D130" s="1615"/>
      <c r="K130" s="686"/>
      <c r="L130" s="686"/>
    </row>
    <row r="131" spans="1:12" s="683" customFormat="1">
      <c r="A131" s="1614"/>
      <c r="D131" s="1615"/>
      <c r="K131" s="686"/>
      <c r="L131" s="686"/>
    </row>
    <row r="132" spans="1:12" s="683" customFormat="1">
      <c r="A132" s="1614"/>
      <c r="D132" s="1615"/>
      <c r="K132" s="686"/>
      <c r="L132" s="686"/>
    </row>
    <row r="133" spans="1:12" s="683" customFormat="1">
      <c r="A133" s="1614"/>
      <c r="D133" s="1615"/>
      <c r="K133" s="686"/>
      <c r="L133" s="686"/>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2"/>
  </cols>
  <sheetData>
    <row r="1" spans="1:29" s="2257" customFormat="1" ht="18.75" thickBot="1">
      <c r="A1" s="3246" t="s">
        <v>2284</v>
      </c>
      <c r="B1" s="3247"/>
      <c r="C1" s="3247"/>
      <c r="D1" s="3247"/>
      <c r="E1" s="3247"/>
      <c r="F1" s="3247"/>
      <c r="G1" s="3247"/>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2279</v>
      </c>
      <c r="D2" s="1595"/>
      <c r="E2" s="2258"/>
      <c r="F2" s="2261"/>
      <c r="G2" s="2260" t="s">
        <v>2280</v>
      </c>
      <c r="H2" s="750"/>
      <c r="I2" s="750"/>
      <c r="J2" s="750"/>
      <c r="K2" s="750"/>
      <c r="L2" s="750"/>
      <c r="M2" s="750"/>
      <c r="N2" s="750"/>
      <c r="O2" s="750"/>
      <c r="P2" s="750"/>
      <c r="Q2" s="750"/>
    </row>
    <row r="3" spans="1:29" ht="48">
      <c r="A3" s="2245" t="s">
        <v>2281</v>
      </c>
      <c r="B3" s="2262" t="s">
        <v>2250</v>
      </c>
      <c r="C3" s="2263" t="s">
        <v>2282</v>
      </c>
      <c r="D3" s="2264"/>
      <c r="E3" s="2246" t="s">
        <v>2281</v>
      </c>
      <c r="F3" s="2265" t="s">
        <v>2251</v>
      </c>
      <c r="G3" s="2266" t="s">
        <v>2283</v>
      </c>
      <c r="H3" s="750"/>
      <c r="I3" s="750"/>
      <c r="J3" s="750"/>
      <c r="K3" s="750"/>
      <c r="L3" s="750"/>
      <c r="M3" s="750"/>
      <c r="N3" s="750"/>
      <c r="O3" s="750"/>
      <c r="P3" s="750"/>
      <c r="Q3" s="750"/>
    </row>
    <row r="4" spans="1:29" ht="36.75">
      <c r="A4" s="2246"/>
      <c r="B4" s="315" t="s">
        <v>2252</v>
      </c>
      <c r="C4" s="2267" t="s">
        <v>2253</v>
      </c>
      <c r="D4" s="2264"/>
      <c r="E4" s="2268"/>
      <c r="F4" s="1281" t="s">
        <v>2254</v>
      </c>
      <c r="G4" s="2269" t="s">
        <v>2255</v>
      </c>
      <c r="H4" s="750"/>
      <c r="I4" s="750"/>
      <c r="J4" s="750"/>
      <c r="K4" s="750"/>
      <c r="L4" s="750"/>
      <c r="M4" s="750"/>
      <c r="N4" s="750"/>
      <c r="O4" s="750"/>
      <c r="P4" s="750"/>
      <c r="Q4" s="750"/>
    </row>
    <row r="5" spans="1:29" ht="36.75">
      <c r="A5" s="2246"/>
      <c r="B5" s="315" t="s">
        <v>2256</v>
      </c>
      <c r="C5" s="2267" t="s">
        <v>2257</v>
      </c>
      <c r="D5" s="2264"/>
      <c r="E5" s="2268"/>
      <c r="F5" s="315" t="s">
        <v>2258</v>
      </c>
      <c r="G5" s="2269" t="s">
        <v>2259</v>
      </c>
      <c r="H5" s="750"/>
      <c r="I5" s="750"/>
      <c r="J5" s="750"/>
      <c r="K5" s="750"/>
      <c r="L5" s="750"/>
      <c r="M5" s="750"/>
      <c r="N5" s="750"/>
      <c r="O5" s="750"/>
      <c r="P5" s="750"/>
      <c r="Q5" s="750"/>
    </row>
    <row r="6" spans="1:29" ht="36">
      <c r="A6" s="2246"/>
      <c r="B6" s="315" t="s">
        <v>2260</v>
      </c>
      <c r="C6" s="2269" t="s">
        <v>2255</v>
      </c>
      <c r="D6" s="2264"/>
      <c r="E6" s="2268"/>
      <c r="F6" s="315" t="s">
        <v>2261</v>
      </c>
      <c r="G6" s="2269" t="s">
        <v>2262</v>
      </c>
      <c r="H6" s="750"/>
      <c r="I6" s="750"/>
      <c r="J6" s="750"/>
      <c r="K6" s="750"/>
      <c r="L6" s="750"/>
      <c r="M6" s="750"/>
      <c r="N6" s="750"/>
      <c r="O6" s="750"/>
      <c r="P6" s="750"/>
      <c r="Q6" s="750"/>
    </row>
    <row r="7" spans="1:29" ht="24.75" thickBot="1">
      <c r="A7" s="2246"/>
      <c r="B7" s="315" t="s">
        <v>2258</v>
      </c>
      <c r="C7" s="2269" t="s">
        <v>2259</v>
      </c>
      <c r="D7" s="2243"/>
      <c r="E7" s="2270"/>
      <c r="F7" s="2271" t="s">
        <v>2263</v>
      </c>
      <c r="G7" s="2272" t="s">
        <v>2264</v>
      </c>
      <c r="H7" s="750"/>
      <c r="I7" s="750"/>
      <c r="J7" s="750"/>
      <c r="K7" s="750"/>
      <c r="L7" s="750"/>
      <c r="M7" s="750"/>
      <c r="N7" s="750"/>
      <c r="O7" s="750"/>
      <c r="P7" s="750"/>
      <c r="Q7" s="750"/>
    </row>
    <row r="8" spans="1:29">
      <c r="A8" s="2246"/>
      <c r="B8" s="315" t="s">
        <v>2261</v>
      </c>
      <c r="C8" s="2269" t="s">
        <v>2262</v>
      </c>
      <c r="D8" s="2243"/>
      <c r="E8" s="2243"/>
      <c r="F8" s="121"/>
      <c r="G8" s="121"/>
      <c r="H8" s="750"/>
      <c r="I8" s="750"/>
      <c r="J8" s="750"/>
      <c r="K8" s="750"/>
      <c r="L8" s="750"/>
      <c r="M8" s="750"/>
      <c r="N8" s="750"/>
      <c r="O8" s="750"/>
      <c r="P8" s="750"/>
      <c r="Q8" s="750"/>
    </row>
    <row r="9" spans="1:29" ht="24">
      <c r="A9" s="2246"/>
      <c r="B9" s="315" t="s">
        <v>2265</v>
      </c>
      <c r="C9" s="2267" t="s">
        <v>2266</v>
      </c>
      <c r="D9" s="2264"/>
      <c r="E9" s="2243"/>
      <c r="F9" s="121"/>
      <c r="G9" s="121"/>
      <c r="H9" s="750"/>
      <c r="I9" s="750"/>
      <c r="J9" s="750"/>
      <c r="K9" s="750"/>
      <c r="L9" s="750"/>
      <c r="M9" s="750"/>
      <c r="N9" s="750"/>
      <c r="O9" s="750"/>
      <c r="P9" s="750"/>
      <c r="Q9" s="750"/>
    </row>
    <row r="10" spans="1:29" ht="15" thickBot="1">
      <c r="A10" s="2247"/>
      <c r="B10" s="2273" t="s">
        <v>2267</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2285</v>
      </c>
      <c r="B13" s="2278"/>
      <c r="C13" s="2278"/>
      <c r="D13" s="2277"/>
      <c r="E13" s="2278"/>
      <c r="F13" s="2278"/>
      <c r="G13" s="2278"/>
    </row>
    <row r="14" spans="1:29" ht="15" thickBot="1">
      <c r="A14" s="2283"/>
      <c r="B14" s="2283"/>
      <c r="C14" s="2284" t="s">
        <v>2268</v>
      </c>
      <c r="D14" s="2264"/>
      <c r="E14" s="2285"/>
      <c r="F14" s="2285"/>
      <c r="G14" s="2260" t="s">
        <v>2269</v>
      </c>
    </row>
    <row r="15" spans="1:29" ht="51">
      <c r="A15" s="2248" t="s">
        <v>2270</v>
      </c>
      <c r="B15" s="2286" t="s">
        <v>2250</v>
      </c>
      <c r="C15" s="2287" t="str">
        <f>C3</f>
        <v>估价对象周边居住用地比例、居住小区规模和社区发展完善程度，综合评价居住社区成熟度一般</v>
      </c>
      <c r="D15" s="2264"/>
      <c r="E15" s="2249" t="s">
        <v>2271</v>
      </c>
      <c r="F15" s="2286" t="s">
        <v>2272</v>
      </c>
      <c r="G15" s="2288" t="str">
        <f>G3</f>
        <v>估价对象位于XX开发区，园区建设成熟度XX，产业集聚程度XX</v>
      </c>
    </row>
    <row r="16" spans="1:29" ht="38.25">
      <c r="A16" s="2250"/>
      <c r="B16" s="2289" t="s">
        <v>2252</v>
      </c>
      <c r="C16" s="2290" t="str">
        <f>C4</f>
        <v>估价对象位于XX商圈，周边商业氛围成熟，人流量大，商业繁华度好</v>
      </c>
      <c r="D16" s="2264"/>
      <c r="E16" s="2251"/>
      <c r="F16" s="2291" t="s">
        <v>2254</v>
      </c>
      <c r="G16" s="2292" t="str">
        <f>G4</f>
        <v>估价对象周边道路状况、公共交通通达情况、停车便捷程度，综合评价交通便捷度较好</v>
      </c>
    </row>
    <row r="17" spans="1:17" ht="38.25">
      <c r="A17" s="2250"/>
      <c r="B17" s="2289" t="s">
        <v>2256</v>
      </c>
      <c r="C17" s="2290" t="str">
        <f>C5</f>
        <v>估价对象位于XX商圈，周边办公楼项目较多，入驻率高，办公集聚程度较好</v>
      </c>
      <c r="D17" s="2243"/>
      <c r="E17" s="2251"/>
      <c r="F17" s="2291" t="s">
        <v>2273</v>
      </c>
      <c r="G17" s="2293"/>
    </row>
    <row r="18" spans="1:17" ht="38.25">
      <c r="A18" s="2250"/>
      <c r="B18" s="2291" t="s">
        <v>2260</v>
      </c>
      <c r="C18" s="2292" t="str">
        <f>C6</f>
        <v>估价对象周边道路状况、公共交通通达情况、停车便捷程度，综合评价交通便捷度较好</v>
      </c>
      <c r="D18" s="2243"/>
      <c r="E18" s="2251"/>
      <c r="F18" s="2291" t="s">
        <v>2263</v>
      </c>
      <c r="G18" s="2292" t="str">
        <f>G7</f>
        <v>该园区内是否有污染型企业，绿化情况，卫生条件，整体环境状况判断</v>
      </c>
    </row>
    <row r="19" spans="1:17" ht="25.5">
      <c r="A19" s="2250"/>
      <c r="B19" s="2291" t="s">
        <v>2274</v>
      </c>
      <c r="C19" s="2293"/>
      <c r="D19" s="2264"/>
      <c r="E19" s="2251"/>
      <c r="F19" s="315" t="s">
        <v>2258</v>
      </c>
      <c r="G19" s="2292" t="str">
        <f>G5</f>
        <v>估价对象所在区域公共配套设施齐备情况</v>
      </c>
    </row>
    <row r="20" spans="1:17" ht="25.5">
      <c r="A20" s="2250"/>
      <c r="B20" s="2291" t="s">
        <v>2275</v>
      </c>
      <c r="C20" s="2290" t="str">
        <f>C9</f>
        <v>区域自然环境：；人文环境；综合评价环境状况一般</v>
      </c>
      <c r="D20" s="2243"/>
      <c r="E20" s="2251"/>
      <c r="F20" s="315" t="s">
        <v>2261</v>
      </c>
      <c r="G20" s="2292" t="str">
        <f>G6</f>
        <v>估价对象所在区域基础设施水平</v>
      </c>
    </row>
    <row r="21" spans="1:17" ht="25.5">
      <c r="A21" s="2250"/>
      <c r="B21" s="315" t="s">
        <v>2258</v>
      </c>
      <c r="C21" s="2292" t="str">
        <f>C7</f>
        <v>估价对象所在区域公共配套设施齐备情况</v>
      </c>
      <c r="D21" s="2264"/>
      <c r="E21" s="2251"/>
      <c r="F21" s="2291" t="s">
        <v>2276</v>
      </c>
      <c r="G21" s="2294"/>
    </row>
    <row r="22" spans="1:17" ht="13.5" customHeight="1">
      <c r="A22" s="2250"/>
      <c r="B22" s="315" t="s">
        <v>2261</v>
      </c>
      <c r="C22" s="2292" t="str">
        <f>C8</f>
        <v>估价对象所在区域基础设施水平</v>
      </c>
      <c r="D22" s="2264"/>
      <c r="E22" s="2251"/>
      <c r="F22" s="2291" t="s">
        <v>2267</v>
      </c>
      <c r="G22" s="2293"/>
    </row>
    <row r="23" spans="1:17" s="750" customFormat="1" ht="15" thickBot="1">
      <c r="A23" s="2250"/>
      <c r="B23" s="2291" t="s">
        <v>2276</v>
      </c>
      <c r="C23" s="2294"/>
      <c r="D23" s="1614"/>
      <c r="E23" s="2252"/>
      <c r="F23" s="2295" t="s">
        <v>2277</v>
      </c>
      <c r="G23" s="2296"/>
      <c r="H23" s="2275"/>
      <c r="I23" s="2275"/>
      <c r="J23" s="2275"/>
      <c r="K23" s="2275"/>
      <c r="L23" s="2275"/>
      <c r="M23" s="2275"/>
      <c r="N23" s="2275"/>
      <c r="O23" s="2275"/>
      <c r="P23" s="2275"/>
      <c r="Q23" s="2275"/>
    </row>
    <row r="24" spans="1:17" s="750" customFormat="1" ht="15" thickBot="1">
      <c r="A24" s="2253"/>
      <c r="B24" s="2295" t="s">
        <v>2278</v>
      </c>
      <c r="C24" s="2297">
        <f>C10</f>
        <v>0</v>
      </c>
      <c r="D24" s="1614"/>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F6" sqref="F6"/>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94.12</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45450</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207</v>
      </c>
      <c r="C5" s="2298">
        <f ca="1">IF(B5=D14,结果表!H102,ROUND(B5*10000/$B$1,0))</f>
        <v>22011</v>
      </c>
      <c r="D5" s="2298" t="e">
        <f ca="1">ROUND(B5*10000/$B$2,0)</f>
        <v>#DIV/0!</v>
      </c>
      <c r="E5" s="2459"/>
      <c r="F5" s="2460"/>
      <c r="G5" s="2460"/>
      <c r="H5" s="2460"/>
      <c r="I5" s="2460"/>
      <c r="J5" s="2460"/>
      <c r="K5" s="2460"/>
    </row>
    <row r="6" spans="1:11" ht="16.5">
      <c r="A6" s="2298" t="s">
        <v>656</v>
      </c>
      <c r="B6" s="2298">
        <f ca="1">SUM(G14:G23)</f>
        <v>207</v>
      </c>
      <c r="C6" s="2298">
        <f ca="1">IF(B6=G14,结果表!H108,ROUND(B6*10000/$B$1,0))</f>
        <v>22011</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3358</v>
      </c>
      <c r="D10" s="2298" t="s">
        <v>3359</v>
      </c>
      <c r="E10" s="3134"/>
      <c r="F10" s="3138" t="s">
        <v>3360</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'数据-汇总表'!E3</f>
        <v>94.12</v>
      </c>
      <c r="C14" s="2304"/>
      <c r="D14" s="2304">
        <f ca="1">结果表!G19</f>
        <v>207</v>
      </c>
      <c r="E14" s="2304">
        <f ca="1">ROUND(D14*10000/B14,0)</f>
        <v>21993</v>
      </c>
      <c r="F14" s="2304" t="e">
        <f ca="1">ROUND(D14*10000/C14,0)</f>
        <v>#DIV/0!</v>
      </c>
      <c r="G14" s="2304">
        <f ca="1">D14</f>
        <v>207</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G20" sqref="G20"/>
    </sheetView>
  </sheetViews>
  <sheetFormatPr defaultColWidth="12.625" defaultRowHeight="21.75" customHeight="1"/>
  <cols>
    <col min="1" max="2" width="12.625" style="1561"/>
    <col min="3" max="4" width="12.625" style="1561" customWidth="1"/>
    <col min="5" max="9" width="12.625" style="1561"/>
    <col min="10" max="11" width="12.625" style="683" customWidth="1"/>
    <col min="12" max="12" width="12.625" style="683"/>
    <col min="13" max="13" width="14.125" style="683" bestFit="1" customWidth="1"/>
    <col min="14" max="26" width="12.625" style="683"/>
    <col min="27" max="35" width="12.625" style="1623"/>
    <col min="36" max="16384" width="12.625" style="1561"/>
  </cols>
  <sheetData>
    <row r="1" spans="1:12" ht="21.75" customHeight="1" thickBot="1">
      <c r="A1" s="1521" t="s">
        <v>1262</v>
      </c>
      <c r="B1" s="645"/>
      <c r="C1" s="1620" t="s">
        <v>3466</v>
      </c>
      <c r="D1" s="645"/>
      <c r="E1" s="645"/>
      <c r="F1" s="1621" t="s">
        <v>1263</v>
      </c>
      <c r="G1" s="1453" t="s">
        <v>3387</v>
      </c>
      <c r="H1" s="1621" t="str">
        <f>IF(G1="现房","——","估价对象范围")</f>
        <v>——</v>
      </c>
      <c r="I1" s="1622"/>
    </row>
    <row r="2" spans="1:12" ht="21.75" customHeight="1" thickBot="1">
      <c r="A2" s="3282" t="str">
        <f>项目基本情况!S2</f>
        <v>北京市朝阳区十里堡甲3号A座4层05F写字楼用房房地产</v>
      </c>
      <c r="B2" s="3283"/>
      <c r="C2" s="3283"/>
      <c r="D2" s="3283"/>
      <c r="E2" s="3283"/>
      <c r="F2" s="3283"/>
      <c r="G2" s="3283"/>
      <c r="H2" s="3283"/>
      <c r="I2" s="3284"/>
    </row>
    <row r="3" spans="1:12" ht="12.75">
      <c r="A3" s="3286" t="s">
        <v>1264</v>
      </c>
      <c r="B3" s="3287"/>
      <c r="C3" s="3287"/>
      <c r="D3" s="3287"/>
      <c r="E3" s="3287"/>
      <c r="F3" s="3287"/>
      <c r="G3" s="3287"/>
      <c r="H3" s="3287"/>
      <c r="I3" s="3287"/>
    </row>
    <row r="4" spans="1:12" ht="14.25">
      <c r="A4" s="1624" t="s">
        <v>1265</v>
      </c>
      <c r="B4" s="1625" t="s">
        <v>1266</v>
      </c>
      <c r="C4" s="1626" t="s">
        <v>3476</v>
      </c>
      <c r="D4" s="1626" t="s">
        <v>3398</v>
      </c>
      <c r="E4" s="3288" t="s">
        <v>1267</v>
      </c>
      <c r="F4" s="3289"/>
      <c r="G4" s="3289"/>
      <c r="H4" s="3289"/>
      <c r="I4" s="329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2" t="s">
        <v>1268</v>
      </c>
      <c r="B5" s="3249">
        <v>25</v>
      </c>
      <c r="C5" s="3265"/>
      <c r="D5" s="3285"/>
      <c r="E5" s="123" t="s">
        <v>1269</v>
      </c>
      <c r="F5" s="1627"/>
      <c r="G5" s="1627"/>
      <c r="H5" s="1627"/>
      <c r="I5" s="1281"/>
    </row>
    <row r="6" spans="1:12" ht="12.75">
      <c r="A6" s="3262"/>
      <c r="B6" s="3249"/>
      <c r="C6" s="3266"/>
      <c r="D6" s="3285"/>
      <c r="E6" s="123" t="s">
        <v>1270</v>
      </c>
      <c r="F6" s="1627"/>
      <c r="G6" s="1627"/>
      <c r="H6" s="1627"/>
      <c r="I6" s="1281"/>
    </row>
    <row r="7" spans="1:12" ht="12.75">
      <c r="A7" s="3262"/>
      <c r="B7" s="3249"/>
      <c r="C7" s="3267"/>
      <c r="D7" s="3285"/>
      <c r="E7" s="123" t="s">
        <v>1271</v>
      </c>
      <c r="F7" s="1627"/>
      <c r="G7" s="1627"/>
      <c r="H7" s="1627"/>
      <c r="I7" s="1281"/>
    </row>
    <row r="8" spans="1:12" ht="12.75">
      <c r="A8" s="3262" t="s">
        <v>1272</v>
      </c>
      <c r="B8" s="3249">
        <v>15</v>
      </c>
      <c r="C8" s="3265"/>
      <c r="D8" s="3285"/>
      <c r="E8" s="123" t="s">
        <v>1273</v>
      </c>
      <c r="F8" s="1627"/>
      <c r="G8" s="1627"/>
      <c r="H8" s="1627"/>
      <c r="I8" s="1281"/>
    </row>
    <row r="9" spans="1:12" ht="12.75">
      <c r="A9" s="3262"/>
      <c r="B9" s="3249"/>
      <c r="C9" s="3267"/>
      <c r="D9" s="3285"/>
      <c r="E9" s="123" t="s">
        <v>1274</v>
      </c>
      <c r="F9" s="1627"/>
      <c r="G9" s="1627"/>
      <c r="H9" s="1627"/>
      <c r="I9" s="1281"/>
    </row>
    <row r="10" spans="1:12" ht="12.75">
      <c r="A10" s="3262" t="s">
        <v>1275</v>
      </c>
      <c r="B10" s="3249">
        <v>15</v>
      </c>
      <c r="C10" s="3265"/>
      <c r="D10" s="3285"/>
      <c r="E10" s="123" t="s">
        <v>1276</v>
      </c>
      <c r="F10" s="1627"/>
      <c r="G10" s="1627"/>
      <c r="H10" s="1627"/>
      <c r="I10" s="1281"/>
    </row>
    <row r="11" spans="1:12" ht="12.75">
      <c r="A11" s="3262"/>
      <c r="B11" s="3249"/>
      <c r="C11" s="3267"/>
      <c r="D11" s="3285"/>
      <c r="E11" s="123" t="s">
        <v>1277</v>
      </c>
      <c r="F11" s="1627"/>
      <c r="G11" s="1627"/>
      <c r="H11" s="1627"/>
      <c r="I11" s="1281"/>
    </row>
    <row r="12" spans="1:12" ht="12.75">
      <c r="A12" s="3262" t="s">
        <v>1278</v>
      </c>
      <c r="B12" s="3249">
        <v>15</v>
      </c>
      <c r="C12" s="3265"/>
      <c r="D12" s="3285"/>
      <c r="E12" s="123" t="s">
        <v>1279</v>
      </c>
      <c r="F12" s="1627"/>
      <c r="G12" s="1627"/>
      <c r="H12" s="1627"/>
      <c r="I12" s="1281"/>
    </row>
    <row r="13" spans="1:12" ht="12.75">
      <c r="A13" s="3262"/>
      <c r="B13" s="3249"/>
      <c r="C13" s="3267"/>
      <c r="D13" s="3285"/>
      <c r="E13" s="123" t="s">
        <v>1280</v>
      </c>
      <c r="F13" s="1627"/>
      <c r="G13" s="1627"/>
      <c r="H13" s="1627"/>
      <c r="I13" s="1281"/>
    </row>
    <row r="14" spans="1:12" ht="12.75">
      <c r="A14" s="3262" t="s">
        <v>1281</v>
      </c>
      <c r="B14" s="3249">
        <v>30</v>
      </c>
      <c r="C14" s="3265">
        <v>7</v>
      </c>
      <c r="D14" s="3285">
        <v>3</v>
      </c>
      <c r="E14" s="123" t="s">
        <v>1282</v>
      </c>
      <c r="F14" s="1627"/>
      <c r="G14" s="1627"/>
      <c r="H14" s="1627"/>
      <c r="I14" s="1281"/>
    </row>
    <row r="15" spans="1:12" ht="12.75">
      <c r="A15" s="3262"/>
      <c r="B15" s="3249"/>
      <c r="C15" s="3266"/>
      <c r="D15" s="3285"/>
      <c r="E15" s="123" t="s">
        <v>1283</v>
      </c>
      <c r="F15" s="1627"/>
      <c r="G15" s="1627"/>
      <c r="H15" s="1627"/>
      <c r="I15" s="1281"/>
    </row>
    <row r="16" spans="1:12" ht="12.75">
      <c r="A16" s="3262"/>
      <c r="B16" s="3249"/>
      <c r="C16" s="3267"/>
      <c r="D16" s="3285"/>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72" t="s">
        <v>2130</v>
      </c>
      <c r="F18" s="3273"/>
      <c r="G18" s="3273"/>
      <c r="H18" s="3273"/>
      <c r="I18" s="3273"/>
      <c r="K18" s="294" t="s">
        <v>1289</v>
      </c>
      <c r="L18" s="294">
        <f>IF(C1="",'数据-汇总表'!E3,SUMIF(项目类型,C1,'数据-汇总表'!E17:E26)+SUMIF(项目类型,C1,'数据-汇总表'!I17:I26))</f>
        <v>94.12</v>
      </c>
      <c r="M18" s="294">
        <f>IF(C1="",'数据-汇总表'!E3,SUMIF(项目类型,C1,'数据-汇总表'!E17:E26))</f>
        <v>94.12</v>
      </c>
    </row>
    <row r="19" spans="1:36" ht="15">
      <c r="A19" s="1630" t="s">
        <v>1290</v>
      </c>
      <c r="B19" s="1631" t="s">
        <v>1291</v>
      </c>
      <c r="C19" s="126">
        <f ca="1">SUMIF(INDIRECT("'"&amp;C4&amp;"'"&amp;"!A:A"),结果表!B19,INDIRECT("'"&amp;C4&amp;"'"&amp;"!B:B"))</f>
        <v>241.07900000000001</v>
      </c>
      <c r="D19" s="127">
        <f ca="1">SUMIF(INDIRECT("'"&amp;D4&amp;"'"&amp;"!A:A"),结果表!B19,INDIRECT("'"&amp;D4&amp;"'"&amp;"!B:B"))</f>
        <v>128.05099999999999</v>
      </c>
      <c r="E19" s="1630" t="s">
        <v>1292</v>
      </c>
      <c r="F19" s="1631" t="s">
        <v>1291</v>
      </c>
      <c r="G19" s="128">
        <f ca="1">ROUND(C19*$C$18+D19*$D$18,0)</f>
        <v>207</v>
      </c>
      <c r="H19" s="1632" t="s">
        <v>1293</v>
      </c>
      <c r="I19" s="121"/>
      <c r="K19" s="294" t="s">
        <v>1294</v>
      </c>
      <c r="L19" s="294">
        <f>IF(C1="",'数据-汇总表'!D3,SUMIF(项目类型,C1,'数据-汇总表'!D17:D26)+SUMIF(项目类型,C1,'数据-汇总表'!H17:H27))</f>
        <v>22.76</v>
      </c>
      <c r="M19" s="294">
        <f>IF(C1="",'数据-汇总表'!D3,SUMIF(项目类型,C1,'数据-汇总表'!D17:D26))</f>
        <v>22.76</v>
      </c>
    </row>
    <row r="20" spans="1:36" ht="15">
      <c r="A20" s="1633"/>
      <c r="B20" s="43" t="s">
        <v>1295</v>
      </c>
      <c r="C20" s="129">
        <f ca="1">SUMIF(INDIRECT("'"&amp;C4&amp;"'"&amp;"!A:A"),结果表!B20,INDIRECT("'"&amp;C4&amp;"'"&amp;"!B:B"))</f>
        <v>25614</v>
      </c>
      <c r="D20" s="130">
        <f ca="1">SUMIF(INDIRECT("'"&amp;D4&amp;"'"&amp;"!A:A"),结果表!B20,INDIRECT("'"&amp;D4&amp;"'"&amp;"!B:B"))</f>
        <v>13605</v>
      </c>
      <c r="E20" s="1633"/>
      <c r="F20" s="43" t="s">
        <v>1295</v>
      </c>
      <c r="G20" s="131">
        <f ca="1">ROUND(C20*$C$18+D20*$D$18,0)</f>
        <v>22011</v>
      </c>
      <c r="H20" s="759" t="s">
        <v>1296</v>
      </c>
      <c r="I20" s="121"/>
      <c r="J20" s="683">
        <v>23553</v>
      </c>
    </row>
    <row r="21" spans="1:36" ht="15" customHeight="1" thickBot="1">
      <c r="A21" s="449"/>
      <c r="B21" s="93" t="s">
        <v>1297</v>
      </c>
      <c r="C21" s="677">
        <f ca="1">ROUND(C19*10000/L19,0)</f>
        <v>105922</v>
      </c>
      <c r="D21" s="678">
        <f ca="1">ROUND(D19*10000/L19,0)</f>
        <v>56261</v>
      </c>
      <c r="E21" s="449"/>
      <c r="F21" s="93" t="s">
        <v>1297</v>
      </c>
      <c r="G21" s="132">
        <f ca="1">ROUND(G19*10000/L19,0)</f>
        <v>90949</v>
      </c>
      <c r="H21" s="1634" t="s">
        <v>1296</v>
      </c>
      <c r="I21" s="121"/>
    </row>
    <row r="22" spans="1:36" ht="15" thickBot="1">
      <c r="A22" s="1564" t="s">
        <v>1298</v>
      </c>
      <c r="B22" s="1635"/>
      <c r="C22" s="1636"/>
      <c r="D22" s="679">
        <f ca="1">IF(C19&lt;D19,D19/C19-1,C19/D19-1)</f>
        <v>0.88267955736386305</v>
      </c>
      <c r="E22" s="121"/>
      <c r="F22" s="121"/>
      <c r="G22" s="121">
        <f ca="1">ROUND(G20*'数据-汇总表'!E3,0)</f>
        <v>2071675</v>
      </c>
      <c r="H22" s="121"/>
      <c r="I22" s="121"/>
    </row>
    <row r="23" spans="1:36" ht="13.5" thickBot="1">
      <c r="A23" s="645"/>
      <c r="B23" s="645"/>
      <c r="C23" s="645"/>
      <c r="D23" s="645"/>
      <c r="E23" s="121"/>
      <c r="F23" s="121"/>
      <c r="G23" s="121"/>
      <c r="H23" s="121"/>
      <c r="I23" s="121"/>
      <c r="J23" s="3497" t="s">
        <v>3491</v>
      </c>
    </row>
    <row r="24" spans="1:36" ht="14.25">
      <c r="A24" s="3256" t="s">
        <v>1299</v>
      </c>
      <c r="B24" s="1631" t="s">
        <v>1291</v>
      </c>
      <c r="C24" s="128">
        <f>IF(B30=0,0,D30)</f>
        <v>0</v>
      </c>
      <c r="D24" s="1637"/>
      <c r="E24" s="121"/>
      <c r="F24" s="121"/>
      <c r="G24" s="121"/>
      <c r="H24" s="121"/>
      <c r="I24" s="121"/>
    </row>
    <row r="25" spans="1:36" ht="14.25">
      <c r="A25" s="325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22011</v>
      </c>
      <c r="D32" s="1641" t="s">
        <v>3400</v>
      </c>
      <c r="E32" s="121"/>
      <c r="F32" s="121"/>
      <c r="G32" s="121"/>
      <c r="H32" s="121"/>
      <c r="I32" s="121"/>
    </row>
    <row r="33" spans="1:15" ht="15">
      <c r="A33" s="739" t="s">
        <v>1306</v>
      </c>
      <c r="B33" s="123"/>
      <c r="C33" s="1642" t="s">
        <v>3474</v>
      </c>
      <c r="D33" s="1643" t="s">
        <v>3464</v>
      </c>
      <c r="E33" s="1644" t="s">
        <v>1307</v>
      </c>
      <c r="F33" s="1645" t="str">
        <f>IF(D32="楼面单价","取值（单价）","取值（总价）")</f>
        <v>取值（单价）</v>
      </c>
      <c r="G33" s="121"/>
      <c r="H33" s="121"/>
      <c r="I33" s="121"/>
    </row>
    <row r="34" spans="1:15" ht="15">
      <c r="A34" s="1646"/>
      <c r="B34" s="1647" t="s">
        <v>1308</v>
      </c>
      <c r="C34" s="140">
        <f ca="1">IF(C33="自定义",F34,C32-C35)</f>
        <v>18115</v>
      </c>
      <c r="D34" s="807">
        <f ca="1">IF(C33="自定义",ROUND(C34/C32,3),IF(C33="收益比率",SUMIF(INDIRECT("'"&amp;D33&amp;"'"&amp;"!b:b"),"土地收益比率",INDIRECT("'"&amp;D33&amp;"'"&amp;"!c:c")),SUMIF(INDIRECT("'"&amp;D33&amp;"'"&amp;"!b:b"),"土地成本比率",INDIRECT("'"&amp;D33&amp;"'"&amp;"!c:c"))))</f>
        <v>0.82299999999999995</v>
      </c>
      <c r="E34" s="1648" t="s">
        <v>1309</v>
      </c>
      <c r="F34" s="1243"/>
      <c r="G34" s="121"/>
      <c r="H34" s="121"/>
      <c r="I34" s="121"/>
    </row>
    <row r="35" spans="1:15" ht="15.75" thickBot="1">
      <c r="A35" s="1649"/>
      <c r="B35" s="1650" t="s">
        <v>1310</v>
      </c>
      <c r="C35" s="1090">
        <f ca="1">IF(C33="自定义",F35,ROUND(C32*D35,0))</f>
        <v>3896</v>
      </c>
      <c r="D35" s="1091">
        <f ca="1">IF(C33="自定义",ROUND(C35/C32,3),IF(C33="收益比率",SUMIF(INDIRECT("'"&amp;D33&amp;"'"&amp;"!b:b"),"建筑物收益比率",INDIRECT("'"&amp;D33&amp;"'"&amp;"!c:c")),SUMIF(INDIRECT("'"&amp;D33&amp;"'"&amp;"!b:b"),"建筑物成本比率",INDIRECT("'"&amp;D33&amp;"'"&amp;"!c:c"))))</f>
        <v>0.17699999999999999</v>
      </c>
      <c r="E35" s="1651" t="s">
        <v>1311</v>
      </c>
      <c r="F35" s="146"/>
      <c r="G35" s="121"/>
      <c r="H35" s="121"/>
      <c r="I35" s="121"/>
    </row>
    <row r="36" spans="1:15" ht="15.75" thickBot="1">
      <c r="A36" s="3276" t="s">
        <v>1312</v>
      </c>
      <c r="B36" s="1652" t="s">
        <v>1313</v>
      </c>
      <c r="C36" s="137"/>
      <c r="D36" s="1653"/>
      <c r="E36" s="1567"/>
      <c r="F36" s="1654"/>
      <c r="G36" s="121"/>
      <c r="H36" s="121"/>
      <c r="I36" s="121"/>
    </row>
    <row r="37" spans="1:15" ht="15.75" thickBot="1">
      <c r="A37" s="3277"/>
      <c r="B37" s="1555" t="s">
        <v>1314</v>
      </c>
      <c r="C37" s="139"/>
      <c r="D37" s="1071"/>
      <c r="E37" s="1071"/>
      <c r="F37" s="1654"/>
      <c r="G37" s="121"/>
      <c r="H37" s="121"/>
      <c r="I37" s="121"/>
    </row>
    <row r="38" spans="1:15" ht="15.75" thickBot="1">
      <c r="A38" s="3278"/>
      <c r="B38" s="1655" t="s">
        <v>1315</v>
      </c>
      <c r="C38" s="640"/>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3" t="s">
        <v>1326</v>
      </c>
      <c r="B45" s="3254"/>
      <c r="C45" s="3255"/>
      <c r="D45" s="147">
        <f ca="1">ROUND(H101*F45,0)</f>
        <v>207</v>
      </c>
      <c r="E45" s="148" t="s">
        <v>1327</v>
      </c>
      <c r="F45" s="149">
        <v>1</v>
      </c>
      <c r="G45" s="150" t="s">
        <v>1328</v>
      </c>
      <c r="H45" s="121"/>
      <c r="I45" s="121"/>
      <c r="J45" s="3331" t="s">
        <v>1329</v>
      </c>
      <c r="K45" s="3331"/>
      <c r="L45" s="3331"/>
      <c r="M45" s="3331"/>
      <c r="N45" s="3331"/>
      <c r="O45" s="3331"/>
    </row>
    <row r="46" spans="1:15" ht="14.25" customHeight="1">
      <c r="A46" s="3250" t="s">
        <v>1330</v>
      </c>
      <c r="B46" s="3251"/>
      <c r="C46" s="3251"/>
      <c r="D46" s="3251"/>
      <c r="E46" s="3251"/>
      <c r="F46" s="3251"/>
      <c r="G46" s="3252"/>
      <c r="H46" s="1668"/>
      <c r="I46" s="151"/>
      <c r="J46" s="2308">
        <v>1</v>
      </c>
      <c r="K46" s="3312" t="s">
        <v>1331</v>
      </c>
      <c r="L46" s="3312"/>
      <c r="M46" s="3332"/>
      <c r="N46" s="3332"/>
      <c r="O46" s="3332"/>
    </row>
    <row r="47" spans="1:15" ht="12" customHeight="1">
      <c r="A47" s="152" t="s">
        <v>1332</v>
      </c>
      <c r="B47" s="153"/>
      <c r="C47" s="154"/>
      <c r="D47" s="1024" t="s">
        <v>1333</v>
      </c>
      <c r="E47" s="294" t="s">
        <v>1334</v>
      </c>
      <c r="F47" s="155" t="s">
        <v>1335</v>
      </c>
      <c r="G47" s="2331" t="s">
        <v>1336</v>
      </c>
      <c r="H47" s="2332"/>
      <c r="I47" s="151"/>
      <c r="J47" s="2308">
        <v>2</v>
      </c>
      <c r="K47" s="3312" t="s">
        <v>1337</v>
      </c>
      <c r="L47" s="3312"/>
      <c r="M47" s="3333">
        <f>'数据-取费表'!B2</f>
        <v>45450</v>
      </c>
      <c r="N47" s="3333"/>
      <c r="O47" s="3333"/>
    </row>
    <row r="48" spans="1:15" ht="25.5">
      <c r="A48" s="3281" t="s">
        <v>1338</v>
      </c>
      <c r="B48" s="3264"/>
      <c r="C48" s="3264"/>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12" t="s">
        <v>1340</v>
      </c>
      <c r="L48" s="3312"/>
      <c r="M48" s="3334">
        <f ca="1">H101</f>
        <v>207</v>
      </c>
      <c r="N48" s="3334"/>
      <c r="O48" s="3334"/>
    </row>
    <row r="49" spans="1:35" ht="25.5" customHeight="1">
      <c r="A49" s="2152" t="s">
        <v>1341</v>
      </c>
      <c r="B49" s="3248" t="s">
        <v>1342</v>
      </c>
      <c r="C49" s="3248"/>
      <c r="D49" s="1478">
        <v>0</v>
      </c>
      <c r="E49" s="316" t="s">
        <v>1343</v>
      </c>
      <c r="F49" s="2231" t="s">
        <v>28</v>
      </c>
      <c r="G49" s="3318"/>
      <c r="H49" s="2134" t="s">
        <v>2133</v>
      </c>
      <c r="I49" s="2135"/>
      <c r="J49" s="2308">
        <v>4</v>
      </c>
      <c r="K49" s="3312" t="str">
        <f>IF(项目基本情况!E8="房地产抵押价值","房地产抵押价值","抵押担保权已注销时的房地产抵押价值")</f>
        <v>房地产抵押价值</v>
      </c>
      <c r="L49" s="3312"/>
      <c r="M49" s="3334">
        <f ca="1">IF(项目基本情况!E8="房地产抵押价值",H107,H109)</f>
        <v>207</v>
      </c>
      <c r="N49" s="3334"/>
      <c r="O49" s="3334"/>
    </row>
    <row r="50" spans="1:35" ht="25.5" customHeight="1">
      <c r="A50" s="2336"/>
      <c r="B50" s="3248" t="s">
        <v>1344</v>
      </c>
      <c r="C50" s="3248"/>
      <c r="D50" s="2189"/>
      <c r="E50" s="323"/>
      <c r="F50" s="2231"/>
      <c r="G50" s="3319"/>
      <c r="H50" s="2136" t="s">
        <v>2134</v>
      </c>
      <c r="I50" s="2135"/>
      <c r="J50" s="3331" t="s">
        <v>1345</v>
      </c>
      <c r="K50" s="3331"/>
      <c r="L50" s="3331"/>
      <c r="M50" s="3331"/>
      <c r="N50" s="3331"/>
      <c r="O50" s="3331"/>
    </row>
    <row r="51" spans="1:35" ht="20.45" customHeight="1">
      <c r="A51" s="2337"/>
      <c r="B51" s="3248" t="s">
        <v>1346</v>
      </c>
      <c r="C51" s="3248"/>
      <c r="D51" s="1024"/>
      <c r="E51" s="319"/>
      <c r="F51" s="2231"/>
      <c r="G51" s="3320"/>
      <c r="H51" s="2136" t="s">
        <v>2135</v>
      </c>
      <c r="I51" s="2135"/>
      <c r="J51" s="2309" t="s">
        <v>1347</v>
      </c>
      <c r="K51" s="3312" t="s">
        <v>1348</v>
      </c>
      <c r="L51" s="3312"/>
      <c r="M51" s="2309" t="s">
        <v>1349</v>
      </c>
      <c r="N51" s="2309" t="s">
        <v>1350</v>
      </c>
      <c r="O51" s="2309" t="s">
        <v>1351</v>
      </c>
    </row>
    <row r="52" spans="1:35" ht="24" customHeight="1">
      <c r="A52" s="2153" t="s">
        <v>1352</v>
      </c>
      <c r="B52" s="3248" t="s">
        <v>1353</v>
      </c>
      <c r="C52" s="3248"/>
      <c r="D52" s="1024">
        <f ca="1">ROUND(D45*'数据-取费表'!B41/(1+'数据-取费表'!C42),0)</f>
        <v>11</v>
      </c>
      <c r="E52" s="1256" t="s">
        <v>1354</v>
      </c>
      <c r="F52" s="2338">
        <f>'数据-取费表'!B41</f>
        <v>5.6000000000000001E-2</v>
      </c>
      <c r="G52" s="2339"/>
      <c r="H52" s="2329"/>
      <c r="I52" s="1669"/>
      <c r="J52" s="2308">
        <v>1</v>
      </c>
      <c r="K52" s="3313" t="s">
        <v>1355</v>
      </c>
      <c r="L52" s="3313"/>
      <c r="M52" s="2310" t="b">
        <f>D48</f>
        <v>0</v>
      </c>
      <c r="N52" s="2308" t="str">
        <f>E48</f>
        <v>销售额×税（费）率</v>
      </c>
      <c r="O52" s="2311">
        <f>F48</f>
        <v>5.6000000000000001E-2</v>
      </c>
    </row>
    <row r="53" spans="1:35" ht="12" customHeight="1">
      <c r="A53" s="2153" t="s">
        <v>1356</v>
      </c>
      <c r="B53" s="3274" t="s">
        <v>2289</v>
      </c>
      <c r="C53" s="3275"/>
      <c r="D53" s="1024">
        <f ca="1">ROUND(D45*'数据-取费表'!B41/(1+'数据-取费表'!C42),0)</f>
        <v>11</v>
      </c>
      <c r="E53" s="1256" t="s">
        <v>1354</v>
      </c>
      <c r="F53" s="2338">
        <f>'数据-取费表'!B41</f>
        <v>5.6000000000000001E-2</v>
      </c>
      <c r="G53" s="2339"/>
      <c r="H53" s="2329"/>
      <c r="I53" s="1669"/>
      <c r="J53" s="2308">
        <v>2</v>
      </c>
      <c r="K53" s="3313" t="s">
        <v>1357</v>
      </c>
      <c r="L53" s="3313"/>
      <c r="M53" s="2310">
        <f t="shared" ref="M53:O54" ca="1" si="0">D55</f>
        <v>0</v>
      </c>
      <c r="N53" s="2308" t="str">
        <f t="shared" si="0"/>
        <v>销售额×税（费）率</v>
      </c>
      <c r="O53" s="2311" t="str">
        <f t="shared" si="0"/>
        <v>免征</v>
      </c>
    </row>
    <row r="54" spans="1:35" ht="12" customHeight="1">
      <c r="A54" s="2153" t="s">
        <v>1358</v>
      </c>
      <c r="B54" s="3274" t="s">
        <v>2290</v>
      </c>
      <c r="C54" s="3275"/>
      <c r="D54" s="1024">
        <f ca="1">C68</f>
        <v>11</v>
      </c>
      <c r="E54" s="319" t="s">
        <v>1359</v>
      </c>
      <c r="F54" s="2338">
        <f>'数据-取费表'!B41</f>
        <v>5.6000000000000001E-2</v>
      </c>
      <c r="G54" s="2339"/>
      <c r="H54" s="2340"/>
      <c r="I54" s="1669"/>
      <c r="J54" s="2308">
        <v>3</v>
      </c>
      <c r="K54" s="3313" t="s">
        <v>1360</v>
      </c>
      <c r="L54" s="3313"/>
      <c r="M54" s="2310">
        <f t="shared" ca="1" si="0"/>
        <v>117</v>
      </c>
      <c r="N54" s="2308" t="str">
        <f t="shared" si="0"/>
        <v>增值额×税（费）率</v>
      </c>
      <c r="O54" s="2312" t="str">
        <f t="shared" si="0"/>
        <v>免征</v>
      </c>
    </row>
    <row r="55" spans="1:35" ht="24" customHeight="1">
      <c r="A55" s="3263" t="s">
        <v>1361</v>
      </c>
      <c r="B55" s="3264"/>
      <c r="C55" s="3264"/>
      <c r="D55" s="12">
        <f ca="1">IF(H55="个人住宅",0,ROUND(D45*I55,0))</f>
        <v>0</v>
      </c>
      <c r="E55" s="1256" t="s">
        <v>1362</v>
      </c>
      <c r="F55" s="2338" t="str">
        <f>IF(H55="正常",I55,"免征")</f>
        <v>免征</v>
      </c>
      <c r="G55" s="2339"/>
      <c r="H55" s="2335"/>
      <c r="I55" s="157">
        <f>'数据-取费表'!B49</f>
        <v>5.0000000000000001E-4</v>
      </c>
      <c r="J55" s="2308">
        <f>IF(H59="非个人房产","",4)</f>
        <v>4</v>
      </c>
      <c r="K55" s="3313" t="str">
        <f>IF(H59="非个人房产","——","个人所得税")</f>
        <v>个人所得税</v>
      </c>
      <c r="L55" s="3313"/>
      <c r="M55" s="2313">
        <f ca="1">D59</f>
        <v>2</v>
      </c>
      <c r="N55" s="1883" t="str">
        <f>E59</f>
        <v>差额计税</v>
      </c>
      <c r="O55" s="2314">
        <f>F59</f>
        <v>0.01</v>
      </c>
    </row>
    <row r="56" spans="1:35" ht="24.75">
      <c r="A56" s="3263" t="s">
        <v>1363</v>
      </c>
      <c r="B56" s="3264"/>
      <c r="C56" s="3264"/>
      <c r="D56" s="12">
        <f ca="1">IF(H56="个人住宅",D57,D58)</f>
        <v>117</v>
      </c>
      <c r="E56" s="1256" t="s">
        <v>1364</v>
      </c>
      <c r="F56" s="2338" t="str">
        <f>IF(H56="正常",F58,"免征")</f>
        <v>免征</v>
      </c>
      <c r="G56" s="2341" t="s">
        <v>1365</v>
      </c>
      <c r="H56" s="2342"/>
      <c r="I56" s="1670"/>
      <c r="J56" s="2308" t="str">
        <f>IF(项目基本情况!K6="上海银行",IF(J55="",4,J55+1),"")</f>
        <v/>
      </c>
      <c r="K56" s="3336" t="str">
        <f>IF(项目基本情况!K6="上海银行","其他处置费用","")</f>
        <v/>
      </c>
      <c r="L56" s="3337"/>
      <c r="M56" s="2310" t="str">
        <f>IF(项目基本情况!K6="上海银行",M69,"")</f>
        <v/>
      </c>
      <c r="N56" s="3336" t="str">
        <f>IF(项目基本情况!K6="上海银行","包含处置中涉及的律师、诉讼、拍卖、评估等费用","")</f>
        <v/>
      </c>
      <c r="O56" s="3339"/>
    </row>
    <row r="57" spans="1:35" ht="12.75">
      <c r="A57" s="2153" t="s">
        <v>1341</v>
      </c>
      <c r="B57" s="3274" t="s">
        <v>1366</v>
      </c>
      <c r="C57" s="3275"/>
      <c r="D57" s="1478">
        <v>0</v>
      </c>
      <c r="E57" s="316" t="s">
        <v>1343</v>
      </c>
      <c r="F57" s="294"/>
      <c r="G57" s="2339"/>
      <c r="H57" s="2343"/>
      <c r="I57" s="1670"/>
      <c r="J57" s="3313">
        <f>IF(AND(J55="",J56=""),4,IF(项目基本情况!K6="上海银行",结果表!J56+1,结果表!J55+1))</f>
        <v>5</v>
      </c>
      <c r="K57" s="3313" t="s">
        <v>1367</v>
      </c>
      <c r="L57" s="2315" t="s">
        <v>1368</v>
      </c>
      <c r="M57" s="2316"/>
      <c r="N57" s="2317">
        <f ca="1">SUMIF(M52:M56,"&lt;9e307")</f>
        <v>119</v>
      </c>
      <c r="O57" s="2318"/>
      <c r="P57" s="2462">
        <f ca="1">N57/M49</f>
        <v>0.5748792270531401</v>
      </c>
    </row>
    <row r="58" spans="1:35" ht="24.75">
      <c r="A58" s="2153" t="s">
        <v>1352</v>
      </c>
      <c r="B58" s="3274" t="s">
        <v>1369</v>
      </c>
      <c r="C58" s="3248"/>
      <c r="D58" s="12">
        <f ca="1">IF(H58="转让取得",C81,C97)</f>
        <v>117</v>
      </c>
      <c r="E58" s="1256" t="s">
        <v>1364</v>
      </c>
      <c r="F58" s="294" t="s">
        <v>28</v>
      </c>
      <c r="G58" s="2339"/>
      <c r="H58" s="2342"/>
      <c r="I58" s="1670"/>
      <c r="J58" s="3313"/>
      <c r="K58" s="3313"/>
      <c r="L58" s="2315" t="s">
        <v>1370</v>
      </c>
      <c r="M58" s="2319"/>
      <c r="N58" s="2320" t="str">
        <f ca="1">NUMBERSTRING(INT(N57*10000),2)&amp;"元整"</f>
        <v>壹佰壹拾玖万元整</v>
      </c>
      <c r="O58" s="2321"/>
    </row>
    <row r="59" spans="1:35" ht="24.75" thickBot="1">
      <c r="A59" s="3316" t="s">
        <v>1371</v>
      </c>
      <c r="B59" s="3317"/>
      <c r="C59" s="3317"/>
      <c r="D59" s="2344">
        <f ca="1">IF(H59="非个人房产","——",IF(H59="个人住宅（满五唯一有凭证）",0,IF(H59="个人其他（无凭证）",ROUND(D45*F59,0),ROUND(C67*F59,0))))</f>
        <v>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2136</v>
      </c>
      <c r="J59" s="3314">
        <f>J57+1</f>
        <v>6</v>
      </c>
      <c r="K59" s="3313" t="s">
        <v>1372</v>
      </c>
      <c r="L59" s="2308" t="s">
        <v>1368</v>
      </c>
      <c r="M59" s="2322"/>
      <c r="N59" s="2323">
        <f ca="1">M49-N57</f>
        <v>88</v>
      </c>
      <c r="O59" s="2324"/>
    </row>
    <row r="60" spans="1:35" ht="12" customHeight="1">
      <c r="A60" s="1671"/>
      <c r="B60" s="645"/>
      <c r="C60" s="645"/>
      <c r="D60" s="645"/>
      <c r="E60" s="1466"/>
      <c r="F60" s="1670"/>
      <c r="G60" s="1670"/>
      <c r="H60" s="151"/>
      <c r="I60" s="121"/>
      <c r="J60" s="3315"/>
      <c r="K60" s="3313"/>
      <c r="L60" s="2315" t="s">
        <v>1370</v>
      </c>
      <c r="M60" s="2319"/>
      <c r="N60" s="2320" t="str">
        <f ca="1">NUMBERSTRING(INT(N59*10000),2)&amp;"元整"</f>
        <v>捌拾捌万元整</v>
      </c>
      <c r="O60" s="2321"/>
    </row>
    <row r="61" spans="1:35" ht="13.5" thickBot="1">
      <c r="A61" s="3261" t="s">
        <v>1373</v>
      </c>
      <c r="B61" s="3261"/>
      <c r="C61" s="3261"/>
      <c r="D61" s="3261"/>
      <c r="E61" s="3261"/>
      <c r="F61" s="1670"/>
      <c r="G61" s="1670"/>
      <c r="H61" s="151"/>
      <c r="I61" s="121"/>
      <c r="J61" s="2308">
        <f>J59+1</f>
        <v>7</v>
      </c>
      <c r="K61" s="3313" t="s">
        <v>1374</v>
      </c>
      <c r="L61" s="3313"/>
      <c r="M61" s="2325"/>
      <c r="N61" s="2326">
        <f ca="1">ROUND(N59*10000/'数据-汇总表'!E3,0)</f>
        <v>9350</v>
      </c>
      <c r="O61" s="2327"/>
    </row>
    <row r="62" spans="1:35" ht="12.75">
      <c r="A62" s="3279" t="s">
        <v>1375</v>
      </c>
      <c r="B62" s="3280"/>
      <c r="C62" s="1865"/>
      <c r="D62" s="1865" t="s">
        <v>1376</v>
      </c>
      <c r="E62" s="158" t="s">
        <v>1377</v>
      </c>
      <c r="F62" s="1670"/>
      <c r="G62" s="1670"/>
      <c r="H62" s="151"/>
      <c r="I62" s="121"/>
    </row>
    <row r="63" spans="1:35" ht="12.75">
      <c r="A63" s="165" t="s">
        <v>330</v>
      </c>
      <c r="B63" s="159" t="s">
        <v>1378</v>
      </c>
      <c r="C63" s="2348">
        <f ca="1">ROUND((C64+C65)/(1+'数据-取费表'!C42),0)</f>
        <v>197</v>
      </c>
      <c r="D63" s="159"/>
      <c r="E63" s="160"/>
      <c r="F63" s="1670"/>
      <c r="G63" s="1670"/>
      <c r="H63" s="151"/>
      <c r="I63" s="121"/>
      <c r="J63" s="3338" t="s">
        <v>1379</v>
      </c>
      <c r="K63" s="1245" t="s">
        <v>1380</v>
      </c>
      <c r="L63" s="1245">
        <f ca="1">IF(M49&gt;10000,M49*0.5%,IF(AND(M49&gt;1000,M49&lt;=10000),M49*1%,IF(AND(M49&gt;100,M49&lt;=1000),M49*3%,IF(AND(M49&gt;10,M49&lt;=100),M49*5%,M49*8%))))</f>
        <v>6.21</v>
      </c>
      <c r="M63" s="294">
        <f ca="1">ROUND(L63,1)</f>
        <v>6.2</v>
      </c>
      <c r="N63" s="2328"/>
      <c r="Z63" s="1623"/>
      <c r="AI63" s="1561"/>
    </row>
    <row r="64" spans="1:35" ht="14.25" customHeight="1">
      <c r="A64" s="161" t="s">
        <v>325</v>
      </c>
      <c r="B64" s="162" t="s">
        <v>1381</v>
      </c>
      <c r="C64" s="2349">
        <f ca="1">D45</f>
        <v>207</v>
      </c>
      <c r="D64" s="162" t="s">
        <v>26</v>
      </c>
      <c r="E64" s="164"/>
      <c r="F64" s="1670"/>
      <c r="G64" s="1670"/>
      <c r="H64" s="151"/>
      <c r="I64" s="121"/>
      <c r="J64" s="3338"/>
      <c r="K64" s="1245" t="s">
        <v>1382</v>
      </c>
      <c r="L64" s="1245">
        <f ca="1">IF(M49&gt;2000,M49*0.5%,IF(AND(M49&gt;1000,M49&lt;=2000),M49*0.6%,IF(AND(M49&gt;500,M49&lt;=1000),M49*0.7%,IF(AND(M49&gt;200,M49&lt;=500),M49*0.8%,IF(AND(M49&gt;100,M49&lt;=200),M49*0.9%,IF(AND(M49&gt;50,M49&lt;=100),M49*1%,IF(AND(M49&gt;20,M49&lt;=50),M49*1.5%,IF(AND(M49&gt;10,M49&lt;=20),M49*2%,IF(AND(M49&gt;1,M49&lt;=10),M49*2.5%)))))))))</f>
        <v>1.6560000000000001</v>
      </c>
      <c r="M64" s="294">
        <f t="shared" ref="M64:M65" ca="1" si="1">ROUND(L64,1)</f>
        <v>1.7</v>
      </c>
      <c r="N64" s="2329" t="s">
        <v>1383</v>
      </c>
      <c r="Z64" s="1623"/>
      <c r="AI64" s="1561"/>
    </row>
    <row r="65" spans="1:35" ht="14.25" customHeight="1">
      <c r="A65" s="161" t="s">
        <v>326</v>
      </c>
      <c r="B65" s="162" t="s">
        <v>1384</v>
      </c>
      <c r="C65" s="2350"/>
      <c r="D65" s="162"/>
      <c r="E65" s="164"/>
      <c r="F65" s="1670"/>
      <c r="G65" s="1670"/>
      <c r="H65" s="151"/>
      <c r="I65" s="121"/>
      <c r="J65" s="3338"/>
      <c r="K65" s="1245" t="s">
        <v>1385</v>
      </c>
      <c r="L65" s="1245">
        <f ca="1">IF(M49&gt;1000,M49*0.1%,IF(AND(M49&gt;500,M49&lt;=1000),M49*0.5%,IF(AND(M49&gt;50,M49&lt;=500),M49*1%,IF(AND(M49&gt;1,M49&lt;=50),M49*1.5%))))</f>
        <v>2.0699999999999998</v>
      </c>
      <c r="M65" s="294">
        <f t="shared" ca="1" si="1"/>
        <v>2.1</v>
      </c>
      <c r="N65" s="2329" t="s">
        <v>1383</v>
      </c>
      <c r="Z65" s="1623"/>
      <c r="AI65" s="1561"/>
    </row>
    <row r="66" spans="1:35" ht="14.25" customHeight="1">
      <c r="A66" s="165" t="s">
        <v>327</v>
      </c>
      <c r="B66" s="166" t="s">
        <v>1386</v>
      </c>
      <c r="C66" s="2351"/>
      <c r="D66" s="166" t="s">
        <v>26</v>
      </c>
      <c r="E66" s="1251" t="s">
        <v>671</v>
      </c>
      <c r="F66" s="1670"/>
      <c r="G66" s="1670"/>
      <c r="H66" s="151"/>
      <c r="I66" s="121"/>
      <c r="J66" s="3338"/>
      <c r="K66" s="1245" t="s">
        <v>1387</v>
      </c>
      <c r="L66" s="1245">
        <f ca="1">M49*0.5%</f>
        <v>1.0349999999999999</v>
      </c>
      <c r="M66" s="294">
        <f ca="1">IF(L66&gt;0.5,0.5,ROUND(L66,0))</f>
        <v>0.5</v>
      </c>
      <c r="N66" s="2329" t="s">
        <v>1388</v>
      </c>
      <c r="Z66" s="1623"/>
      <c r="AI66" s="1561"/>
    </row>
    <row r="67" spans="1:35" ht="14.25" customHeight="1">
      <c r="A67" s="165" t="s">
        <v>328</v>
      </c>
      <c r="B67" s="166" t="s">
        <v>1389</v>
      </c>
      <c r="C67" s="2352">
        <f ca="1">C63-C66</f>
        <v>197</v>
      </c>
      <c r="D67" s="162" t="s">
        <v>26</v>
      </c>
      <c r="E67" s="164"/>
      <c r="F67" s="1670"/>
      <c r="G67" s="1670"/>
      <c r="H67" s="151"/>
      <c r="I67" s="121"/>
      <c r="J67" s="3338"/>
      <c r="K67" s="1245" t="s">
        <v>1390</v>
      </c>
      <c r="L67" s="1245">
        <f ca="1">IF(M49&gt;=10000,(8.25+(M49-10000)*0.01%),IF(AND(M49&gt;=8000,M49&lt;10000),(7.85+(M49-8000)*0.02%),IF(AND(M49&gt;=5000,M49&lt;8000),(6.65+(M49-5000)*0.04%),IF(AND(M49&gt;=2000,M49&lt;5000),(4.25+(PM49-2000)*0.08%),IF(AND(M49&gt;=1000,M49&lt;2000),(2.75+(M49-1000)*0.15%),IF(AND(M49&gt;=100,M49&lt;1000),(0.5+(M49-100)*0.25%),IF(AND(M49&gt;0,M49&lt;100),M49*0.5%)))))))</f>
        <v>0.76750000000000007</v>
      </c>
      <c r="M67" s="294">
        <f ca="1">ROUND(L67*0.9,1)</f>
        <v>0.7</v>
      </c>
      <c r="N67" s="2328"/>
      <c r="Z67" s="1623"/>
      <c r="AI67" s="1561"/>
    </row>
    <row r="68" spans="1:35" ht="14.25" customHeight="1" thickBot="1">
      <c r="A68" s="168" t="s">
        <v>329</v>
      </c>
      <c r="B68" s="169" t="s">
        <v>1391</v>
      </c>
      <c r="C68" s="2353">
        <f ca="1">IF(C67&lt;=0,0,ROUND(C67*D68,0))</f>
        <v>11</v>
      </c>
      <c r="D68" s="2354">
        <f>'数据-取费表'!B41</f>
        <v>5.6000000000000001E-2</v>
      </c>
      <c r="E68" s="170"/>
      <c r="F68" s="1670"/>
      <c r="G68" s="1670"/>
      <c r="H68" s="151"/>
      <c r="I68" s="121"/>
      <c r="J68" s="3338"/>
      <c r="K68" s="1245" t="s">
        <v>1392</v>
      </c>
      <c r="L68" s="1245">
        <f ca="1">IF(M49&gt;10000,M49*0.5%,IF(AND(M49&gt;5000,M49&lt;=10000),M49*1%,IF(AND(M49&gt;1000,M49&lt;=5000),M49*2%,IF(AND(M49&gt;200,M49&lt;=1000),M49*3%,M49*5%))))</f>
        <v>6.21</v>
      </c>
      <c r="M68" s="294">
        <f ca="1">ROUND(L68,1)</f>
        <v>6.2</v>
      </c>
      <c r="N68" s="2328"/>
      <c r="Z68" s="1623"/>
      <c r="AI68" s="1561"/>
    </row>
    <row r="69" spans="1:35" ht="16.5" customHeight="1">
      <c r="A69" s="1672"/>
      <c r="B69" s="1673"/>
      <c r="C69" s="1674"/>
      <c r="D69" s="1675"/>
      <c r="E69" s="1676"/>
      <c r="F69" s="1466"/>
      <c r="G69" s="1466"/>
      <c r="H69" s="1467"/>
      <c r="I69" s="645"/>
      <c r="J69" s="3338"/>
      <c r="K69" s="1245" t="s">
        <v>1393</v>
      </c>
      <c r="L69" s="1245"/>
      <c r="M69" s="294">
        <f ca="1">ROUND(SUM(M63:M68),0)</f>
        <v>17</v>
      </c>
      <c r="N69" s="2330">
        <f ca="1">M69/M49</f>
        <v>8.2125603864734303E-2</v>
      </c>
      <c r="Z69" s="1623"/>
      <c r="AI69" s="1561"/>
    </row>
    <row r="70" spans="1:35" s="641" customFormat="1" ht="15" thickBot="1">
      <c r="A70" s="3300" t="s">
        <v>1394</v>
      </c>
      <c r="B70" s="3301"/>
      <c r="C70" s="3301"/>
      <c r="D70" s="3301"/>
      <c r="E70" s="3301"/>
      <c r="F70" s="3301"/>
      <c r="G70" s="3301"/>
      <c r="H70" s="330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1" customFormat="1" ht="14.25">
      <c r="A71" s="3279" t="s">
        <v>1375</v>
      </c>
      <c r="B71" s="328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1" customFormat="1" ht="14.25">
      <c r="A72" s="165" t="s">
        <v>330</v>
      </c>
      <c r="B72" s="166" t="s">
        <v>1395</v>
      </c>
      <c r="C72" s="2352">
        <f ca="1">ROUND(D45/(1+'数据-取费表'!C42),0)</f>
        <v>197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1" customFormat="1" ht="14.25">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1"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1"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1" customFormat="1" ht="24.75" customHeight="1">
      <c r="A76" s="161" t="s">
        <v>332</v>
      </c>
      <c r="B76" s="177" t="s">
        <v>1401</v>
      </c>
      <c r="C76" s="162">
        <f>IF(F75="购房发票",ROUND(C75*H75*D76,0),0)</f>
        <v>0</v>
      </c>
      <c r="D76" s="2358">
        <v>0.05</v>
      </c>
      <c r="E76" s="3274" t="s">
        <v>1402</v>
      </c>
      <c r="F76" s="3248"/>
      <c r="G76" s="3248"/>
      <c r="H76" s="329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1"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1" customFormat="1" ht="24.75" customHeight="1">
      <c r="A78" s="161" t="s">
        <v>326</v>
      </c>
      <c r="B78" s="162" t="s">
        <v>1405</v>
      </c>
      <c r="C78" s="2360">
        <f ca="1">ROUND(D45*D78/(1+'数据-取费表'!C42),0)</f>
        <v>1</v>
      </c>
      <c r="D78" s="2361">
        <f>'数据-取费表'!B43</f>
        <v>6.000000000000001E-3</v>
      </c>
      <c r="E78" s="3258" t="s">
        <v>1406</v>
      </c>
      <c r="F78" s="3259"/>
      <c r="G78" s="3259"/>
      <c r="H78" s="326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1" customFormat="1" ht="14.25">
      <c r="A79" s="165" t="s">
        <v>334</v>
      </c>
      <c r="B79" s="166" t="s">
        <v>1407</v>
      </c>
      <c r="C79" s="2352">
        <f ca="1">C72-C73</f>
        <v>196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1" customFormat="1" ht="24">
      <c r="A80" s="165" t="s">
        <v>335</v>
      </c>
      <c r="B80" s="166" t="s">
        <v>1408</v>
      </c>
      <c r="C80" s="2362">
        <f ca="1">IF(C79&lt;=0,0,C79/C73)</f>
        <v>196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1" customFormat="1" ht="24.75" thickBot="1">
      <c r="A81" s="168" t="s">
        <v>336</v>
      </c>
      <c r="B81" s="169" t="s">
        <v>1409</v>
      </c>
      <c r="C81" s="2363">
        <f ca="1">ROUND(IF(C79&lt;=0,0,IF(C80&gt;=200%,C79*60%-C73*35%,IF(C80&gt;=100%,C79*50%-C73*15%,IF(C80&gt;=50%,C79*40%-C73*5%,IF(C80&lt;50%,C79*30%,0))))),0)</f>
        <v>117</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1" customFormat="1" ht="7.5" customHeight="1">
      <c r="A82" s="4"/>
      <c r="B82" s="646"/>
      <c r="C82" s="4"/>
      <c r="D82" s="4"/>
      <c r="E82" s="646"/>
      <c r="F82" s="646"/>
      <c r="G82" s="646"/>
      <c r="H82" s="647"/>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1" customFormat="1" ht="15" thickBot="1">
      <c r="A83" s="3300" t="s">
        <v>1410</v>
      </c>
      <c r="B83" s="3301"/>
      <c r="C83" s="3301"/>
      <c r="D83" s="3301"/>
      <c r="E83" s="3301"/>
      <c r="F83" s="3301"/>
      <c r="G83" s="3301"/>
      <c r="H83" s="330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1" customFormat="1" ht="14.25">
      <c r="A84" s="3279" t="s">
        <v>1375</v>
      </c>
      <c r="B84" s="328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1" customFormat="1" ht="14.25">
      <c r="A85" s="165" t="s">
        <v>330</v>
      </c>
      <c r="B85" s="166" t="s">
        <v>1395</v>
      </c>
      <c r="C85" s="2352">
        <f ca="1">ROUND(D45/(1+'数据-取费表'!C42),0)</f>
        <v>197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1" customFormat="1" ht="14.25">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1"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1" customFormat="1" ht="14.25">
      <c r="A88" s="161" t="s">
        <v>331</v>
      </c>
      <c r="B88" s="162" t="s">
        <v>1412</v>
      </c>
      <c r="C88" s="2366"/>
      <c r="D88" s="2361"/>
      <c r="E88" s="185" t="s">
        <v>1413</v>
      </c>
      <c r="F88" s="2148"/>
      <c r="G88" s="186" t="s">
        <v>1414</v>
      </c>
      <c r="H88" s="1684"/>
      <c r="I88" s="1681"/>
      <c r="J88" s="2306"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1"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1" customFormat="1" ht="14.25">
      <c r="A90" s="161" t="s">
        <v>326</v>
      </c>
      <c r="B90" s="162" t="s">
        <v>1416</v>
      </c>
      <c r="C90" s="2366"/>
      <c r="D90" s="2361"/>
      <c r="E90" s="185" t="str">
        <f>IF(H88="-","土地取得成本中已包含该笔费用"," ")</f>
        <v xml:space="preserve"> </v>
      </c>
      <c r="F90" s="2148"/>
      <c r="G90" s="3340" t="s">
        <v>2128</v>
      </c>
      <c r="H90" s="3341"/>
      <c r="I90" s="1681"/>
      <c r="J90" s="2306"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1" customFormat="1" ht="27.75" customHeight="1">
      <c r="A91" s="161" t="s">
        <v>1417</v>
      </c>
      <c r="B91" s="162" t="s">
        <v>1418</v>
      </c>
      <c r="C91" s="2360">
        <f>IF(H91="——",成本法!C33,I91)</f>
        <v>0</v>
      </c>
      <c r="D91" s="2361"/>
      <c r="E91" s="3258" t="s">
        <v>1419</v>
      </c>
      <c r="F91" s="3259"/>
      <c r="G91" s="325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1" customFormat="1" ht="25.5" customHeight="1">
      <c r="A92" s="161" t="s">
        <v>1420</v>
      </c>
      <c r="B92" s="162" t="s">
        <v>1421</v>
      </c>
      <c r="C92" s="2360">
        <f>ROUND((C87+C90+C91)*D92,0)</f>
        <v>0</v>
      </c>
      <c r="D92" s="2367"/>
      <c r="E92" s="3258" t="s">
        <v>1422</v>
      </c>
      <c r="F92" s="3259"/>
      <c r="G92" s="3259"/>
      <c r="H92" s="3268"/>
      <c r="I92" s="1681"/>
      <c r="J92" s="2307"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1" customFormat="1" ht="25.5" customHeight="1">
      <c r="A93" s="161" t="s">
        <v>1423</v>
      </c>
      <c r="B93" s="162" t="s">
        <v>1405</v>
      </c>
      <c r="C93" s="2360">
        <f ca="1">ROUND(D45*D93/(1+'数据-取费表'!C42),0)</f>
        <v>1</v>
      </c>
      <c r="D93" s="2361">
        <f>'数据-取费表'!B43</f>
        <v>6.000000000000001E-3</v>
      </c>
      <c r="E93" s="3258" t="s">
        <v>1406</v>
      </c>
      <c r="F93" s="3259"/>
      <c r="G93" s="3259"/>
      <c r="H93" s="326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1" customFormat="1" ht="36.75" customHeight="1">
      <c r="A94" s="161" t="s">
        <v>1424</v>
      </c>
      <c r="B94" s="162" t="s">
        <v>1425</v>
      </c>
      <c r="C94" s="2366">
        <f>ROUND((C87+C90+C91)*D94,0)</f>
        <v>0</v>
      </c>
      <c r="D94" s="2361">
        <v>0.2</v>
      </c>
      <c r="E94" s="3269" t="s">
        <v>1426</v>
      </c>
      <c r="F94" s="3270"/>
      <c r="G94" s="3270"/>
      <c r="H94" s="327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1" customFormat="1" ht="14.25">
      <c r="A95" s="165" t="s">
        <v>334</v>
      </c>
      <c r="B95" s="166" t="s">
        <v>1407</v>
      </c>
      <c r="C95" s="2352">
        <f ca="1">ROUND(C85-C86,0)</f>
        <v>196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1" customFormat="1" ht="24">
      <c r="A96" s="165" t="s">
        <v>335</v>
      </c>
      <c r="B96" s="166" t="s">
        <v>1408</v>
      </c>
      <c r="C96" s="2362">
        <f ca="1">IF(C95&lt;=0,0,C95/C86)</f>
        <v>196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1" customFormat="1" ht="24.75" thickBot="1">
      <c r="A97" s="168" t="s">
        <v>336</v>
      </c>
      <c r="B97" s="169" t="s">
        <v>1409</v>
      </c>
      <c r="C97" s="2363">
        <f ca="1">ROUND(IF(C95&lt;=0,0,IF(C96&gt;=200%,C95*60%-C86*35%,IF(C96&gt;=100%,C95*50%-C86*15%,IF(C96&gt;=50%,C95*40%-C86*5%,IF(C96&lt;50%,C95*30%,0))))),0)</f>
        <v>117</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5"/>
      <c r="C98" s="645"/>
      <c r="D98" s="645"/>
      <c r="E98" s="1466"/>
      <c r="F98" s="1466"/>
      <c r="G98" s="1466"/>
      <c r="H98" s="1467"/>
      <c r="I98" s="121"/>
    </row>
    <row r="99" spans="1:35" ht="21.75" customHeight="1" thickBot="1">
      <c r="A99" s="1464" t="s">
        <v>1427</v>
      </c>
      <c r="B99" s="645"/>
      <c r="C99" s="645"/>
      <c r="D99" s="645"/>
      <c r="E99" s="1466"/>
      <c r="F99" s="1466"/>
      <c r="G99" s="1466"/>
      <c r="H99" s="1467"/>
      <c r="I99" s="121"/>
    </row>
    <row r="100" spans="1:35" ht="18.75" customHeight="1">
      <c r="A100" s="3242" t="s">
        <v>1428</v>
      </c>
      <c r="B100" s="3243"/>
      <c r="C100" s="3243"/>
      <c r="D100" s="3260"/>
      <c r="E100" s="3243" t="s">
        <v>1429</v>
      </c>
      <c r="F100" s="3243"/>
      <c r="G100" s="3243"/>
      <c r="H100" s="3260"/>
      <c r="I100" s="121"/>
    </row>
    <row r="101" spans="1:35" ht="18.75" customHeight="1">
      <c r="A101" s="3321" t="s">
        <v>1430</v>
      </c>
      <c r="B101" s="3322"/>
      <c r="C101" s="2369" t="str">
        <f>C4</f>
        <v>比较法-办公</v>
      </c>
      <c r="D101" s="2370" t="str">
        <f>D4</f>
        <v>收益法 (元)</v>
      </c>
      <c r="E101" s="3335" t="s">
        <v>1431</v>
      </c>
      <c r="F101" s="3292"/>
      <c r="G101" s="1687" t="s">
        <v>1432</v>
      </c>
      <c r="H101" s="2379">
        <f ca="1">H118</f>
        <v>207</v>
      </c>
      <c r="I101" s="121"/>
    </row>
    <row r="102" spans="1:35" ht="18.75" customHeight="1">
      <c r="A102" s="3294" t="s">
        <v>1433</v>
      </c>
      <c r="B102" s="2368" t="s">
        <v>1432</v>
      </c>
      <c r="C102" s="2369">
        <f ca="1">IF(D32="楼面单价",ROUND(C19,0),C19)</f>
        <v>241</v>
      </c>
      <c r="D102" s="2370">
        <f ca="1">IF(D32="楼面单价",ROUND(D19,0),D19)</f>
        <v>128</v>
      </c>
      <c r="E102" s="3335"/>
      <c r="F102" s="3292"/>
      <c r="G102" s="1687" t="s">
        <v>1434</v>
      </c>
      <c r="H102" s="2339">
        <f ca="1">I118</f>
        <v>22011</v>
      </c>
      <c r="I102" s="121"/>
    </row>
    <row r="103" spans="1:35" ht="42.75" customHeight="1">
      <c r="A103" s="3294"/>
      <c r="B103" s="2368" t="s">
        <v>1434</v>
      </c>
      <c r="C103" s="2371">
        <f ca="1">C20</f>
        <v>25614</v>
      </c>
      <c r="D103" s="2372">
        <f ca="1">D20</f>
        <v>13605</v>
      </c>
      <c r="E103" s="3329" t="s">
        <v>1435</v>
      </c>
      <c r="F103" s="3330"/>
      <c r="G103" s="1688" t="s">
        <v>1436</v>
      </c>
      <c r="H103" s="2379">
        <f>IF(D36="正常操作",H104+H105+H106,H105+H106)</f>
        <v>0</v>
      </c>
      <c r="I103" s="121"/>
    </row>
    <row r="104" spans="1:35" ht="18.75" customHeight="1">
      <c r="A104" s="3294" t="s">
        <v>1437</v>
      </c>
      <c r="B104" s="2373" t="s">
        <v>1432</v>
      </c>
      <c r="C104" s="2374">
        <f ca="1">H118</f>
        <v>207</v>
      </c>
      <c r="D104" s="2375"/>
      <c r="E104" s="1555" t="s">
        <v>1438</v>
      </c>
      <c r="F104" s="1548"/>
      <c r="G104" s="1688" t="s">
        <v>1436</v>
      </c>
      <c r="H104" s="2380">
        <f>IF(D36="同一抵押权人同一抵押物续贷",C36&amp;"（续贷，未扣减，详见特别提示）",C36)</f>
        <v>0</v>
      </c>
      <c r="I104" s="121"/>
    </row>
    <row r="105" spans="1:35" ht="18.75" customHeight="1" thickBot="1">
      <c r="A105" s="3295"/>
      <c r="B105" s="2376" t="s">
        <v>1434</v>
      </c>
      <c r="C105" s="2377">
        <f ca="1">I118</f>
        <v>22011</v>
      </c>
      <c r="D105" s="2378"/>
      <c r="E105" s="1555" t="s">
        <v>1439</v>
      </c>
      <c r="F105" s="1548"/>
      <c r="G105" s="1688" t="s">
        <v>1436</v>
      </c>
      <c r="H105" s="2381">
        <f>C37</f>
        <v>0</v>
      </c>
      <c r="I105" s="121"/>
    </row>
    <row r="106" spans="1:35" ht="18.75" customHeight="1">
      <c r="A106" s="645" t="s">
        <v>1440</v>
      </c>
      <c r="B106" s="645"/>
      <c r="C106" s="645"/>
      <c r="D106" s="645"/>
      <c r="E106" s="1689" t="s">
        <v>1441</v>
      </c>
      <c r="F106" s="1548"/>
      <c r="G106" s="1688" t="s">
        <v>1436</v>
      </c>
      <c r="H106" s="2381">
        <f>C38</f>
        <v>0</v>
      </c>
      <c r="I106" s="121"/>
    </row>
    <row r="107" spans="1:35" ht="18.75" customHeight="1">
      <c r="A107" s="121"/>
      <c r="B107" s="121"/>
      <c r="C107" s="121"/>
      <c r="D107" s="121"/>
      <c r="E107" s="3291" t="str">
        <f>IF(项目基本情况!E8="已注销","——","3.房地产抵押价值")</f>
        <v>3.房地产抵押价值</v>
      </c>
      <c r="F107" s="3292"/>
      <c r="G107" s="1687" t="s">
        <v>1432</v>
      </c>
      <c r="H107" s="2379">
        <f ca="1">IF(E107="——","——",H101-H103)</f>
        <v>207</v>
      </c>
      <c r="I107" s="121"/>
    </row>
    <row r="108" spans="1:35" ht="18.75" customHeight="1">
      <c r="A108" s="121"/>
      <c r="B108" s="121"/>
      <c r="C108" s="121"/>
      <c r="D108" s="121"/>
      <c r="E108" s="3291"/>
      <c r="F108" s="3292"/>
      <c r="G108" s="1687" t="s">
        <v>1434</v>
      </c>
      <c r="H108" s="2339">
        <f ca="1">IF(H107=H101,H102,ROUND(H107*10000/'数据-汇总表'!E3,0))</f>
        <v>22011</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92"/>
      <c r="G109" s="1687" t="s">
        <v>1432</v>
      </c>
      <c r="H109" s="2382" t="str">
        <f>IF(E109="——","——",H101-H105-H106)</f>
        <v>——</v>
      </c>
      <c r="I109" s="121"/>
    </row>
    <row r="110" spans="1:35" ht="18.75" customHeight="1">
      <c r="A110" s="121"/>
      <c r="B110" s="121"/>
      <c r="C110" s="121"/>
      <c r="D110" s="121"/>
      <c r="E110" s="3291"/>
      <c r="F110" s="3292"/>
      <c r="G110" s="1687" t="s">
        <v>1434</v>
      </c>
      <c r="H110" s="2339" t="str">
        <f>IF(H109="——","——",ROUND(H109*10000/'数据-汇总表'!E3,0))</f>
        <v>——</v>
      </c>
      <c r="I110" s="121"/>
    </row>
    <row r="111" spans="1:35" ht="18.75" customHeight="1">
      <c r="A111" s="121"/>
      <c r="B111" s="121"/>
      <c r="C111" s="121"/>
      <c r="D111" s="121"/>
      <c r="E111" s="3323" t="str">
        <f>IF(项目基本情况!E9="抵押净值",IF(OR(项目基本情况!E8="已注销",项目基本情况!E8="房地产抵押价值"),"4.抵押净值","5.抵押净值"),"——")</f>
        <v>——</v>
      </c>
      <c r="F111" s="3293"/>
      <c r="G111" s="1687" t="s">
        <v>1432</v>
      </c>
      <c r="H111" s="2379" t="str">
        <f>IF(E111="——","——",N59)</f>
        <v>——</v>
      </c>
      <c r="I111" s="121"/>
    </row>
    <row r="112" spans="1:35" ht="18.75" customHeight="1" thickBot="1">
      <c r="A112" s="121"/>
      <c r="B112" s="121"/>
      <c r="C112" s="121"/>
      <c r="D112" s="121"/>
      <c r="E112" s="3324"/>
      <c r="F112" s="3325"/>
      <c r="G112" s="1690" t="s">
        <v>1434</v>
      </c>
      <c r="H112" s="2383" t="str">
        <f>IF(E111="——","——",N61)</f>
        <v>——</v>
      </c>
      <c r="I112" s="121"/>
    </row>
    <row r="113" spans="1:27" ht="18.75" customHeight="1">
      <c r="A113" s="121"/>
      <c r="B113" s="121"/>
      <c r="C113" s="121"/>
      <c r="D113" s="121"/>
      <c r="E113" s="3296" t="s">
        <v>1440</v>
      </c>
      <c r="F113" s="3296"/>
      <c r="G113" s="3296"/>
      <c r="H113" s="3296"/>
      <c r="I113" s="121"/>
    </row>
    <row r="114" spans="1:27" ht="3.75" customHeight="1">
      <c r="A114" s="645"/>
      <c r="B114" s="645"/>
      <c r="C114" s="645"/>
      <c r="D114" s="645"/>
      <c r="E114" s="1671"/>
      <c r="F114" s="1671"/>
      <c r="G114" s="1671"/>
      <c r="H114" s="1671"/>
      <c r="I114" s="645"/>
    </row>
    <row r="115" spans="1:27" ht="18.75" customHeight="1">
      <c r="A115" s="3306" t="s">
        <v>1442</v>
      </c>
      <c r="B115" s="3307"/>
      <c r="C115" s="3307"/>
      <c r="D115" s="3307"/>
      <c r="E115" s="3307"/>
      <c r="F115" s="3307"/>
      <c r="G115" s="3307"/>
      <c r="H115" s="3307"/>
      <c r="I115" s="3308"/>
    </row>
    <row r="116" spans="1:27" ht="27" customHeight="1">
      <c r="A116" s="3262" t="s">
        <v>1443</v>
      </c>
      <c r="B116" s="3297" t="s">
        <v>1444</v>
      </c>
      <c r="C116" s="3297" t="s">
        <v>1445</v>
      </c>
      <c r="D116" s="3310" t="s">
        <v>1446</v>
      </c>
      <c r="E116" s="3311"/>
      <c r="F116" s="3305" t="s">
        <v>1447</v>
      </c>
      <c r="G116" s="3305"/>
      <c r="H116" s="3262" t="s">
        <v>1448</v>
      </c>
      <c r="I116" s="3262"/>
    </row>
    <row r="117" spans="1:27" ht="18.75" customHeight="1">
      <c r="A117" s="3262"/>
      <c r="B117" s="3298"/>
      <c r="C117" s="3298"/>
      <c r="D117" s="2150" t="s">
        <v>1449</v>
      </c>
      <c r="E117" s="2150" t="s">
        <v>1450</v>
      </c>
      <c r="F117" s="2150" t="s">
        <v>1449</v>
      </c>
      <c r="G117" s="2150" t="s">
        <v>1451</v>
      </c>
      <c r="H117" s="2150" t="s">
        <v>1449</v>
      </c>
      <c r="I117" s="2150" t="s">
        <v>1451</v>
      </c>
    </row>
    <row r="118" spans="1:27" ht="24.75" customHeight="1">
      <c r="A118" s="2384" t="str">
        <f>项目基本情况!S2</f>
        <v>北京市朝阳区十里堡甲3号A座4层05F写字楼用房房地产</v>
      </c>
      <c r="B118" s="2150">
        <f>M18</f>
        <v>94.12</v>
      </c>
      <c r="C118" s="2150">
        <f>M19</f>
        <v>22.76</v>
      </c>
      <c r="D118" s="2150">
        <f ca="1">ROUND(IF(D32="总价",C34,E118*B118/10000),0)</f>
        <v>170</v>
      </c>
      <c r="E118" s="2150">
        <f ca="1">ROUND(IF(C33="自定义",IF(D32="楼面单价",C34,D118*10000/B118),I118-G118),0)</f>
        <v>18115</v>
      </c>
      <c r="F118" s="2150">
        <f ca="1">ROUND(IF(D32="总价",C35,G118*B118/10000),0)</f>
        <v>37</v>
      </c>
      <c r="G118" s="2150">
        <f ca="1">ROUND(IF(D32="楼面单价",C35,F118*10000/B118),0)</f>
        <v>3896</v>
      </c>
      <c r="H118" s="2150">
        <f ca="1">ROUND(IF(D32="总价",C32,I118*B118/10000),0)</f>
        <v>207</v>
      </c>
      <c r="I118" s="2150">
        <f ca="1">ROUND(IF(D32="楼面单价",C32,H118*10000/B118),0)</f>
        <v>22011</v>
      </c>
    </row>
    <row r="119" spans="1:27" ht="18.75" customHeight="1">
      <c r="A119" s="3262" t="s">
        <v>1452</v>
      </c>
      <c r="B119" s="3262"/>
      <c r="C119" s="3262"/>
      <c r="D119" s="3302" t="str">
        <f ca="1">NUMBERSTRING(INT(D118*10000),2)&amp;"元整"</f>
        <v>壹佰柒拾万元整</v>
      </c>
      <c r="E119" s="3304"/>
      <c r="F119" s="3302" t="str">
        <f ca="1">NUMBERSTRING(INT(F118*10000),2)&amp;"元整"</f>
        <v>叁拾柒万元整</v>
      </c>
      <c r="G119" s="3304"/>
      <c r="H119" s="3302" t="str">
        <f ca="1">NUMBERSTRING(INT(H118*10000),2)&amp;"元整"</f>
        <v>贰佰零柒万元整</v>
      </c>
      <c r="I119" s="3304"/>
    </row>
    <row r="120" spans="1:27" ht="18.75" customHeight="1">
      <c r="A120" s="3326" t="str">
        <f>IF(项目基本情况!B9="房地产市场价值","",MID(E103,3,LEN(E103)-2))</f>
        <v>估价师知悉的法定优先受偿款</v>
      </c>
      <c r="B120" s="3327"/>
      <c r="C120" s="3328"/>
      <c r="D120" s="3326">
        <f>H103</f>
        <v>0</v>
      </c>
      <c r="E120" s="3327"/>
      <c r="F120" s="3327"/>
      <c r="G120" s="3327"/>
      <c r="H120" s="3327"/>
      <c r="I120" s="332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2" t="s">
        <v>1452</v>
      </c>
      <c r="B121" s="3303"/>
      <c r="C121" s="3304"/>
      <c r="D121" s="3302" t="str">
        <f>IF(D120=0,"零元整",NUMBERSTRING(INT(D120*10000),2)&amp;"元整")</f>
        <v>零元整</v>
      </c>
      <c r="E121" s="3303"/>
      <c r="F121" s="3303"/>
      <c r="G121" s="3303"/>
      <c r="H121" s="3303"/>
      <c r="I121" s="3304"/>
      <c r="AA121" s="683"/>
    </row>
    <row r="122" spans="1:27" ht="18.75" customHeight="1">
      <c r="A122" s="3293" t="str">
        <f>IF(项目基本情况!B9="房地产市场价值","",MID(E107,3,LEN(E107)-2))</f>
        <v>房地产抵押价值</v>
      </c>
      <c r="B122" s="3293"/>
      <c r="C122" s="3293"/>
      <c r="D122" s="3326">
        <f ca="1">H107</f>
        <v>207</v>
      </c>
      <c r="E122" s="3327"/>
      <c r="F122" s="3327"/>
      <c r="G122" s="3327"/>
      <c r="H122" s="3327"/>
      <c r="I122" s="3328"/>
      <c r="AA122" s="683"/>
    </row>
    <row r="123" spans="1:27" ht="18.75" customHeight="1">
      <c r="A123" s="3262" t="s">
        <v>1452</v>
      </c>
      <c r="B123" s="3262"/>
      <c r="C123" s="3262"/>
      <c r="D123" s="3302" t="str">
        <f ca="1">NUMBERSTRING(INT(D122*10000),2)&amp;"元整"</f>
        <v>贰佰零柒万元整</v>
      </c>
      <c r="E123" s="3303"/>
      <c r="F123" s="3303"/>
      <c r="G123" s="3303"/>
      <c r="H123" s="3303"/>
      <c r="I123" s="3304"/>
      <c r="AA123" s="683"/>
    </row>
    <row r="124" spans="1:27" ht="18.75" customHeight="1">
      <c r="A124" s="3293" t="str">
        <f>IF(项目基本情况!B9="房地产市场价值","",MID(E109,3,LEN(E109)-2))</f>
        <v/>
      </c>
      <c r="B124" s="3293"/>
      <c r="C124" s="3293"/>
      <c r="D124" s="3326" t="str">
        <f>H109</f>
        <v>——</v>
      </c>
      <c r="E124" s="3327"/>
      <c r="F124" s="3327"/>
      <c r="G124" s="3327"/>
      <c r="H124" s="3327"/>
      <c r="I124" s="3328"/>
      <c r="AA124" s="683"/>
    </row>
    <row r="125" spans="1:27" ht="18.75" customHeight="1">
      <c r="A125" s="3262" t="s">
        <v>1452</v>
      </c>
      <c r="B125" s="3262"/>
      <c r="C125" s="3262"/>
      <c r="D125" s="3302" t="e">
        <f>NUMBERSTRING(INT(D124*10000),2)&amp;"元整"</f>
        <v>#VALUE!</v>
      </c>
      <c r="E125" s="3303"/>
      <c r="F125" s="3303"/>
      <c r="G125" s="3303"/>
      <c r="H125" s="3303"/>
      <c r="I125" s="3304"/>
      <c r="AA125" s="683"/>
    </row>
    <row r="126" spans="1:27" ht="18.75" customHeight="1">
      <c r="A126" s="3293" t="str">
        <f>IF(项目基本情况!B9="房地产市场价值","",MID(E111,3,LEN(E111)-2))</f>
        <v/>
      </c>
      <c r="B126" s="3293"/>
      <c r="C126" s="3293"/>
      <c r="D126" s="3326" t="str">
        <f>H111</f>
        <v>——</v>
      </c>
      <c r="E126" s="3327"/>
      <c r="F126" s="3327"/>
      <c r="G126" s="3327"/>
      <c r="H126" s="3327"/>
      <c r="I126" s="3328"/>
      <c r="AA126" s="683"/>
    </row>
    <row r="127" spans="1:27" ht="18.75" customHeight="1">
      <c r="A127" s="3262" t="s">
        <v>1452</v>
      </c>
      <c r="B127" s="3262"/>
      <c r="C127" s="3262"/>
      <c r="D127" s="3302" t="e">
        <f>NUMBERSTRING(INT(D126*10000),2)&amp;"元整"</f>
        <v>#VALUE!</v>
      </c>
      <c r="E127" s="3303"/>
      <c r="F127" s="3303"/>
      <c r="G127" s="3303"/>
      <c r="H127" s="3303"/>
      <c r="I127" s="3304"/>
      <c r="AA127" s="683"/>
    </row>
    <row r="128" spans="1:27" ht="21.75" customHeight="1">
      <c r="A128" s="3309" t="s">
        <v>1453</v>
      </c>
      <c r="B128" s="3309"/>
      <c r="C128" s="3309"/>
      <c r="D128" s="3309"/>
      <c r="E128" s="3309"/>
      <c r="F128" s="3309"/>
      <c r="G128" s="3309"/>
      <c r="H128" s="3309"/>
      <c r="I128" s="3309"/>
      <c r="AA128" s="683"/>
    </row>
    <row r="129" spans="1:35" ht="21.75" customHeight="1">
      <c r="A129" s="1691" t="s">
        <v>1454</v>
      </c>
      <c r="B129" s="1692"/>
      <c r="C129" s="1693" t="s">
        <v>1455</v>
      </c>
      <c r="D129" s="1694"/>
      <c r="E129" s="1694"/>
      <c r="F129" s="1694"/>
      <c r="G129" s="1694"/>
      <c r="H129" s="1695"/>
      <c r="I129" s="1696"/>
      <c r="AA129" s="683"/>
    </row>
    <row r="130" spans="1:35" ht="21.75" customHeight="1">
      <c r="A130" s="1697">
        <v>1</v>
      </c>
      <c r="B130" s="1698"/>
      <c r="C130" s="1698"/>
      <c r="D130" s="687"/>
      <c r="E130" s="687"/>
      <c r="F130" s="687"/>
      <c r="G130" s="687"/>
      <c r="H130" s="686"/>
      <c r="I130" s="1699"/>
      <c r="AA130" s="683"/>
    </row>
    <row r="131" spans="1:35" ht="21.75" customHeight="1">
      <c r="A131" s="1697">
        <v>2</v>
      </c>
      <c r="B131" s="1698"/>
      <c r="C131" s="1698"/>
      <c r="D131" s="687"/>
      <c r="E131" s="687"/>
      <c r="F131" s="687"/>
      <c r="G131" s="687"/>
      <c r="H131" s="686"/>
      <c r="I131" s="1699"/>
      <c r="AA131" s="683"/>
    </row>
    <row r="132" spans="1:35" ht="21.75" customHeight="1">
      <c r="A132" s="1697">
        <v>3</v>
      </c>
      <c r="B132" s="1698"/>
      <c r="C132" s="1698"/>
      <c r="D132" s="687"/>
      <c r="E132" s="687"/>
      <c r="F132" s="687"/>
      <c r="G132" s="687"/>
      <c r="H132" s="686"/>
      <c r="I132" s="1699"/>
      <c r="AA132" s="683"/>
    </row>
    <row r="133" spans="1:35" ht="21.75" customHeight="1">
      <c r="A133" s="1700"/>
      <c r="B133" s="1701"/>
      <c r="C133" s="1701"/>
      <c r="D133" s="1702"/>
      <c r="E133" s="1702"/>
      <c r="F133" s="1702"/>
      <c r="G133" s="1702"/>
      <c r="H133" s="1703"/>
      <c r="I133" s="1704"/>
    </row>
    <row r="134" spans="1:35" ht="21.75" customHeight="1">
      <c r="A134" s="1698"/>
      <c r="B134" s="1698"/>
      <c r="C134" s="1698"/>
      <c r="D134" s="687"/>
      <c r="E134" s="687"/>
      <c r="F134" s="687"/>
      <c r="G134" s="687"/>
      <c r="H134" s="686"/>
      <c r="I134" s="683"/>
    </row>
    <row r="135" spans="1:35" ht="21.75" customHeight="1">
      <c r="A135" s="683"/>
      <c r="B135" s="683"/>
      <c r="C135" s="683"/>
      <c r="D135" s="683"/>
      <c r="E135" s="683"/>
      <c r="F135" s="1705" t="s">
        <v>1456</v>
      </c>
      <c r="G135" s="1706"/>
      <c r="H135" s="1706"/>
      <c r="I135" s="1707" t="s">
        <v>1457</v>
      </c>
    </row>
    <row r="136" spans="1:35" ht="21.75" customHeight="1">
      <c r="A136" s="683"/>
      <c r="B136" s="1708"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6"/>
      <c r="C138" s="1706"/>
      <c r="D138" s="1706"/>
      <c r="E138" s="1706"/>
      <c r="F138" s="1706"/>
      <c r="G138" s="1706"/>
      <c r="H138" s="1706"/>
      <c r="I138" s="1707" t="s">
        <v>1459</v>
      </c>
    </row>
    <row r="139" spans="1:35" ht="21.75" customHeight="1">
      <c r="A139" s="683"/>
      <c r="B139" s="1708" t="s">
        <v>1460</v>
      </c>
      <c r="C139" s="683"/>
      <c r="D139" s="683"/>
      <c r="E139" s="683"/>
      <c r="F139" s="683"/>
      <c r="G139" s="683"/>
      <c r="H139" s="683"/>
      <c r="I139" s="683"/>
    </row>
    <row r="140" spans="1:35" ht="21.75" customHeight="1">
      <c r="A140" s="683"/>
      <c r="B140" s="1708"/>
      <c r="C140" s="683"/>
      <c r="D140" s="683"/>
      <c r="E140" s="683"/>
      <c r="F140" s="683"/>
      <c r="G140" s="683"/>
      <c r="H140" s="683"/>
      <c r="I140" s="683"/>
    </row>
    <row r="141" spans="1:35" ht="21.75" customHeight="1">
      <c r="A141" s="683"/>
      <c r="B141" s="1706"/>
      <c r="C141" s="1706"/>
      <c r="D141" s="1706"/>
      <c r="E141" s="1706"/>
      <c r="F141" s="1706"/>
      <c r="G141" s="1706"/>
      <c r="H141" s="1706"/>
      <c r="I141" s="1707" t="s">
        <v>1459</v>
      </c>
    </row>
    <row r="142" spans="1:35" ht="21.75" customHeight="1">
      <c r="A142" s="683"/>
      <c r="B142" s="1708"/>
      <c r="C142" s="1709"/>
      <c r="D142" s="1710"/>
      <c r="E142" s="1710"/>
      <c r="F142" s="1614"/>
      <c r="G142" s="683"/>
      <c r="H142" s="683"/>
      <c r="I142" s="683"/>
    </row>
    <row r="143" spans="1:35" s="122" customFormat="1" ht="21.75" customHeight="1">
      <c r="A143" s="683"/>
      <c r="B143" s="1708"/>
      <c r="C143" s="1709"/>
      <c r="D143" s="1710"/>
      <c r="E143" s="1710"/>
      <c r="F143" s="1614"/>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3"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3"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3"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3"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3"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3"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3"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3"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3"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3"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3"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3"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3"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3"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3"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3"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3"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3"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3"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3"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3"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3"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3"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3"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3"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3"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3"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3"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3"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3"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3"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3"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3"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3"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3"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3"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3"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3"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3"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3"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3"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3"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3"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3"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3"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3"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3"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3"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3"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3"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3"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3"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3"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3"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3"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3"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3"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3"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3"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3"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3"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3"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3"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3"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3"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3"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3"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3"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3"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3"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3"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3"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3"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3"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3"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3"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3"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3"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3"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3"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3"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3"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3"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3"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3"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3"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3"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3"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3"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3"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3"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3"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3"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3"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3"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3"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3"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3"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3"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3"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3"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3"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3"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3"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50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5312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1.8824000000000001</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1.8824000000000001</v>
      </c>
      <c r="D8" s="214"/>
      <c r="E8" s="212"/>
      <c r="F8" s="213"/>
      <c r="G8" s="1714"/>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5"/>
      <c r="H9" s="1070"/>
      <c r="I9" s="1716" t="s">
        <v>1479</v>
      </c>
    </row>
    <row r="10" spans="1:9" s="206" customFormat="1" ht="13.5" customHeight="1">
      <c r="A10" s="732" t="s">
        <v>356</v>
      </c>
      <c r="B10" s="216" t="s">
        <v>1480</v>
      </c>
      <c r="C10" s="217">
        <f ca="1">ROUND(D10*E10/10000,0)</f>
        <v>2</v>
      </c>
      <c r="D10" s="794">
        <f ca="1">IF(B1="",'数据-汇总表'!E6,IF(INDIRECT("'数据-取费表'!c"&amp;$G$1)="住宅",INDIRECT("'数据-取费表'!s"&amp;$G$1),INDIRECT("'数据-取费表'!k"&amp;$G$1)+INDIRECT("'数据-取费表'!s"&amp;$G$1)))</f>
        <v>94.12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94.12</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6.9999999999999999E-4</v>
      </c>
      <c r="E22" s="228" t="s">
        <v>1498</v>
      </c>
      <c r="F22" s="229">
        <f ca="1">'数据-取费表'!B40</f>
        <v>3.4500000000000003E-2</v>
      </c>
      <c r="G22" s="226" t="str">
        <f>IF('数据-取费表'!B22&lt;=1,"单利计息","复利计息")</f>
        <v>复利计息</v>
      </c>
    </row>
    <row r="23" spans="1:7" s="206" customFormat="1" ht="13.5" customHeight="1">
      <c r="A23" s="733" t="s">
        <v>1502</v>
      </c>
      <c r="B23" s="207" t="s">
        <v>1503</v>
      </c>
      <c r="C23" s="1042">
        <f ca="1">ROUND(IF('数据-取费表'!B22&lt;=1,C5*F22*'数据-取费表'!B23,C5*(POWER((1+F22),'数据-取费表'!B23)-1)),0)</f>
        <v>0</v>
      </c>
      <c r="D23" s="230"/>
      <c r="E23" s="230"/>
      <c r="F23" s="231"/>
      <c r="G23" s="232" t="s">
        <v>1504</v>
      </c>
    </row>
    <row r="24" spans="1:7" s="206" customFormat="1" ht="13.5" customHeight="1">
      <c r="A24" s="733"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2">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1</v>
      </c>
      <c r="D28" s="227"/>
      <c r="E28" s="228"/>
      <c r="F28" s="238"/>
      <c r="G28" s="239"/>
    </row>
    <row r="29" spans="1:7" s="206" customFormat="1" ht="13.5" customHeight="1">
      <c r="A29" s="733"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47</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42</v>
      </c>
      <c r="D34" s="209"/>
      <c r="E34" s="212"/>
      <c r="F34" s="249">
        <f ca="1">IF('数据-取费表'!B24=0,1,IF(B1="",'数据-取费表'!N16,INDIRECT("'数据-取费表'!n"&amp;$G$1)))</f>
        <v>1</v>
      </c>
      <c r="G34" s="211" t="s">
        <v>1526</v>
      </c>
    </row>
    <row r="35" spans="1:7" ht="13.5" customHeight="1">
      <c r="A35" s="733" t="s">
        <v>351</v>
      </c>
      <c r="B35" s="207" t="s">
        <v>1527</v>
      </c>
      <c r="C35" s="212">
        <f ca="1">ROUND(C34*F35,0)</f>
        <v>2</v>
      </c>
      <c r="D35" s="212"/>
      <c r="E35" s="212"/>
      <c r="F35" s="251">
        <f>'数据-取费表'!B33</f>
        <v>0.04</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2</v>
      </c>
      <c r="D37" s="209">
        <f ca="1">D19</f>
        <v>94.12</v>
      </c>
      <c r="E37" s="241">
        <f>'数据-取费表'!B35</f>
        <v>200</v>
      </c>
      <c r="F37" s="251"/>
      <c r="G37" s="253" t="s">
        <v>1532</v>
      </c>
    </row>
    <row r="38" spans="1:7" ht="13.5" customHeight="1">
      <c r="A38" s="733"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6.9999999999999999E-4</v>
      </c>
      <c r="E41" s="228" t="s">
        <v>1539</v>
      </c>
      <c r="F41" s="229">
        <f ca="1">F22</f>
        <v>3.4500000000000003E-2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2</v>
      </c>
      <c r="D42" s="230"/>
      <c r="E42" s="230"/>
      <c r="F42" s="231"/>
      <c r="G42" s="3342" t="s">
        <v>1544</v>
      </c>
    </row>
    <row r="43" spans="1:7" ht="13.5" customHeight="1">
      <c r="A43" s="733" t="s">
        <v>347</v>
      </c>
      <c r="B43" s="207" t="s">
        <v>1545</v>
      </c>
      <c r="C43" s="230">
        <f ca="1">ROUND(IF('数据-取费表'!B22&lt;=1,C39*F22*'数据-取费表'!B21/2,C39*(POWER((1+F22),'数据-取费表'!B21/2)-1)),0)</f>
        <v>0</v>
      </c>
      <c r="D43" s="230"/>
      <c r="E43" s="230"/>
      <c r="F43" s="231"/>
      <c r="G43" s="3343"/>
    </row>
    <row r="44" spans="1:7" ht="13.5" customHeight="1">
      <c r="A44" s="733" t="s">
        <v>348</v>
      </c>
      <c r="B44" s="207" t="s">
        <v>1546</v>
      </c>
      <c r="C44" s="230">
        <f ca="1">ROUND(IF('数据-取费表'!B22&lt;=1,C40*F22*'数据-取费表'!B21/2,C40*(POWER((1+F22),'数据-取费表'!B21/2)-1)),4)</f>
        <v>6.9999999999999999E-4</v>
      </c>
      <c r="D44" s="230"/>
      <c r="E44" s="230"/>
      <c r="F44" s="231"/>
      <c r="G44" s="3344"/>
    </row>
    <row r="45" spans="1:7" s="206" customFormat="1" ht="13.5" customHeight="1">
      <c r="A45" s="247" t="s">
        <v>1547</v>
      </c>
      <c r="B45" s="236" t="s">
        <v>1513</v>
      </c>
      <c r="C45" s="237">
        <f ca="1">C46</f>
        <v>7</v>
      </c>
      <c r="D45" s="227">
        <f ca="1">C47</f>
        <v>3.0000000000000001E-3</v>
      </c>
      <c r="E45" s="228" t="s">
        <v>1539</v>
      </c>
      <c r="F45" s="238">
        <f ca="1">F27</f>
        <v>0.15</v>
      </c>
      <c r="G45" s="239" t="s">
        <v>1548</v>
      </c>
    </row>
    <row r="46" spans="1:7" s="206" customFormat="1" ht="13.5" customHeight="1">
      <c r="A46" s="733" t="s">
        <v>346</v>
      </c>
      <c r="B46" s="240" t="s">
        <v>1549</v>
      </c>
      <c r="C46" s="241">
        <f ca="1">ROUND((C33+C39)*F27,0)</f>
        <v>7</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62</v>
      </c>
      <c r="D49" s="224"/>
      <c r="E49" s="224"/>
      <c r="F49" s="256"/>
      <c r="G49" s="226" t="s">
        <v>1554</v>
      </c>
    </row>
    <row r="50" spans="1:7" s="250" customFormat="1" ht="24">
      <c r="A50" s="247" t="s">
        <v>1555</v>
      </c>
      <c r="B50" s="202" t="s">
        <v>1556</v>
      </c>
      <c r="C50" s="224"/>
      <c r="D50" s="224"/>
      <c r="E50" s="224"/>
      <c r="F50" s="256">
        <f>IF('数据-取费表'!B24=0,'数据-取费表'!N16,1)</f>
        <v>0.72</v>
      </c>
      <c r="G50" s="239" t="s">
        <v>1557</v>
      </c>
    </row>
    <row r="51" spans="1:7" ht="16.5" customHeight="1">
      <c r="A51" s="247" t="s">
        <v>1558</v>
      </c>
      <c r="B51" s="202" t="s">
        <v>1559</v>
      </c>
      <c r="C51" s="224">
        <f ca="1">ROUND(C49*F50,0)</f>
        <v>45</v>
      </c>
      <c r="D51" s="224"/>
      <c r="E51" s="224"/>
      <c r="F51" s="256"/>
      <c r="G51" s="226" t="s">
        <v>1560</v>
      </c>
    </row>
    <row r="52" spans="1:7" s="200" customFormat="1" ht="16.5" thickBot="1">
      <c r="A52" s="257" t="s">
        <v>1561</v>
      </c>
      <c r="B52" s="258"/>
      <c r="C52" s="259">
        <f ca="1">C31+C51</f>
        <v>50</v>
      </c>
      <c r="D52" s="258"/>
      <c r="E52" s="258"/>
      <c r="F52" s="258"/>
      <c r="G52" s="260"/>
    </row>
    <row r="55" spans="1:7" ht="15">
      <c r="B55" s="262" t="s">
        <v>1562</v>
      </c>
      <c r="C55" s="263"/>
    </row>
    <row r="56" spans="1:7">
      <c r="B56" s="265" t="s">
        <v>802</v>
      </c>
      <c r="C56" s="267">
        <f ca="1">1-C57</f>
        <v>9.9999999999999978E-2</v>
      </c>
    </row>
    <row r="57" spans="1:7">
      <c r="B57" s="265" t="s">
        <v>803</v>
      </c>
      <c r="C57" s="266">
        <f ca="1">ROUND(C51/C52,3)</f>
        <v>0.9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60" t="str">
        <f>项目基本情况!B1</f>
        <v>北京市朝阳区十里堡甲3号A座4层05F写字楼用房房地产抵押价值预评估</v>
      </c>
      <c r="C37" s="3160"/>
      <c r="D37" s="3160"/>
      <c r="E37" s="3160"/>
      <c r="F37" s="3160"/>
      <c r="G37" s="3160"/>
      <c r="H37" s="3160"/>
      <c r="I37" s="3160"/>
    </row>
    <row r="38" spans="1:9">
      <c r="A38" s="793"/>
      <c r="B38" s="793"/>
    </row>
    <row r="39" spans="1:9">
      <c r="A39" s="791" t="s">
        <v>371</v>
      </c>
      <c r="B39" s="791" t="s">
        <v>373</v>
      </c>
    </row>
    <row r="40" spans="1:9">
      <c r="A40" s="791"/>
      <c r="B40" s="1378">
        <f>项目基本情况!B5</f>
        <v>0</v>
      </c>
    </row>
    <row r="41" spans="1:9">
      <c r="A41" s="791"/>
      <c r="B41" s="791"/>
    </row>
    <row r="42" spans="1:9">
      <c r="A42" s="791" t="s">
        <v>371</v>
      </c>
      <c r="B42" s="791" t="s">
        <v>374</v>
      </c>
    </row>
    <row r="43" spans="1:9">
      <c r="A43" s="791"/>
      <c r="B43" s="1378" t="s">
        <v>375</v>
      </c>
    </row>
    <row r="44" spans="1:9">
      <c r="A44" s="791"/>
      <c r="B44" s="791"/>
    </row>
    <row r="45" spans="1:9">
      <c r="A45" s="791" t="s">
        <v>371</v>
      </c>
      <c r="B45" s="791" t="s">
        <v>376</v>
      </c>
    </row>
    <row r="46" spans="1:9" s="791" customFormat="1" ht="12.75">
      <c r="B46" s="1378" t="str">
        <f ca="1">项目基本情况!K4</f>
        <v>吴薇（注册号：1419970001)、郑燚（注册号：1120070131)</v>
      </c>
    </row>
    <row r="47" spans="1:9">
      <c r="A47" s="791"/>
      <c r="B47" s="791" t="str">
        <f>项目基本情况!K5</f>
        <v>（注册号：0)、（注册号：0)</v>
      </c>
    </row>
    <row r="48" spans="1:9">
      <c r="A48" s="791" t="s">
        <v>371</v>
      </c>
      <c r="B48" s="791"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8"/>
      <c r="D5" s="1718"/>
      <c r="E5" s="1718"/>
      <c r="F5" s="1718"/>
      <c r="G5" s="1718"/>
      <c r="H5" s="1718"/>
      <c r="I5" s="1718"/>
      <c r="J5" s="1718"/>
      <c r="K5" s="1718"/>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9"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0.04</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94.12</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7"/>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94.12</v>
      </c>
      <c r="E17" s="21">
        <f>'数据-取费表'!B32</f>
        <v>0</v>
      </c>
      <c r="F17" s="757"/>
      <c r="G17" s="123" t="s">
        <v>1623</v>
      </c>
      <c r="H17" s="1107"/>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0.11759999999999993</v>
      </c>
      <c r="D18" s="795"/>
      <c r="E18" s="21"/>
      <c r="F18" s="755"/>
      <c r="G18" s="1720"/>
      <c r="H18" s="1106"/>
      <c r="I18" s="1721"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8"/>
      <c r="I19" s="760"/>
      <c r="J19" s="760"/>
      <c r="K19" s="761"/>
    </row>
    <row r="20" spans="1:33" s="754" customFormat="1" ht="13.5" customHeight="1">
      <c r="A20" s="751" t="s">
        <v>361</v>
      </c>
      <c r="B20" s="752" t="s">
        <v>1627</v>
      </c>
      <c r="C20" s="21">
        <f ca="1">ROUND(D20*E20/10000,0)</f>
        <v>2</v>
      </c>
      <c r="D20" s="795">
        <f ca="1">IF(C1="",'数据-汇总表'!E6,IF(INDIRECT("'数据-取费表'!c"&amp;$K$1)="住宅",INDIRECT("'数据-取费表'!s"&amp;$K$1),INDIRECT("'数据-取费表'!k"&amp;$K$1)+INDIRECT("'数据-取费表'!s"&amp;$K$1)))</f>
        <v>94.12</v>
      </c>
      <c r="E20" s="21">
        <f>'数据-取费表'!B28</f>
        <v>200</v>
      </c>
      <c r="F20" s="755"/>
      <c r="G20" s="12"/>
      <c r="H20" s="760"/>
      <c r="I20" s="760"/>
      <c r="J20" s="760"/>
      <c r="K20" s="761"/>
    </row>
    <row r="21" spans="1:33" s="754" customFormat="1" ht="13.5" customHeight="1">
      <c r="A21" s="743" t="s">
        <v>357</v>
      </c>
      <c r="B21" s="764" t="s">
        <v>1628</v>
      </c>
      <c r="C21" s="765">
        <f ca="1">C16+C17+C18</f>
        <v>0.11759999999999993</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3">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8"/>
      <c r="I27" s="758"/>
      <c r="J27" s="758"/>
      <c r="K27" s="759"/>
    </row>
    <row r="28" spans="1:33" s="281" customFormat="1" ht="13.5" customHeight="1">
      <c r="A28" s="743" t="s">
        <v>1641</v>
      </c>
      <c r="B28" s="1723" t="s">
        <v>1642</v>
      </c>
      <c r="C28" s="279">
        <f ca="1">C30</f>
        <v>0</v>
      </c>
      <c r="D28" s="272">
        <f ca="1">C29</f>
        <v>0</v>
      </c>
      <c r="E28" s="274" t="s">
        <v>12</v>
      </c>
      <c r="F28" s="280">
        <f ca="1">IF(C1="",'数据-取费表'!Q16,INDIRECT("'数据-取费表'!q"&amp;$K$1))</f>
        <v>0.15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4"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2"/>
      <c r="C1" s="1287"/>
      <c r="D1" s="1271" t="s">
        <v>43</v>
      </c>
      <c r="E1" s="1272" t="s">
        <v>678</v>
      </c>
      <c r="F1" s="999">
        <f ca="1">J53</f>
        <v>0</v>
      </c>
      <c r="G1" s="1286">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8"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7" t="s">
        <v>694</v>
      </c>
      <c r="C6" s="1011">
        <f ca="1">ROUND(F6*F8*F7*(1-F9)/10000,0)</f>
        <v>0</v>
      </c>
      <c r="D6" s="147" t="s">
        <v>2108</v>
      </c>
      <c r="E6" s="294" t="s">
        <v>696</v>
      </c>
      <c r="F6" s="295">
        <f ca="1">INDIRECT("'数据-取费表'!u"&amp;$G$1)</f>
        <v>0</v>
      </c>
      <c r="G6" s="1292"/>
      <c r="H6" s="1006" t="s">
        <v>398</v>
      </c>
      <c r="I6" s="3347" t="s">
        <v>694</v>
      </c>
      <c r="J6" s="293">
        <f ca="1">ROUND(M6*M8*M7*(1-M9)/10000,0)</f>
        <v>0</v>
      </c>
      <c r="K6" s="147" t="s">
        <v>2107</v>
      </c>
      <c r="L6" s="294" t="s">
        <v>696</v>
      </c>
      <c r="M6" s="295">
        <f ca="1">INDIRECT("'数据-取费表'!z"&amp;$G$1)</f>
        <v>0</v>
      </c>
    </row>
    <row r="7" spans="1:37" ht="18" customHeight="1">
      <c r="A7" s="1010"/>
      <c r="B7" s="3348"/>
      <c r="C7" s="1012"/>
      <c r="D7" s="299"/>
      <c r="E7" s="1013" t="s">
        <v>697</v>
      </c>
      <c r="F7" s="295">
        <f ca="1">IF(INDIRECT("'数据-取费表'!ah"&amp;$G$1)="",INDIRECT("'数据-取费表'!k"&amp;$G$1),INDIRECT("'数据-取费表'!ah"&amp;$G$1))</f>
        <v>0</v>
      </c>
      <c r="G7" s="1292"/>
      <c r="H7" s="296"/>
      <c r="I7" s="3348"/>
      <c r="J7" s="298"/>
      <c r="K7" s="299"/>
      <c r="L7" s="294" t="s">
        <v>697</v>
      </c>
      <c r="M7" s="295">
        <f ca="1">F7</f>
        <v>0</v>
      </c>
    </row>
    <row r="8" spans="1:37" ht="18" customHeight="1">
      <c r="A8" s="296"/>
      <c r="B8" s="3348"/>
      <c r="C8" s="298"/>
      <c r="D8" s="299"/>
      <c r="E8" s="294" t="s">
        <v>698</v>
      </c>
      <c r="F8" s="295">
        <f ca="1">INDIRECT("'数据-取费表'!ai"&amp;$G$1)</f>
        <v>0</v>
      </c>
      <c r="G8" s="1292"/>
      <c r="H8" s="296"/>
      <c r="I8" s="3348"/>
      <c r="J8" s="298"/>
      <c r="K8" s="299"/>
      <c r="L8" s="294" t="s">
        <v>698</v>
      </c>
      <c r="M8" s="295">
        <f ca="1">INDIRECT("'数据-取费表'!ai"&amp;$G$1)</f>
        <v>0</v>
      </c>
    </row>
    <row r="9" spans="1:37" ht="18" customHeight="1">
      <c r="A9" s="296"/>
      <c r="B9" s="3349"/>
      <c r="C9" s="298"/>
      <c r="D9" s="299"/>
      <c r="E9" s="294" t="s">
        <v>699</v>
      </c>
      <c r="F9" s="304">
        <f ca="1">INDIRECT("'数据-取费表'!w"&amp;$G$1)</f>
        <v>0</v>
      </c>
      <c r="G9" s="1292"/>
      <c r="H9" s="296"/>
      <c r="I9" s="334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4"/>
      <c r="D11" s="1276"/>
      <c r="E11" s="305" t="s">
        <v>702</v>
      </c>
      <c r="F11" s="306">
        <f ca="1">'数据-取费表'!B39</f>
        <v>1.4999999999999999E-2</v>
      </c>
      <c r="G11" s="1292"/>
      <c r="H11" s="1014"/>
      <c r="I11" s="1275" t="s">
        <v>679</v>
      </c>
      <c r="J11" s="904"/>
      <c r="K11" s="645"/>
      <c r="L11" s="305" t="s">
        <v>702</v>
      </c>
      <c r="M11" s="808">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7" t="s">
        <v>397</v>
      </c>
      <c r="B14" s="294" t="s">
        <v>707</v>
      </c>
      <c r="C14" s="310">
        <f ca="1">INDIRECT("'数据-取费表'!m"&amp;$G$1)+INDIRECT("'数据-取费表'!t"&amp;$G$1)</f>
        <v>0</v>
      </c>
      <c r="D14" s="1257" t="s">
        <v>708</v>
      </c>
      <c r="E14" s="1255"/>
      <c r="F14" s="311"/>
      <c r="G14" s="1292"/>
      <c r="H14" s="927" t="s">
        <v>398</v>
      </c>
      <c r="I14" s="294" t="s">
        <v>709</v>
      </c>
      <c r="J14" s="21">
        <f ca="1">C29</f>
        <v>0</v>
      </c>
      <c r="K14" s="12"/>
      <c r="L14" s="758"/>
      <c r="M14" s="759"/>
    </row>
    <row r="15" spans="1:37" s="1304" customFormat="1" ht="18" customHeight="1" thickBot="1">
      <c r="A15" s="927" t="s">
        <v>399</v>
      </c>
      <c r="B15" s="294" t="s">
        <v>710</v>
      </c>
      <c r="C15" s="21">
        <f ca="1">ROUND(C14*F15,0)</f>
        <v>0</v>
      </c>
      <c r="D15" s="312" t="s">
        <v>711</v>
      </c>
      <c r="E15" s="312" t="s">
        <v>712</v>
      </c>
      <c r="F15" s="313">
        <f>'数据-取费表'!B33</f>
        <v>0.04</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7" t="s">
        <v>681</v>
      </c>
      <c r="B17" s="294" t="s">
        <v>716</v>
      </c>
      <c r="C17" s="21">
        <f ca="1">ROUND(F17*(F43+INDIRECT("'数据-取费表'!S"&amp;$G$1))/10000,0)</f>
        <v>0</v>
      </c>
      <c r="D17" s="294" t="s">
        <v>717</v>
      </c>
      <c r="E17" s="294" t="s">
        <v>718</v>
      </c>
      <c r="F17" s="23">
        <f>'数据-取费表'!B35</f>
        <v>200</v>
      </c>
      <c r="G17" s="1303"/>
      <c r="H17" s="927"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7" t="s">
        <v>682</v>
      </c>
      <c r="B18" s="294" t="s">
        <v>722</v>
      </c>
      <c r="C18" s="21">
        <f ca="1">ROUND(C14*F18,0)</f>
        <v>0</v>
      </c>
      <c r="D18" s="294" t="s">
        <v>711</v>
      </c>
      <c r="E18" s="294" t="s">
        <v>712</v>
      </c>
      <c r="F18" s="314">
        <f>'数据-取费表'!B36</f>
        <v>0.02</v>
      </c>
      <c r="G18" s="1303"/>
      <c r="H18" s="927"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7" t="s">
        <v>398</v>
      </c>
      <c r="B19" s="294" t="s">
        <v>725</v>
      </c>
      <c r="C19" s="21">
        <f ca="1">SUM(C14:C18)</f>
        <v>0</v>
      </c>
      <c r="D19" s="123" t="s">
        <v>726</v>
      </c>
      <c r="E19" s="1269"/>
      <c r="F19" s="23"/>
      <c r="G19" s="1292"/>
      <c r="H19" s="927"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7" t="s">
        <v>402</v>
      </c>
      <c r="B20" s="294" t="s">
        <v>728</v>
      </c>
      <c r="C20" s="21">
        <f ca="1">ROUND(C19*F20,0)</f>
        <v>0</v>
      </c>
      <c r="D20" s="315" t="s">
        <v>729</v>
      </c>
      <c r="E20" s="294" t="s">
        <v>712</v>
      </c>
      <c r="F20" s="314">
        <f>'数据-取费表'!B37</f>
        <v>0.02</v>
      </c>
      <c r="G20" s="1303"/>
      <c r="H20" s="927"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7"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9"/>
      <c r="F22" s="23"/>
      <c r="G22" s="1292"/>
      <c r="H22" s="927" t="s">
        <v>402</v>
      </c>
      <c r="I22" s="294" t="s">
        <v>738</v>
      </c>
      <c r="J22" s="21">
        <f ca="1">ROUND(J14*M22,2)</f>
        <v>0</v>
      </c>
      <c r="K22" s="1256" t="s">
        <v>739</v>
      </c>
      <c r="L22" s="294" t="s">
        <v>712</v>
      </c>
      <c r="M22" s="320">
        <f ca="1">INDIRECT("'数据-取费表'!Ak"&amp;$G$1)</f>
        <v>0</v>
      </c>
    </row>
    <row r="23" spans="1:37" s="1304"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7"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7"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7" t="s">
        <v>749</v>
      </c>
      <c r="B25" s="294" t="s">
        <v>750</v>
      </c>
      <c r="C25" s="21"/>
      <c r="D25" s="123" t="s">
        <v>751</v>
      </c>
      <c r="E25" s="1269"/>
      <c r="F25" s="23"/>
      <c r="G25" s="1292"/>
      <c r="H25" s="1016" t="s">
        <v>394</v>
      </c>
      <c r="I25" s="1031" t="s">
        <v>752</v>
      </c>
      <c r="J25" s="302">
        <f ca="1">J5-J16</f>
        <v>0</v>
      </c>
      <c r="K25" s="1032" t="s">
        <v>753</v>
      </c>
      <c r="L25" s="1033"/>
      <c r="M25" s="1034"/>
    </row>
    <row r="26" spans="1:37">
      <c r="A26" s="927"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7"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7"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7" t="s">
        <v>2308</v>
      </c>
      <c r="I31" s="1305"/>
      <c r="J31" s="1306"/>
      <c r="K31" s="121"/>
      <c r="L31" s="2469"/>
      <c r="M31" s="2470"/>
    </row>
    <row r="32" spans="1:37" ht="18" customHeight="1">
      <c r="A32" s="927"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7" t="s">
        <v>399</v>
      </c>
      <c r="B33" s="294" t="s">
        <v>727</v>
      </c>
      <c r="C33" s="21" t="str">
        <f ca="1">IF(项目基本情况!B11="自然人","——",IF(D33="按租金收入计税",ROUND(C6*F33/(1+'数据-取费表'!C42),2),IF(D33="按房产原值计税",ROUND(C29*F33*0.7,2),INDIRECT("'数据-取费表'!Aj"&amp;$G$1))))</f>
        <v>——</v>
      </c>
      <c r="D33" s="1278" t="s">
        <v>3338</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18</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7"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4"/>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1" t="s">
        <v>687</v>
      </c>
      <c r="B47" s="923" t="s">
        <v>688</v>
      </c>
      <c r="C47" s="1054" t="s">
        <v>689</v>
      </c>
      <c r="D47" s="923" t="s">
        <v>690</v>
      </c>
      <c r="E47" s="995" t="s">
        <v>691</v>
      </c>
      <c r="F47" s="996"/>
      <c r="G47" s="680"/>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7"/>
      <c r="G48" s="680"/>
      <c r="H48" s="681"/>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0" t="s">
        <v>439</v>
      </c>
      <c r="B49" s="1279" t="s">
        <v>779</v>
      </c>
      <c r="C49" s="1051">
        <f ca="1">ROUND(F49*F51*F50*(1-F52)/10000,0)</f>
        <v>0</v>
      </c>
      <c r="D49" s="992" t="s">
        <v>2109</v>
      </c>
      <c r="E49" s="1280" t="s">
        <v>780</v>
      </c>
      <c r="F49" s="997"/>
      <c r="H49" s="681"/>
      <c r="I49" s="1328" t="s">
        <v>823</v>
      </c>
      <c r="J49" s="1332"/>
      <c r="K49" s="1330" t="s">
        <v>824</v>
      </c>
      <c r="L49" s="1333"/>
      <c r="O49" s="1334" t="s">
        <v>405</v>
      </c>
      <c r="P49" s="1326" t="s">
        <v>825</v>
      </c>
      <c r="Q49" s="1327">
        <f ca="1">C29</f>
        <v>0</v>
      </c>
      <c r="R49" s="1327" t="s">
        <v>818</v>
      </c>
    </row>
    <row r="50" spans="1:18" s="1292" customFormat="1" ht="13.5" thickBot="1">
      <c r="A50" s="921"/>
      <c r="B50" s="924"/>
      <c r="C50" s="1055"/>
      <c r="D50" s="898"/>
      <c r="E50" s="993" t="s">
        <v>697</v>
      </c>
      <c r="F50" s="994">
        <f ca="1">F7</f>
        <v>0</v>
      </c>
      <c r="H50" s="681"/>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2"/>
      <c r="B51" s="924"/>
      <c r="C51" s="925"/>
      <c r="D51" s="898"/>
      <c r="E51" s="926"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2"/>
      <c r="B52" s="924"/>
      <c r="C52" s="925"/>
      <c r="D52" s="898"/>
      <c r="E52" s="926"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45" t="s">
        <v>837</v>
      </c>
      <c r="L53" s="3346"/>
      <c r="O53" s="1325" t="s">
        <v>409</v>
      </c>
      <c r="P53" s="1326" t="s">
        <v>838</v>
      </c>
      <c r="Q53" s="1327" t="e">
        <f ca="1">Q47+Q48</f>
        <v>#DIV/0!</v>
      </c>
      <c r="R53" s="1327" t="s">
        <v>410</v>
      </c>
    </row>
    <row r="54" spans="1:18" s="1292" customFormat="1" ht="13.5" thickBot="1">
      <c r="A54" s="1080"/>
      <c r="B54" s="1275" t="s">
        <v>679</v>
      </c>
      <c r="C54" s="904"/>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2">
        <v>2</v>
      </c>
      <c r="B56" s="903"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5"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3" t="s">
        <v>714</v>
      </c>
      <c r="C58" s="308">
        <f ca="1">ROUND(C59+C64+C65+C66,0)</f>
        <v>0</v>
      </c>
      <c r="D58" s="905" t="s">
        <v>715</v>
      </c>
      <c r="E58" s="906"/>
      <c r="F58" s="907"/>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7" t="s">
        <v>398</v>
      </c>
      <c r="B59" s="895" t="s">
        <v>719</v>
      </c>
      <c r="C59" s="2140">
        <f ca="1">ROUND(IF(AND(项目基本情况!B11="自然人",项目基本情况!B10="北京市"),C49*F59/(1+'数据-取费表'!C42),C60+C61+C62),0)</f>
        <v>0</v>
      </c>
      <c r="D59" s="908" t="s">
        <v>720</v>
      </c>
      <c r="E59" s="909"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7" t="s">
        <v>397</v>
      </c>
      <c r="B60" s="895" t="s">
        <v>723</v>
      </c>
      <c r="C60" s="21" t="str">
        <f>IF(项目基本情况!B11="自然人","——",ROUND(C48*F60/(1+'数据-取费表'!C42),2))</f>
        <v>——</v>
      </c>
      <c r="D60" s="909" t="s">
        <v>724</v>
      </c>
      <c r="E60" s="895"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7" t="s">
        <v>781</v>
      </c>
      <c r="B61" s="895" t="s">
        <v>782</v>
      </c>
      <c r="C61" s="21" t="str">
        <f ca="1">IF(项目基本情况!B11="自然人","——",IF(D61="按租金收入计税",ROUND(C49*F61/(1+'数据-取费表'!C42),2),IF(D61="按房产原值计税",ROUND(C57*F61*0.7,2),INDIRECT("'数据-取费表'!Aj"&amp;$G$1))))</f>
        <v>——</v>
      </c>
      <c r="D61" s="1278" t="s">
        <v>3338</v>
      </c>
      <c r="E61" s="895"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7" t="s">
        <v>784</v>
      </c>
      <c r="B62" s="894" t="s">
        <v>785</v>
      </c>
      <c r="C62" s="22" t="str">
        <f>IF(项目基本情况!B11="自然人","——",ROUND(F62*F63/10000,2))</f>
        <v>——</v>
      </c>
      <c r="D62" s="910" t="s">
        <v>786</v>
      </c>
      <c r="E62" s="895"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1"/>
      <c r="C63" s="26"/>
      <c r="D63" s="911"/>
      <c r="E63" s="895"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7" t="s">
        <v>789</v>
      </c>
      <c r="B64" s="895" t="s">
        <v>790</v>
      </c>
      <c r="C64" s="21">
        <f ca="1">ROUND(C57*F64,2)</f>
        <v>0</v>
      </c>
      <c r="D64" s="909" t="s">
        <v>791</v>
      </c>
      <c r="E64" s="895"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7" t="s">
        <v>792</v>
      </c>
      <c r="B65" s="895" t="s">
        <v>742</v>
      </c>
      <c r="C65" s="21">
        <f ca="1">ROUND(C56*F65,2)</f>
        <v>0</v>
      </c>
      <c r="D65" s="909" t="s">
        <v>743</v>
      </c>
      <c r="E65" s="895"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7" t="s">
        <v>793</v>
      </c>
      <c r="B66" s="895" t="s">
        <v>728</v>
      </c>
      <c r="C66" s="21">
        <f ca="1">ROUND(C48*F66,2)</f>
        <v>0</v>
      </c>
      <c r="D66" s="909" t="s">
        <v>794</v>
      </c>
      <c r="E66" s="895" t="s">
        <v>712</v>
      </c>
      <c r="F66" s="304">
        <f t="shared" ca="1" si="0"/>
        <v>0</v>
      </c>
      <c r="O66" s="1325" t="s">
        <v>404</v>
      </c>
      <c r="P66" s="1326" t="s">
        <v>846</v>
      </c>
      <c r="Q66" s="1327" t="e">
        <f ca="1">L60</f>
        <v>#DIV/0!</v>
      </c>
      <c r="R66" s="1327" t="s">
        <v>869</v>
      </c>
    </row>
    <row r="67" spans="1:18" s="1292" customFormat="1" ht="16.5" thickBot="1">
      <c r="A67" s="902" t="s">
        <v>394</v>
      </c>
      <c r="B67" s="912" t="s">
        <v>752</v>
      </c>
      <c r="C67" s="308">
        <f ca="1">C48-C58</f>
        <v>0</v>
      </c>
      <c r="D67" s="908" t="s">
        <v>753</v>
      </c>
      <c r="E67" s="913"/>
      <c r="F67" s="914"/>
      <c r="O67" s="1334" t="s">
        <v>405</v>
      </c>
      <c r="P67" s="1326" t="s">
        <v>850</v>
      </c>
      <c r="Q67" s="1370">
        <f ca="1">L51</f>
        <v>0</v>
      </c>
      <c r="R67" s="1327" t="s">
        <v>870</v>
      </c>
    </row>
    <row r="68" spans="1:18" s="1292" customFormat="1" ht="16.5" thickBot="1">
      <c r="A68" s="892" t="s">
        <v>395</v>
      </c>
      <c r="B68" s="893" t="s">
        <v>774</v>
      </c>
      <c r="C68" s="293" t="e">
        <f ca="1">ROUND(C67*(1-((1+F70)/(1+F68))^F69)/(F68-F70),0)</f>
        <v>#DIV/0!</v>
      </c>
      <c r="D68" s="910" t="s">
        <v>758</v>
      </c>
      <c r="E68" s="895" t="s">
        <v>759</v>
      </c>
      <c r="F68" s="304">
        <f ca="1">F40</f>
        <v>0</v>
      </c>
      <c r="O68" s="1334" t="s">
        <v>406</v>
      </c>
      <c r="P68" s="1371" t="s">
        <v>871</v>
      </c>
      <c r="Q68" s="1327">
        <f ca="1">ROUND(Q69-Q70*Q71,0)</f>
        <v>0</v>
      </c>
      <c r="R68" s="1327" t="s">
        <v>414</v>
      </c>
    </row>
    <row r="69" spans="1:18" s="1292" customFormat="1" ht="13.5" thickBot="1">
      <c r="A69" s="896"/>
      <c r="B69" s="897"/>
      <c r="C69" s="298"/>
      <c r="D69" s="915" t="s">
        <v>762</v>
      </c>
      <c r="E69" s="895" t="s">
        <v>763</v>
      </c>
      <c r="F69" s="324">
        <f ca="1">F41</f>
        <v>0</v>
      </c>
      <c r="O69" s="1334" t="s">
        <v>411</v>
      </c>
      <c r="P69" s="1371" t="s">
        <v>872</v>
      </c>
      <c r="Q69" s="1327">
        <f ca="1">C39</f>
        <v>0</v>
      </c>
      <c r="R69" s="1327" t="s">
        <v>818</v>
      </c>
    </row>
    <row r="70" spans="1:18" s="1292" customFormat="1" ht="13.5" thickBot="1">
      <c r="A70" s="899"/>
      <c r="B70" s="900"/>
      <c r="C70" s="302"/>
      <c r="D70" s="911"/>
      <c r="E70" s="895" t="s">
        <v>766</v>
      </c>
      <c r="F70" s="991"/>
      <c r="O70" s="1334" t="s">
        <v>412</v>
      </c>
      <c r="P70" s="1371" t="s">
        <v>873</v>
      </c>
      <c r="Q70" s="1327">
        <f ca="1">C13</f>
        <v>0</v>
      </c>
      <c r="R70" s="1327" t="s">
        <v>818</v>
      </c>
    </row>
    <row r="71" spans="1:18" s="1292" customFormat="1" ht="13.5" thickBot="1">
      <c r="A71" s="916" t="s">
        <v>396</v>
      </c>
      <c r="B71" s="917" t="s">
        <v>776</v>
      </c>
      <c r="C71" s="327" t="e">
        <f ca="1">ROUND(C68*10000/F71,0)</f>
        <v>#DIV/0!</v>
      </c>
      <c r="D71" s="918" t="s">
        <v>777</v>
      </c>
      <c r="E71" s="919" t="s">
        <v>778</v>
      </c>
      <c r="F71" s="330">
        <f ca="1">F43</f>
        <v>0</v>
      </c>
      <c r="O71" s="1334" t="s">
        <v>413</v>
      </c>
      <c r="P71" s="1371" t="s">
        <v>874</v>
      </c>
      <c r="Q71" s="1337">
        <f ca="1">C76</f>
        <v>0</v>
      </c>
      <c r="R71" s="1327"/>
    </row>
    <row r="72" spans="1:18" s="1292" customFormat="1" ht="13.5" thickBot="1">
      <c r="B72" s="684"/>
      <c r="C72" s="684"/>
      <c r="O72" s="1334" t="s">
        <v>407</v>
      </c>
      <c r="P72" s="1326" t="s">
        <v>852</v>
      </c>
      <c r="Q72" s="1337">
        <f>L52</f>
        <v>0</v>
      </c>
      <c r="R72" s="1327"/>
    </row>
    <row r="73" spans="1:18" ht="16.5" thickBot="1">
      <c r="A73" s="1292"/>
      <c r="B73" s="684"/>
      <c r="C73" s="684"/>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61" priority="3">
      <formula>$F$10="自定义"</formula>
    </cfRule>
  </conditionalFormatting>
  <conditionalFormatting sqref="C54">
    <cfRule type="expression" dxfId="160" priority="1">
      <formula>$F$53="自定义"</formula>
    </cfRule>
  </conditionalFormatting>
  <conditionalFormatting sqref="I55 I60">
    <cfRule type="expression" dxfId="159" priority="57">
      <formula>$J$51&gt;$L$48</formula>
    </cfRule>
  </conditionalFormatting>
  <conditionalFormatting sqref="J11">
    <cfRule type="expression" dxfId="158" priority="2">
      <formula>$M$10="自定义"</formula>
    </cfRule>
  </conditionalFormatting>
  <conditionalFormatting sqref="K55 K60">
    <cfRule type="expression" dxfId="15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31" zoomScale="90" zoomScaleNormal="70" zoomScaleSheetLayoutView="90" workbookViewId="0">
      <selection activeCell="L53" sqref="L53"/>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3466</v>
      </c>
      <c r="E1" s="3129" t="s">
        <v>3401</v>
      </c>
      <c r="F1" s="1735" t="s">
        <v>3402</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IF(E1="项目模式",IF(C2="——",ROUND(C50*D3/10000,0),ROUND(C50*D3/10000,0)-D2),IF(E1="单套模式",IF(C2="——",ROUND(C50*D3/10000,4),ROUND(C50*D3/10000,4)-D2)))</f>
        <v>241.07900000000001</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854"/>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686</v>
      </c>
      <c r="B3" s="536">
        <f>IF(C2="——",C50,ROUND(B2*10000/D3,0))</f>
        <v>25614</v>
      </c>
      <c r="C3" s="344" t="s">
        <v>1665</v>
      </c>
      <c r="D3" s="343">
        <f>IF(D1="",'数据-汇总表'!E3,SUMIF('数据-汇总表'!$C19:$C33,D1,'数据-汇总表'!$E19:$E33))</f>
        <v>94.12</v>
      </c>
      <c r="E3" s="1805"/>
      <c r="F3" s="855"/>
      <c r="G3" s="854"/>
      <c r="H3" s="854"/>
      <c r="I3" s="854"/>
      <c r="J3" s="854"/>
      <c r="K3" s="856"/>
      <c r="L3" s="2501"/>
      <c r="M3" s="2502"/>
      <c r="N3" s="2502"/>
      <c r="O3" s="2502"/>
      <c r="P3" s="341"/>
      <c r="Q3" s="341"/>
      <c r="R3" s="341"/>
      <c r="S3" s="341"/>
      <c r="T3" s="341"/>
      <c r="U3" s="341"/>
      <c r="V3" s="341"/>
      <c r="W3" s="341"/>
      <c r="X3" s="341"/>
      <c r="Y3" s="341"/>
      <c r="Z3" s="341"/>
      <c r="AA3" s="341"/>
      <c r="AB3" s="341"/>
      <c r="AC3" s="662"/>
    </row>
    <row r="4" spans="1:29" ht="15">
      <c r="A4" s="345" t="s">
        <v>1666</v>
      </c>
      <c r="B4" s="346"/>
      <c r="C4" s="3382" t="s">
        <v>1667</v>
      </c>
      <c r="D4" s="3383"/>
      <c r="E4" s="3384" t="s">
        <v>1668</v>
      </c>
      <c r="F4" s="3385"/>
      <c r="G4" s="3382" t="s">
        <v>1669</v>
      </c>
      <c r="H4" s="3383"/>
      <c r="I4" s="3382" t="s">
        <v>1670</v>
      </c>
      <c r="J4" s="3383"/>
      <c r="K4" s="537" t="s">
        <v>1671</v>
      </c>
      <c r="L4" s="2484"/>
      <c r="M4" s="2485"/>
      <c r="N4" s="2485"/>
      <c r="O4" s="2485"/>
      <c r="P4" s="3386" t="s">
        <v>1672</v>
      </c>
      <c r="Q4" s="3387"/>
      <c r="R4" s="3369" t="s">
        <v>1668</v>
      </c>
      <c r="S4" s="3370"/>
      <c r="T4" s="3369" t="s">
        <v>1669</v>
      </c>
      <c r="U4" s="3370"/>
      <c r="V4" s="3368" t="s">
        <v>1670</v>
      </c>
      <c r="W4" s="3368"/>
      <c r="X4" s="1809"/>
      <c r="Y4" s="3369" t="s">
        <v>1672</v>
      </c>
      <c r="Z4" s="3370"/>
      <c r="AA4" s="3375" t="s">
        <v>1668</v>
      </c>
      <c r="AB4" s="3375" t="s">
        <v>1669</v>
      </c>
      <c r="AC4" s="3379" t="s">
        <v>1670</v>
      </c>
    </row>
    <row r="5" spans="1:29" ht="15">
      <c r="A5" s="348"/>
      <c r="B5" s="349"/>
      <c r="C5" s="3392" t="s">
        <v>3487</v>
      </c>
      <c r="D5" s="3393"/>
      <c r="E5" s="3394" t="s">
        <v>3492</v>
      </c>
      <c r="F5" s="3395"/>
      <c r="G5" s="3394" t="s">
        <v>3493</v>
      </c>
      <c r="H5" s="3395"/>
      <c r="I5" s="3394" t="s">
        <v>3478</v>
      </c>
      <c r="J5" s="3395"/>
      <c r="K5" s="537"/>
      <c r="L5" s="2484"/>
      <c r="M5" s="2485"/>
      <c r="N5" s="2485"/>
      <c r="O5" s="2485"/>
      <c r="P5" s="3388"/>
      <c r="Q5" s="3389"/>
      <c r="R5" s="3371"/>
      <c r="S5" s="3372"/>
      <c r="T5" s="3371"/>
      <c r="U5" s="3372"/>
      <c r="V5" s="3352"/>
      <c r="W5" s="3352"/>
      <c r="X5" s="1265"/>
      <c r="Y5" s="3371"/>
      <c r="Z5" s="3372"/>
      <c r="AA5" s="3376"/>
      <c r="AB5" s="3376"/>
      <c r="AC5" s="3380"/>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390"/>
      <c r="Q6" s="3391"/>
      <c r="R6" s="3371"/>
      <c r="S6" s="3372"/>
      <c r="T6" s="3373"/>
      <c r="U6" s="3374"/>
      <c r="V6" s="3352"/>
      <c r="W6" s="3352"/>
      <c r="X6" s="1265"/>
      <c r="Y6" s="3373"/>
      <c r="Z6" s="3374"/>
      <c r="AA6" s="3377"/>
      <c r="AB6" s="3377"/>
      <c r="AC6" s="3381"/>
    </row>
    <row r="7" spans="1:29" s="102" customFormat="1" ht="15.75" thickBot="1">
      <c r="A7" s="352" t="s">
        <v>1679</v>
      </c>
      <c r="B7" s="353"/>
      <c r="C7" s="354">
        <f>'数据-取费表'!B2</f>
        <v>45450</v>
      </c>
      <c r="D7" s="355">
        <v>100</v>
      </c>
      <c r="E7" s="356">
        <f>C7</f>
        <v>45450</v>
      </c>
      <c r="F7" s="357">
        <f>SUMIF(59:59,YEAR(E7)&amp;"-"&amp;MONTH(E7),60:60)</f>
        <v>100</v>
      </c>
      <c r="G7" s="356">
        <f>C7</f>
        <v>45450</v>
      </c>
      <c r="H7" s="355">
        <f>SUMIF(59:59,YEAR(G7)&amp;"-"&amp;MONTH(G7),60:60)</f>
        <v>100</v>
      </c>
      <c r="I7" s="356">
        <f>C7</f>
        <v>45450</v>
      </c>
      <c r="J7" s="355">
        <f>SUMIF(59:59,YEAR(I7)&amp;"-"&amp;MONTH(I7),60:60)</f>
        <v>100</v>
      </c>
      <c r="K7" s="38"/>
      <c r="L7" s="2486"/>
      <c r="M7" s="2438"/>
      <c r="N7" s="2438"/>
      <c r="O7" s="2438"/>
      <c r="P7" s="3365" t="s">
        <v>1680</v>
      </c>
      <c r="Q7" s="3378"/>
      <c r="R7" s="663" t="s">
        <v>14</v>
      </c>
      <c r="S7" s="664">
        <f t="shared" ref="S7:S15" si="0">F7</f>
        <v>100</v>
      </c>
      <c r="T7" s="663" t="s">
        <v>14</v>
      </c>
      <c r="U7" s="664">
        <f t="shared" ref="U7:U15" si="1">H7</f>
        <v>100</v>
      </c>
      <c r="V7" s="663" t="s">
        <v>14</v>
      </c>
      <c r="W7" s="664">
        <f t="shared" ref="W7:W15" si="2">J7</f>
        <v>100</v>
      </c>
      <c r="X7" s="665"/>
      <c r="Y7" s="3367" t="s">
        <v>1680</v>
      </c>
      <c r="Z7" s="3366"/>
      <c r="AA7" s="50">
        <f>D7/F7</f>
        <v>1</v>
      </c>
      <c r="AB7" s="50">
        <f>D7/H7</f>
        <v>1</v>
      </c>
      <c r="AC7" s="801">
        <f>D7/J7</f>
        <v>1</v>
      </c>
    </row>
    <row r="8" spans="1:29" s="102" customFormat="1" ht="15.75" thickBot="1">
      <c r="A8" s="352" t="s">
        <v>1681</v>
      </c>
      <c r="B8" s="353"/>
      <c r="C8" s="358" t="s">
        <v>3403</v>
      </c>
      <c r="D8" s="355">
        <v>100</v>
      </c>
      <c r="E8" s="358" t="s">
        <v>3470</v>
      </c>
      <c r="F8" s="357">
        <f>SUMIF(62:62,E8,63:63)-SUMIF(62:62,C8,63:63)+100</f>
        <v>105</v>
      </c>
      <c r="G8" s="358" t="s">
        <v>3470</v>
      </c>
      <c r="H8" s="355">
        <f>SUMIF(62:62,G8,63:63)-SUMIF(62:62,C8,63:63)+100</f>
        <v>105</v>
      </c>
      <c r="I8" s="358" t="s">
        <v>3470</v>
      </c>
      <c r="J8" s="355">
        <f>SUMIF(62:62,I8,63:63)-SUMIF(62:62,C8,63:63)+100</f>
        <v>105</v>
      </c>
      <c r="K8" s="38"/>
      <c r="L8" s="2486"/>
      <c r="M8" s="2438"/>
      <c r="N8" s="2438"/>
      <c r="O8" s="2438"/>
      <c r="P8" s="3365" t="s">
        <v>1683</v>
      </c>
      <c r="Q8" s="3366"/>
      <c r="R8" s="663" t="s">
        <v>14</v>
      </c>
      <c r="S8" s="664">
        <f t="shared" si="0"/>
        <v>105</v>
      </c>
      <c r="T8" s="663" t="s">
        <v>14</v>
      </c>
      <c r="U8" s="664">
        <f t="shared" si="1"/>
        <v>105</v>
      </c>
      <c r="V8" s="663" t="s">
        <v>14</v>
      </c>
      <c r="W8" s="664">
        <f t="shared" si="2"/>
        <v>105</v>
      </c>
      <c r="X8" s="665"/>
      <c r="Y8" s="3367" t="s">
        <v>1683</v>
      </c>
      <c r="Z8" s="3366"/>
      <c r="AA8" s="50">
        <f t="shared" ref="AA8:AA47" si="3">D8/F8</f>
        <v>0.95238095238095233</v>
      </c>
      <c r="AB8" s="50">
        <f t="shared" ref="AB8:AB47" si="4">D8/H8</f>
        <v>0.95238095238095233</v>
      </c>
      <c r="AC8" s="801">
        <f t="shared" ref="AC8:AC47" si="5">D8/J8</f>
        <v>0.95238095238095233</v>
      </c>
    </row>
    <row r="9" spans="1:29" s="102" customFormat="1">
      <c r="A9" s="359" t="s">
        <v>1684</v>
      </c>
      <c r="B9" s="60" t="s">
        <v>1685</v>
      </c>
      <c r="C9" s="3144" t="s">
        <v>3404</v>
      </c>
      <c r="D9" s="59">
        <v>100</v>
      </c>
      <c r="E9" s="362" t="s">
        <v>21</v>
      </c>
      <c r="F9" s="59">
        <f>SUMIF(64:64,E9,65:65)-SUMIF(64:64,C9,65:65)+100</f>
        <v>100</v>
      </c>
      <c r="G9" s="361" t="s">
        <v>21</v>
      </c>
      <c r="H9" s="59">
        <f>SUMIF(64:64,G9,65:65)-SUMIF(64:64,C9,65:65)+100</f>
        <v>100</v>
      </c>
      <c r="I9" s="361" t="s">
        <v>21</v>
      </c>
      <c r="J9" s="59">
        <f>SUMIF(64:64,I9,65:65)-SUMIF(64:64,C9,65:65)+100</f>
        <v>100</v>
      </c>
      <c r="K9" s="38"/>
      <c r="L9" s="2486"/>
      <c r="M9" s="2438"/>
      <c r="N9" s="2438"/>
      <c r="O9" s="2438"/>
      <c r="P9" s="3350" t="s">
        <v>1686</v>
      </c>
      <c r="Q9" s="530"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801">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50"/>
      <c r="Q10" s="530"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50"/>
      <c r="Q11" s="530" t="str">
        <f t="shared" si="6"/>
        <v>容积率</v>
      </c>
      <c r="R11" s="663" t="s">
        <v>14</v>
      </c>
      <c r="S11" s="664">
        <f t="shared" si="0"/>
        <v>100</v>
      </c>
      <c r="T11" s="663" t="s">
        <v>14</v>
      </c>
      <c r="U11" s="664">
        <f t="shared" si="1"/>
        <v>100</v>
      </c>
      <c r="V11" s="663" t="s">
        <v>14</v>
      </c>
      <c r="W11" s="664">
        <f t="shared" si="2"/>
        <v>100</v>
      </c>
      <c r="X11" s="665"/>
      <c r="Y11" s="3249"/>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50"/>
      <c r="Q12" s="530">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50"/>
      <c r="Q13" s="530">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801">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50"/>
      <c r="Q14" s="530">
        <f t="shared" si="6"/>
        <v>111</v>
      </c>
      <c r="R14" s="663" t="s">
        <v>14</v>
      </c>
      <c r="S14" s="664">
        <f t="shared" si="0"/>
        <v>100</v>
      </c>
      <c r="T14" s="663" t="s">
        <v>14</v>
      </c>
      <c r="U14" s="664">
        <f t="shared" si="1"/>
        <v>100</v>
      </c>
      <c r="V14" s="663" t="s">
        <v>14</v>
      </c>
      <c r="W14" s="664">
        <f t="shared" si="2"/>
        <v>100</v>
      </c>
      <c r="X14" s="665"/>
      <c r="Y14" s="3249"/>
      <c r="Z14" s="50">
        <f t="shared" si="7"/>
        <v>111</v>
      </c>
      <c r="AA14" s="50">
        <f t="shared" si="3"/>
        <v>1</v>
      </c>
      <c r="AB14" s="50">
        <f t="shared" si="4"/>
        <v>1</v>
      </c>
      <c r="AC14" s="801">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356" t="s">
        <v>1691</v>
      </c>
      <c r="Q15" s="1263" t="str">
        <f t="shared" si="6"/>
        <v>办公集聚程度</v>
      </c>
      <c r="R15" s="666" t="s">
        <v>14</v>
      </c>
      <c r="S15" s="667">
        <f t="shared" si="0"/>
        <v>100</v>
      </c>
      <c r="T15" s="666" t="s">
        <v>14</v>
      </c>
      <c r="U15" s="667">
        <f t="shared" si="1"/>
        <v>100</v>
      </c>
      <c r="V15" s="666" t="s">
        <v>14</v>
      </c>
      <c r="W15" s="667">
        <f t="shared" si="2"/>
        <v>100</v>
      </c>
      <c r="X15" s="1265"/>
      <c r="Y15" s="3358" t="s">
        <v>1691</v>
      </c>
      <c r="Z15" s="1264" t="str">
        <f t="shared" si="7"/>
        <v>办公集聚程度</v>
      </c>
      <c r="AA15" s="1264">
        <f t="shared" si="3"/>
        <v>1</v>
      </c>
      <c r="AB15" s="1264">
        <f t="shared" si="4"/>
        <v>1</v>
      </c>
      <c r="AC15" s="1812">
        <f t="shared" si="5"/>
        <v>1</v>
      </c>
    </row>
    <row r="16" spans="1:29" ht="15">
      <c r="A16" s="367"/>
      <c r="B16" s="555"/>
      <c r="C16" s="1758" t="s">
        <v>3431</v>
      </c>
      <c r="D16" s="387"/>
      <c r="E16" s="1758" t="s">
        <v>3431</v>
      </c>
      <c r="F16" s="387"/>
      <c r="G16" s="1758" t="s">
        <v>3431</v>
      </c>
      <c r="H16" s="389"/>
      <c r="I16" s="1758" t="s">
        <v>3431</v>
      </c>
      <c r="J16" s="387"/>
      <c r="K16" s="541"/>
      <c r="L16" s="2490"/>
      <c r="M16" s="2485"/>
      <c r="N16" s="2485"/>
      <c r="O16" s="2485"/>
      <c r="P16" s="3357"/>
      <c r="Q16" s="1263"/>
      <c r="R16" s="666"/>
      <c r="S16" s="667"/>
      <c r="T16" s="666"/>
      <c r="U16" s="667"/>
      <c r="V16" s="666"/>
      <c r="W16" s="667"/>
      <c r="X16" s="1265"/>
      <c r="Y16" s="3359"/>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357"/>
      <c r="Q17" s="1263" t="str">
        <f>B17</f>
        <v>交通便捷度</v>
      </c>
      <c r="R17" s="666" t="s">
        <v>14</v>
      </c>
      <c r="S17" s="667">
        <f>F17</f>
        <v>100</v>
      </c>
      <c r="T17" s="666" t="s">
        <v>14</v>
      </c>
      <c r="U17" s="667">
        <f>H17</f>
        <v>100</v>
      </c>
      <c r="V17" s="666" t="s">
        <v>14</v>
      </c>
      <c r="W17" s="667">
        <f>J17</f>
        <v>100</v>
      </c>
      <c r="X17" s="1265"/>
      <c r="Y17" s="3359"/>
      <c r="Z17" s="1264" t="str">
        <f>Q17</f>
        <v>交通便捷度</v>
      </c>
      <c r="AA17" s="1264">
        <f t="shared" si="3"/>
        <v>1</v>
      </c>
      <c r="AB17" s="1264">
        <f t="shared" si="4"/>
        <v>1</v>
      </c>
      <c r="AC17" s="1812">
        <f t="shared" si="5"/>
        <v>1</v>
      </c>
    </row>
    <row r="18" spans="1:29" ht="15">
      <c r="A18" s="367"/>
      <c r="B18" s="401"/>
      <c r="C18" s="1814" t="s">
        <v>3431</v>
      </c>
      <c r="D18" s="389"/>
      <c r="E18" s="1814" t="s">
        <v>3431</v>
      </c>
      <c r="F18" s="389"/>
      <c r="G18" s="1814" t="s">
        <v>3431</v>
      </c>
      <c r="H18" s="387"/>
      <c r="I18" s="1814" t="s">
        <v>3431</v>
      </c>
      <c r="J18" s="387"/>
      <c r="K18" s="541"/>
      <c r="L18" s="2490"/>
      <c r="M18" s="2485"/>
      <c r="N18" s="2485"/>
      <c r="O18" s="2485"/>
      <c r="P18" s="3357"/>
      <c r="Q18" s="1263"/>
      <c r="R18" s="666"/>
      <c r="S18" s="667"/>
      <c r="T18" s="666"/>
      <c r="U18" s="667"/>
      <c r="V18" s="666"/>
      <c r="W18" s="667"/>
      <c r="X18" s="1265"/>
      <c r="Y18" s="3359"/>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357"/>
      <c r="Q19" s="1263" t="str">
        <f>B19</f>
        <v>公共配套设施</v>
      </c>
      <c r="R19" s="666" t="s">
        <v>14</v>
      </c>
      <c r="S19" s="667">
        <f>F19</f>
        <v>100</v>
      </c>
      <c r="T19" s="666" t="s">
        <v>14</v>
      </c>
      <c r="U19" s="667">
        <f>H19</f>
        <v>100</v>
      </c>
      <c r="V19" s="666" t="s">
        <v>14</v>
      </c>
      <c r="W19" s="667">
        <f>J19</f>
        <v>100</v>
      </c>
      <c r="X19" s="1265"/>
      <c r="Y19" s="3359"/>
      <c r="Z19" s="1264" t="str">
        <f>Q19</f>
        <v>公共配套设施</v>
      </c>
      <c r="AA19" s="1264">
        <f t="shared" si="3"/>
        <v>1</v>
      </c>
      <c r="AB19" s="1264">
        <f t="shared" si="4"/>
        <v>1</v>
      </c>
      <c r="AC19" s="1812">
        <f t="shared" si="5"/>
        <v>1</v>
      </c>
    </row>
    <row r="20" spans="1:29" ht="15">
      <c r="A20" s="367"/>
      <c r="B20" s="401"/>
      <c r="C20" s="1758" t="s">
        <v>3431</v>
      </c>
      <c r="D20" s="387"/>
      <c r="E20" s="1758" t="s">
        <v>3431</v>
      </c>
      <c r="F20" s="387"/>
      <c r="G20" s="1758" t="s">
        <v>3431</v>
      </c>
      <c r="H20" s="387"/>
      <c r="I20" s="1758" t="s">
        <v>3431</v>
      </c>
      <c r="J20" s="387"/>
      <c r="K20" s="541"/>
      <c r="L20" s="2490"/>
      <c r="M20" s="2485"/>
      <c r="N20" s="2485"/>
      <c r="O20" s="2485"/>
      <c r="P20" s="3357"/>
      <c r="Q20" s="1263"/>
      <c r="R20" s="666"/>
      <c r="S20" s="667"/>
      <c r="T20" s="666"/>
      <c r="U20" s="667"/>
      <c r="V20" s="666"/>
      <c r="W20" s="667"/>
      <c r="X20" s="1265"/>
      <c r="Y20" s="3359"/>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2</v>
      </c>
      <c r="L21" s="2490"/>
      <c r="M21" s="2485"/>
      <c r="N21" s="2485"/>
      <c r="O21" s="2485"/>
      <c r="P21" s="3357"/>
      <c r="Q21" s="1263" t="str">
        <f>B21</f>
        <v>基础设施水平</v>
      </c>
      <c r="R21" s="666" t="s">
        <v>14</v>
      </c>
      <c r="S21" s="667">
        <f>F21</f>
        <v>100</v>
      </c>
      <c r="T21" s="666" t="s">
        <v>14</v>
      </c>
      <c r="U21" s="667">
        <f>H21</f>
        <v>100</v>
      </c>
      <c r="V21" s="666" t="s">
        <v>14</v>
      </c>
      <c r="W21" s="667">
        <f>J21</f>
        <v>100</v>
      </c>
      <c r="X21" s="1265"/>
      <c r="Y21" s="3359"/>
      <c r="Z21" s="1264" t="str">
        <f>Q21</f>
        <v>基础设施水平</v>
      </c>
      <c r="AA21" s="1264">
        <f t="shared" ref="AA21" si="8">D21/F21</f>
        <v>1</v>
      </c>
      <c r="AB21" s="1264">
        <f t="shared" ref="AB21" si="9">D21/H21</f>
        <v>1</v>
      </c>
      <c r="AC21" s="1812">
        <f t="shared" ref="AC21" si="10">D21/J21</f>
        <v>1</v>
      </c>
    </row>
    <row r="22" spans="1:29" ht="15">
      <c r="A22" s="367"/>
      <c r="B22" s="557"/>
      <c r="C22" s="1814" t="s">
        <v>3422</v>
      </c>
      <c r="D22" s="387"/>
      <c r="E22" s="1814" t="s">
        <v>3422</v>
      </c>
      <c r="F22" s="387"/>
      <c r="G22" s="1814" t="s">
        <v>3422</v>
      </c>
      <c r="H22" s="387"/>
      <c r="I22" s="1814" t="s">
        <v>3422</v>
      </c>
      <c r="J22" s="387"/>
      <c r="K22" s="1064"/>
      <c r="L22" s="2490"/>
      <c r="M22" s="2485"/>
      <c r="N22" s="2485"/>
      <c r="O22" s="2485"/>
      <c r="P22" s="3357"/>
      <c r="Q22" s="1263"/>
      <c r="R22" s="666"/>
      <c r="S22" s="667"/>
      <c r="T22" s="666"/>
      <c r="U22" s="667"/>
      <c r="V22" s="666"/>
      <c r="W22" s="667"/>
      <c r="X22" s="1265"/>
      <c r="Y22" s="3359"/>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5</v>
      </c>
      <c r="L23" s="2490"/>
      <c r="M23" s="2485"/>
      <c r="N23" s="2485"/>
      <c r="O23" s="2485"/>
      <c r="P23" s="3357"/>
      <c r="Q23" s="1263" t="str">
        <f>B23</f>
        <v>环境质量</v>
      </c>
      <c r="R23" s="666" t="s">
        <v>14</v>
      </c>
      <c r="S23" s="667">
        <f>F23</f>
        <v>100</v>
      </c>
      <c r="T23" s="666" t="s">
        <v>14</v>
      </c>
      <c r="U23" s="667">
        <f>H23</f>
        <v>100</v>
      </c>
      <c r="V23" s="666" t="s">
        <v>14</v>
      </c>
      <c r="W23" s="667">
        <f>J23</f>
        <v>100</v>
      </c>
      <c r="X23" s="1265"/>
      <c r="Y23" s="3359"/>
      <c r="Z23" s="1264" t="str">
        <f>Q23</f>
        <v>环境质量</v>
      </c>
      <c r="AA23" s="1264">
        <f t="shared" si="3"/>
        <v>1</v>
      </c>
      <c r="AB23" s="1264">
        <f t="shared" si="4"/>
        <v>1</v>
      </c>
      <c r="AC23" s="1812">
        <f t="shared" si="5"/>
        <v>1</v>
      </c>
    </row>
    <row r="24" spans="1:29" ht="15">
      <c r="A24" s="367"/>
      <c r="B24" s="557"/>
      <c r="C24" s="1758" t="s">
        <v>3431</v>
      </c>
      <c r="D24" s="387"/>
      <c r="E24" s="1758" t="s">
        <v>3431</v>
      </c>
      <c r="F24" s="387"/>
      <c r="G24" s="1758" t="s">
        <v>3431</v>
      </c>
      <c r="H24" s="387"/>
      <c r="I24" s="1758" t="s">
        <v>3431</v>
      </c>
      <c r="J24" s="387"/>
      <c r="K24" s="541"/>
      <c r="L24" s="2490"/>
      <c r="M24" s="2485"/>
      <c r="N24" s="2485"/>
      <c r="O24" s="2485"/>
      <c r="P24" s="3357"/>
      <c r="Q24" s="1263"/>
      <c r="R24" s="666"/>
      <c r="S24" s="667"/>
      <c r="T24" s="666"/>
      <c r="U24" s="667"/>
      <c r="V24" s="666"/>
      <c r="W24" s="667"/>
      <c r="X24" s="1265"/>
      <c r="Y24" s="335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57"/>
      <c r="Q25" s="1263" t="str">
        <f>B25</f>
        <v>毗邻道路的类型与等级</v>
      </c>
      <c r="R25" s="666" t="s">
        <v>14</v>
      </c>
      <c r="S25" s="667">
        <f>F25</f>
        <v>100</v>
      </c>
      <c r="T25" s="666" t="s">
        <v>14</v>
      </c>
      <c r="U25" s="667">
        <f>H25</f>
        <v>100</v>
      </c>
      <c r="V25" s="666" t="s">
        <v>14</v>
      </c>
      <c r="W25" s="667">
        <f>J25</f>
        <v>100</v>
      </c>
      <c r="X25" s="1265"/>
      <c r="Y25" s="335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57"/>
      <c r="Q26" s="1263"/>
      <c r="R26" s="666"/>
      <c r="S26" s="667"/>
      <c r="T26" s="666"/>
      <c r="U26" s="667"/>
      <c r="V26" s="666"/>
      <c r="W26" s="667"/>
      <c r="X26" s="1265"/>
      <c r="Y26" s="3359"/>
      <c r="Z26" s="1264"/>
      <c r="AA26" s="1264">
        <v>1</v>
      </c>
      <c r="AB26" s="1264">
        <v>1</v>
      </c>
      <c r="AC26" s="1812">
        <v>1</v>
      </c>
    </row>
    <row r="27" spans="1:29" ht="15">
      <c r="A27" s="367"/>
      <c r="B27" s="401" t="s">
        <v>1783</v>
      </c>
      <c r="C27" s="558" t="s">
        <v>3408</v>
      </c>
      <c r="D27" s="374">
        <v>100</v>
      </c>
      <c r="E27" s="542" t="s">
        <v>3439</v>
      </c>
      <c r="F27" s="374">
        <f>SUMIF(89:89,E27,90:90)-SUMIF(89:89,C27,90:90)+100</f>
        <v>106</v>
      </c>
      <c r="G27" s="558" t="s">
        <v>3439</v>
      </c>
      <c r="H27" s="374">
        <f>SUMIF(89:89,G27,90:90)-SUMIF(89:89,C27,90:90)+100</f>
        <v>106</v>
      </c>
      <c r="I27" s="542" t="s">
        <v>3406</v>
      </c>
      <c r="J27" s="374">
        <f>SUMIF(89:89,I27,90:90)-SUMIF(89:89,C27,90:90)+100</f>
        <v>103</v>
      </c>
      <c r="K27" s="538">
        <v>3</v>
      </c>
      <c r="L27" s="2490"/>
      <c r="M27" s="2485"/>
      <c r="N27" s="2485"/>
      <c r="O27" s="2485"/>
      <c r="P27" s="3357"/>
      <c r="Q27" s="1263" t="str">
        <f t="shared" ref="Q27:Q47" si="11">B27</f>
        <v>楼层</v>
      </c>
      <c r="R27" s="666" t="s">
        <v>14</v>
      </c>
      <c r="S27" s="667">
        <f>F27</f>
        <v>106</v>
      </c>
      <c r="T27" s="666" t="s">
        <v>14</v>
      </c>
      <c r="U27" s="667">
        <f>H27</f>
        <v>106</v>
      </c>
      <c r="V27" s="666" t="s">
        <v>14</v>
      </c>
      <c r="W27" s="667">
        <f>J27</f>
        <v>103</v>
      </c>
      <c r="X27" s="1265"/>
      <c r="Y27" s="3359"/>
      <c r="Z27" s="1264" t="str">
        <f>Q27</f>
        <v>楼层</v>
      </c>
      <c r="AA27" s="1264">
        <f t="shared" si="3"/>
        <v>0.94339622641509435</v>
      </c>
      <c r="AB27" s="1264">
        <f t="shared" si="4"/>
        <v>0.94339622641509435</v>
      </c>
      <c r="AC27" s="1812">
        <f t="shared" si="5"/>
        <v>0.970873786407767</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57"/>
      <c r="Q28" s="530" t="str">
        <f t="shared" si="11"/>
        <v>朝向</v>
      </c>
      <c r="R28" s="663" t="s">
        <v>14</v>
      </c>
      <c r="S28" s="664">
        <f>F28</f>
        <v>100</v>
      </c>
      <c r="T28" s="663" t="s">
        <v>14</v>
      </c>
      <c r="U28" s="664">
        <f>H28</f>
        <v>100</v>
      </c>
      <c r="V28" s="663" t="s">
        <v>14</v>
      </c>
      <c r="W28" s="664">
        <f>J28</f>
        <v>100</v>
      </c>
      <c r="X28" s="665"/>
      <c r="Y28" s="335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57"/>
      <c r="Q29" s="1263">
        <f t="shared" si="11"/>
        <v>111</v>
      </c>
      <c r="R29" s="666" t="s">
        <v>14</v>
      </c>
      <c r="S29" s="667">
        <f t="shared" ref="S29:S47" si="12">F29</f>
        <v>100</v>
      </c>
      <c r="T29" s="666" t="s">
        <v>14</v>
      </c>
      <c r="U29" s="667">
        <f t="shared" ref="U29:U47" si="13">H29</f>
        <v>100</v>
      </c>
      <c r="V29" s="666" t="s">
        <v>14</v>
      </c>
      <c r="W29" s="667">
        <f t="shared" ref="W29:W47" si="14">J29</f>
        <v>100</v>
      </c>
      <c r="X29" s="1265"/>
      <c r="Y29" s="335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57"/>
      <c r="Q30" s="1263">
        <f t="shared" si="11"/>
        <v>111</v>
      </c>
      <c r="R30" s="666" t="s">
        <v>14</v>
      </c>
      <c r="S30" s="667">
        <f t="shared" si="12"/>
        <v>100</v>
      </c>
      <c r="T30" s="666" t="s">
        <v>14</v>
      </c>
      <c r="U30" s="667">
        <f t="shared" si="13"/>
        <v>100</v>
      </c>
      <c r="V30" s="666" t="s">
        <v>14</v>
      </c>
      <c r="W30" s="667">
        <f t="shared" si="14"/>
        <v>100</v>
      </c>
      <c r="X30" s="1265"/>
      <c r="Y30" s="335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57"/>
      <c r="Q31" s="1263">
        <f t="shared" si="11"/>
        <v>111</v>
      </c>
      <c r="R31" s="666" t="s">
        <v>14</v>
      </c>
      <c r="S31" s="667">
        <f t="shared" si="12"/>
        <v>100</v>
      </c>
      <c r="T31" s="666" t="s">
        <v>14</v>
      </c>
      <c r="U31" s="667">
        <f t="shared" si="13"/>
        <v>100</v>
      </c>
      <c r="V31" s="666" t="s">
        <v>14</v>
      </c>
      <c r="W31" s="667">
        <f t="shared" si="14"/>
        <v>100</v>
      </c>
      <c r="X31" s="1265"/>
      <c r="Y31" s="335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57"/>
      <c r="Q32" s="1263">
        <f t="shared" si="11"/>
        <v>111</v>
      </c>
      <c r="R32" s="666" t="s">
        <v>14</v>
      </c>
      <c r="S32" s="667">
        <f t="shared" si="12"/>
        <v>100</v>
      </c>
      <c r="T32" s="666" t="s">
        <v>14</v>
      </c>
      <c r="U32" s="667">
        <f t="shared" si="13"/>
        <v>100</v>
      </c>
      <c r="V32" s="666" t="s">
        <v>14</v>
      </c>
      <c r="W32" s="667">
        <f t="shared" si="14"/>
        <v>100</v>
      </c>
      <c r="X32" s="1265"/>
      <c r="Y32" s="3359"/>
      <c r="Z32" s="1264">
        <f t="shared" si="15"/>
        <v>111</v>
      </c>
      <c r="AA32" s="1264">
        <f t="shared" si="3"/>
        <v>1</v>
      </c>
      <c r="AB32" s="1264">
        <f t="shared" si="4"/>
        <v>1</v>
      </c>
      <c r="AC32" s="1812">
        <f t="shared" si="5"/>
        <v>1</v>
      </c>
    </row>
    <row r="33" spans="1:29" ht="15">
      <c r="A33" s="379" t="s">
        <v>1694</v>
      </c>
      <c r="B33" s="60" t="s">
        <v>1817</v>
      </c>
      <c r="C33" s="1764" t="s">
        <v>3489</v>
      </c>
      <c r="D33" s="405">
        <v>100</v>
      </c>
      <c r="E33" s="1764" t="s">
        <v>3390</v>
      </c>
      <c r="F33" s="400">
        <f>SUMIF(101:101,E33,102:102)-SUMIF(101:101,C33,102:102)+100</f>
        <v>106</v>
      </c>
      <c r="G33" s="1764" t="s">
        <v>3390</v>
      </c>
      <c r="H33" s="374">
        <f>SUMIF(101:101,G33,102:102)-SUMIF(101:101,C33,102:102)+100</f>
        <v>106</v>
      </c>
      <c r="I33" s="1764" t="s">
        <v>3390</v>
      </c>
      <c r="J33" s="405">
        <f>SUMIF(101:101,I33,102:102)-SUMIF(101:101,C33,102:102)+100</f>
        <v>106</v>
      </c>
      <c r="K33" s="538">
        <v>6</v>
      </c>
      <c r="L33" s="2490"/>
      <c r="M33" s="2485"/>
      <c r="N33" s="2485"/>
      <c r="O33" s="2485"/>
      <c r="P33" s="3360" t="s">
        <v>1696</v>
      </c>
      <c r="Q33" s="1263" t="str">
        <f t="shared" si="11"/>
        <v>建筑类型</v>
      </c>
      <c r="R33" s="666" t="s">
        <v>14</v>
      </c>
      <c r="S33" s="667">
        <f t="shared" si="12"/>
        <v>106</v>
      </c>
      <c r="T33" s="666" t="s">
        <v>14</v>
      </c>
      <c r="U33" s="667">
        <f t="shared" si="13"/>
        <v>106</v>
      </c>
      <c r="V33" s="666" t="s">
        <v>14</v>
      </c>
      <c r="W33" s="667">
        <f t="shared" si="14"/>
        <v>106</v>
      </c>
      <c r="X33" s="1265"/>
      <c r="Y33" s="3363" t="s">
        <v>1696</v>
      </c>
      <c r="Z33" s="1264" t="str">
        <f t="shared" si="15"/>
        <v>建筑类型</v>
      </c>
      <c r="AA33" s="1264">
        <f t="shared" si="3"/>
        <v>0.94339622641509435</v>
      </c>
      <c r="AB33" s="1264">
        <f t="shared" si="4"/>
        <v>0.94339622641509435</v>
      </c>
      <c r="AC33" s="1812">
        <f t="shared" si="5"/>
        <v>0.94339622641509435</v>
      </c>
    </row>
    <row r="34" spans="1:29" s="408" customFormat="1" ht="15">
      <c r="A34" s="406"/>
      <c r="B34" s="364" t="s">
        <v>1697</v>
      </c>
      <c r="C34" s="407">
        <f>'数据-汇总表'!F19</f>
        <v>94.12</v>
      </c>
      <c r="D34" s="119">
        <v>100</v>
      </c>
      <c r="E34" s="369">
        <v>190.14</v>
      </c>
      <c r="F34" s="364">
        <f>LOOKUP(E34,104:104,105:105)-LOOKUP(C34,104:104,105:105)+100</f>
        <v>100</v>
      </c>
      <c r="G34" s="368">
        <v>168.03</v>
      </c>
      <c r="H34" s="119">
        <f>LOOKUP(G34,104:104,105:105)-LOOKUP(C34,104:104,105:105)+100</f>
        <v>100</v>
      </c>
      <c r="I34" s="368">
        <v>232.36</v>
      </c>
      <c r="J34" s="119">
        <f>LOOKUP(I34,104:104,105:105)-LOOKUP(C34,104:104,105:105)+100</f>
        <v>99</v>
      </c>
      <c r="K34" s="539"/>
      <c r="L34" s="2489"/>
      <c r="M34" s="2491"/>
      <c r="N34" s="2491"/>
      <c r="O34" s="2491"/>
      <c r="P34" s="3361"/>
      <c r="Q34" s="531" t="str">
        <f t="shared" si="11"/>
        <v>项目建筑规模</v>
      </c>
      <c r="R34" s="668" t="s">
        <v>14</v>
      </c>
      <c r="S34" s="669">
        <f t="shared" si="12"/>
        <v>100</v>
      </c>
      <c r="T34" s="668" t="s">
        <v>14</v>
      </c>
      <c r="U34" s="669">
        <f t="shared" si="13"/>
        <v>100</v>
      </c>
      <c r="V34" s="668" t="s">
        <v>14</v>
      </c>
      <c r="W34" s="669">
        <f t="shared" si="14"/>
        <v>99</v>
      </c>
      <c r="X34" s="670"/>
      <c r="Y34" s="3363"/>
      <c r="Z34" s="671" t="str">
        <f t="shared" si="15"/>
        <v>项目建筑规模</v>
      </c>
      <c r="AA34" s="1264">
        <f t="shared" si="3"/>
        <v>1</v>
      </c>
      <c r="AB34" s="1264">
        <f t="shared" si="4"/>
        <v>1</v>
      </c>
      <c r="AC34" s="1812">
        <f t="shared" si="5"/>
        <v>1.0101010101010102</v>
      </c>
    </row>
    <row r="35" spans="1:29" ht="15">
      <c r="A35" s="409"/>
      <c r="B35" s="364" t="s">
        <v>1698</v>
      </c>
      <c r="C35" s="399" t="s">
        <v>3395</v>
      </c>
      <c r="D35" s="374">
        <v>100</v>
      </c>
      <c r="E35" s="399" t="s">
        <v>3395</v>
      </c>
      <c r="F35" s="400">
        <f>SUMIF(106:106,E35,107:107)-SUMIF(106:106,C35,107:107)+100</f>
        <v>100</v>
      </c>
      <c r="G35" s="399" t="s">
        <v>3395</v>
      </c>
      <c r="H35" s="374">
        <f>SUMIF(106:106,G35,107:107)-SUMIF(106:106,C35,107:107)+100</f>
        <v>100</v>
      </c>
      <c r="I35" s="399" t="s">
        <v>3395</v>
      </c>
      <c r="J35" s="374">
        <f>SUMIF(106:106,I35,107:107)-SUMIF(106:106,C35,107:107)+100</f>
        <v>100</v>
      </c>
      <c r="K35" s="538">
        <v>1</v>
      </c>
      <c r="L35" s="2490"/>
      <c r="M35" s="2485"/>
      <c r="N35" s="2485"/>
      <c r="O35" s="2485"/>
      <c r="P35" s="3361"/>
      <c r="Q35" s="1263" t="str">
        <f t="shared" si="11"/>
        <v>建筑结构</v>
      </c>
      <c r="R35" s="666" t="s">
        <v>14</v>
      </c>
      <c r="S35" s="667">
        <f t="shared" si="12"/>
        <v>100</v>
      </c>
      <c r="T35" s="666" t="s">
        <v>14</v>
      </c>
      <c r="U35" s="667">
        <f t="shared" si="13"/>
        <v>100</v>
      </c>
      <c r="V35" s="666" t="s">
        <v>14</v>
      </c>
      <c r="W35" s="667">
        <f t="shared" si="14"/>
        <v>100</v>
      </c>
      <c r="X35" s="1265"/>
      <c r="Y35" s="3363"/>
      <c r="Z35" s="1264" t="str">
        <f t="shared" si="15"/>
        <v>建筑结构</v>
      </c>
      <c r="AA35" s="1264">
        <f t="shared" si="3"/>
        <v>1</v>
      </c>
      <c r="AB35" s="1264">
        <f t="shared" si="4"/>
        <v>1</v>
      </c>
      <c r="AC35" s="1812">
        <f t="shared" si="5"/>
        <v>1</v>
      </c>
    </row>
    <row r="36" spans="1:29" ht="15">
      <c r="A36" s="409"/>
      <c r="B36" s="364" t="s">
        <v>1785</v>
      </c>
      <c r="C36" s="399" t="s">
        <v>3413</v>
      </c>
      <c r="D36" s="374">
        <v>100</v>
      </c>
      <c r="E36" s="399" t="s">
        <v>3413</v>
      </c>
      <c r="F36" s="400">
        <f>SUMIF(108:108,E36,109:109)-SUMIF(108:108,C36,109:109)+100</f>
        <v>100</v>
      </c>
      <c r="G36" s="399" t="s">
        <v>3413</v>
      </c>
      <c r="H36" s="374">
        <f>SUMIF(108:108,G36,109:109)-SUMIF(108:108,C36,109:109)+100</f>
        <v>100</v>
      </c>
      <c r="I36" s="399" t="s">
        <v>3413</v>
      </c>
      <c r="J36" s="374">
        <f>SUMIF(108:108,I36,109:109)-SUMIF(108:108,C36,109:109)+100</f>
        <v>100</v>
      </c>
      <c r="K36" s="538">
        <v>2</v>
      </c>
      <c r="L36" s="2490"/>
      <c r="M36" s="2485"/>
      <c r="N36" s="2485"/>
      <c r="O36" s="2485"/>
      <c r="P36" s="3361"/>
      <c r="Q36" s="1263" t="str">
        <f t="shared" si="11"/>
        <v>公共部分装修</v>
      </c>
      <c r="R36" s="666" t="s">
        <v>14</v>
      </c>
      <c r="S36" s="667">
        <f t="shared" si="12"/>
        <v>100</v>
      </c>
      <c r="T36" s="666" t="s">
        <v>14</v>
      </c>
      <c r="U36" s="667">
        <f t="shared" si="13"/>
        <v>100</v>
      </c>
      <c r="V36" s="666" t="s">
        <v>14</v>
      </c>
      <c r="W36" s="667">
        <f t="shared" si="14"/>
        <v>100</v>
      </c>
      <c r="X36" s="1265"/>
      <c r="Y36" s="3363"/>
      <c r="Z36" s="1264" t="str">
        <f t="shared" si="15"/>
        <v>公共部分装修</v>
      </c>
      <c r="AA36" s="1264">
        <f t="shared" si="3"/>
        <v>1</v>
      </c>
      <c r="AB36" s="1264">
        <f t="shared" si="4"/>
        <v>1</v>
      </c>
      <c r="AC36" s="1812">
        <f t="shared" si="5"/>
        <v>1</v>
      </c>
    </row>
    <row r="37" spans="1:29" ht="15">
      <c r="A37" s="409"/>
      <c r="B37" s="364" t="s">
        <v>1786</v>
      </c>
      <c r="C37" s="411">
        <f>'数据-取费表'!N6</f>
        <v>0.72</v>
      </c>
      <c r="D37" s="374">
        <v>100</v>
      </c>
      <c r="E37" s="411">
        <v>0.74</v>
      </c>
      <c r="F37" s="400">
        <f>LOOKUP(E37,111:111,112:112)-LOOKUP(C37,111:111,112:112)+100</f>
        <v>100</v>
      </c>
      <c r="G37" s="411">
        <v>0.73</v>
      </c>
      <c r="H37" s="400">
        <f>LOOKUP(G37,111:111,112:112)-LOOKUP(C37,111:111,112:112)+100</f>
        <v>100</v>
      </c>
      <c r="I37" s="411">
        <v>0.79</v>
      </c>
      <c r="J37" s="374">
        <f>LOOKUP(I37,111:111,112:112)-LOOKUP(C37,111:111,112:112)+100</f>
        <v>100</v>
      </c>
      <c r="K37" s="538">
        <v>2</v>
      </c>
      <c r="L37" s="2490"/>
      <c r="M37" s="2485"/>
      <c r="N37" s="2485"/>
      <c r="O37" s="2485"/>
      <c r="P37" s="3361"/>
      <c r="Q37" s="1263" t="str">
        <f t="shared" si="11"/>
        <v>成新度</v>
      </c>
      <c r="R37" s="666" t="s">
        <v>14</v>
      </c>
      <c r="S37" s="667">
        <f t="shared" si="12"/>
        <v>100</v>
      </c>
      <c r="T37" s="666" t="s">
        <v>14</v>
      </c>
      <c r="U37" s="667">
        <f t="shared" si="13"/>
        <v>100</v>
      </c>
      <c r="V37" s="666" t="s">
        <v>14</v>
      </c>
      <c r="W37" s="667">
        <f t="shared" si="14"/>
        <v>100</v>
      </c>
      <c r="X37" s="1265"/>
      <c r="Y37" s="3363"/>
      <c r="Z37" s="1264" t="str">
        <f t="shared" si="15"/>
        <v>成新度</v>
      </c>
      <c r="AA37" s="1264">
        <f t="shared" si="3"/>
        <v>1</v>
      </c>
      <c r="AB37" s="1264">
        <f t="shared" si="4"/>
        <v>1</v>
      </c>
      <c r="AC37" s="1812">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61"/>
      <c r="Q38" s="530" t="str">
        <f t="shared" si="11"/>
        <v>写字楼等级</v>
      </c>
      <c r="R38" s="663" t="s">
        <v>14</v>
      </c>
      <c r="S38" s="664">
        <f t="shared" si="12"/>
        <v>100</v>
      </c>
      <c r="T38" s="663" t="s">
        <v>14</v>
      </c>
      <c r="U38" s="664">
        <f t="shared" si="13"/>
        <v>100</v>
      </c>
      <c r="V38" s="663" t="s">
        <v>14</v>
      </c>
      <c r="W38" s="664">
        <f t="shared" si="14"/>
        <v>100</v>
      </c>
      <c r="X38" s="665"/>
      <c r="Y38" s="3363"/>
      <c r="Z38" s="50" t="str">
        <f t="shared" si="15"/>
        <v>写字楼等级</v>
      </c>
      <c r="AA38" s="50">
        <f t="shared" si="3"/>
        <v>1</v>
      </c>
      <c r="AB38" s="50">
        <f t="shared" si="4"/>
        <v>1</v>
      </c>
      <c r="AC38" s="801">
        <f t="shared" si="5"/>
        <v>1</v>
      </c>
    </row>
    <row r="39" spans="1:29" ht="15" hidden="1">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61" t="s">
        <v>1696</v>
      </c>
      <c r="Q39" s="1263" t="str">
        <f t="shared" si="11"/>
        <v>物业管理</v>
      </c>
      <c r="R39" s="666" t="s">
        <v>14</v>
      </c>
      <c r="S39" s="667">
        <f t="shared" si="12"/>
        <v>100</v>
      </c>
      <c r="T39" s="666" t="s">
        <v>14</v>
      </c>
      <c r="U39" s="667">
        <f t="shared" si="13"/>
        <v>100</v>
      </c>
      <c r="V39" s="666" t="s">
        <v>14</v>
      </c>
      <c r="W39" s="667">
        <f t="shared" si="14"/>
        <v>100</v>
      </c>
      <c r="X39" s="1265"/>
      <c r="Y39" s="3363" t="s">
        <v>1696</v>
      </c>
      <c r="Z39" s="1264" t="str">
        <f t="shared" si="15"/>
        <v>物业管理</v>
      </c>
      <c r="AA39" s="1264">
        <f t="shared" si="3"/>
        <v>1</v>
      </c>
      <c r="AB39" s="1264">
        <f t="shared" si="4"/>
        <v>1</v>
      </c>
      <c r="AC39" s="1812">
        <f t="shared" si="5"/>
        <v>1</v>
      </c>
    </row>
    <row r="40" spans="1:29" ht="15" hidden="1">
      <c r="A40" s="409"/>
      <c r="B40" s="364" t="s">
        <v>1787</v>
      </c>
      <c r="C40" s="399" t="s">
        <v>3433</v>
      </c>
      <c r="D40" s="374">
        <v>100</v>
      </c>
      <c r="E40" s="399" t="s">
        <v>3433</v>
      </c>
      <c r="F40" s="400">
        <f>SUMIF(117:117,E40,118:118)-SUMIF(117:117,C40,118:118)+100</f>
        <v>100</v>
      </c>
      <c r="G40" s="399" t="s">
        <v>3433</v>
      </c>
      <c r="H40" s="374">
        <f>SUMIF(117:117,G40,118:118)-SUMIF(117:117,C40,118:118)+100</f>
        <v>100</v>
      </c>
      <c r="I40" s="399" t="s">
        <v>3433</v>
      </c>
      <c r="J40" s="374">
        <f>SUMIF(117:117,I40,118:118)-SUMIF(117:117,C40,118:118)+100</f>
        <v>100</v>
      </c>
      <c r="K40" s="538">
        <v>0</v>
      </c>
      <c r="L40" s="2490"/>
      <c r="M40" s="2485"/>
      <c r="N40" s="2485"/>
      <c r="O40" s="2485"/>
      <c r="P40" s="3361"/>
      <c r="Q40" s="1263" t="str">
        <f t="shared" si="11"/>
        <v>市政基础设施</v>
      </c>
      <c r="R40" s="666" t="s">
        <v>14</v>
      </c>
      <c r="S40" s="667">
        <f t="shared" si="12"/>
        <v>100</v>
      </c>
      <c r="T40" s="666" t="s">
        <v>14</v>
      </c>
      <c r="U40" s="667">
        <f t="shared" si="13"/>
        <v>100</v>
      </c>
      <c r="V40" s="666" t="s">
        <v>14</v>
      </c>
      <c r="W40" s="667">
        <f t="shared" si="14"/>
        <v>100</v>
      </c>
      <c r="X40" s="1265"/>
      <c r="Y40" s="3363"/>
      <c r="Z40" s="1264" t="str">
        <f t="shared" si="15"/>
        <v>市政基础设施</v>
      </c>
      <c r="AA40" s="1264">
        <f t="shared" si="3"/>
        <v>1</v>
      </c>
      <c r="AB40" s="1264">
        <f t="shared" si="4"/>
        <v>1</v>
      </c>
      <c r="AC40" s="1812">
        <f t="shared" si="5"/>
        <v>1</v>
      </c>
    </row>
    <row r="41" spans="1:29" ht="15">
      <c r="A41" s="409"/>
      <c r="B41" s="364" t="s">
        <v>1789</v>
      </c>
      <c r="C41" s="542" t="s">
        <v>3429</v>
      </c>
      <c r="D41" s="374">
        <v>100</v>
      </c>
      <c r="E41" s="542" t="s">
        <v>3429</v>
      </c>
      <c r="F41" s="400">
        <f>SUMIF(119:119,E41,120:120)-SUMIF(119:119,C41,120:120)+100</f>
        <v>100</v>
      </c>
      <c r="G41" s="542" t="s">
        <v>3429</v>
      </c>
      <c r="H41" s="374">
        <f>SUMIF(119:119,G41,120:120)-SUMIF(119:119,C41,120:120)+100</f>
        <v>100</v>
      </c>
      <c r="I41" s="542" t="s">
        <v>3429</v>
      </c>
      <c r="J41" s="374">
        <f>SUMIF(119:119,I41,120:120)-SUMIF(119:119,C41,120:120)+100</f>
        <v>100</v>
      </c>
      <c r="K41" s="538">
        <v>2</v>
      </c>
      <c r="L41" s="2490"/>
      <c r="M41" s="2485"/>
      <c r="N41" s="2485"/>
      <c r="O41" s="2485"/>
      <c r="P41" s="3361"/>
      <c r="Q41" s="1263" t="str">
        <f t="shared" si="11"/>
        <v>层高</v>
      </c>
      <c r="R41" s="666" t="s">
        <v>14</v>
      </c>
      <c r="S41" s="667">
        <f t="shared" si="12"/>
        <v>100</v>
      </c>
      <c r="T41" s="666" t="s">
        <v>14</v>
      </c>
      <c r="U41" s="667">
        <f t="shared" si="13"/>
        <v>100</v>
      </c>
      <c r="V41" s="666" t="s">
        <v>14</v>
      </c>
      <c r="W41" s="667">
        <f t="shared" si="14"/>
        <v>100</v>
      </c>
      <c r="X41" s="1265"/>
      <c r="Y41" s="3363"/>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61"/>
      <c r="Q42" s="531" t="str">
        <f t="shared" si="11"/>
        <v>单套建筑面积</v>
      </c>
      <c r="R42" s="668" t="s">
        <v>14</v>
      </c>
      <c r="S42" s="669">
        <f t="shared" si="12"/>
        <v>100</v>
      </c>
      <c r="T42" s="668" t="s">
        <v>14</v>
      </c>
      <c r="U42" s="669">
        <f t="shared" si="13"/>
        <v>100</v>
      </c>
      <c r="V42" s="668" t="s">
        <v>14</v>
      </c>
      <c r="W42" s="669">
        <f t="shared" si="14"/>
        <v>100</v>
      </c>
      <c r="X42" s="670"/>
      <c r="Y42" s="3363"/>
      <c r="Z42" s="671" t="str">
        <f t="shared" si="15"/>
        <v>单套建筑面积</v>
      </c>
      <c r="AA42" s="1264">
        <f t="shared" si="3"/>
        <v>1</v>
      </c>
      <c r="AB42" s="1264">
        <f t="shared" si="4"/>
        <v>1</v>
      </c>
      <c r="AC42" s="1812">
        <f t="shared" si="5"/>
        <v>1</v>
      </c>
    </row>
    <row r="43" spans="1:29" ht="15">
      <c r="A43" s="409"/>
      <c r="B43" s="364" t="s">
        <v>1792</v>
      </c>
      <c r="C43" s="399" t="s">
        <v>3413</v>
      </c>
      <c r="D43" s="374">
        <v>100</v>
      </c>
      <c r="E43" s="399" t="s">
        <v>3413</v>
      </c>
      <c r="F43" s="400">
        <f>SUMIF(123:123,E43,124:124)-SUMIF(123:123,C43,124:124)+100</f>
        <v>100</v>
      </c>
      <c r="G43" s="399" t="s">
        <v>3413</v>
      </c>
      <c r="H43" s="374">
        <f>SUMIF(123:123,G43,124:124)-SUMIF(123:123,C43,124:124)+100</f>
        <v>100</v>
      </c>
      <c r="I43" s="399" t="s">
        <v>3413</v>
      </c>
      <c r="J43" s="374">
        <f>SUMIF(123:123,I43,124:124)-SUMIF(123:123,C43,124:124)+100</f>
        <v>100</v>
      </c>
      <c r="K43" s="538">
        <v>2</v>
      </c>
      <c r="L43" s="2490"/>
      <c r="M43" s="2485"/>
      <c r="N43" s="2485"/>
      <c r="O43" s="2485"/>
      <c r="P43" s="3361"/>
      <c r="Q43" s="1263" t="str">
        <f t="shared" si="11"/>
        <v>内部装修</v>
      </c>
      <c r="R43" s="666" t="s">
        <v>14</v>
      </c>
      <c r="S43" s="667">
        <f t="shared" si="12"/>
        <v>100</v>
      </c>
      <c r="T43" s="666" t="s">
        <v>14</v>
      </c>
      <c r="U43" s="667">
        <f t="shared" si="13"/>
        <v>100</v>
      </c>
      <c r="V43" s="666" t="s">
        <v>14</v>
      </c>
      <c r="W43" s="667">
        <f t="shared" si="14"/>
        <v>100</v>
      </c>
      <c r="X43" s="1265"/>
      <c r="Y43" s="3363"/>
      <c r="Z43" s="1264" t="str">
        <f t="shared" si="15"/>
        <v>内部装修</v>
      </c>
      <c r="AA43" s="1264">
        <f t="shared" si="3"/>
        <v>1</v>
      </c>
      <c r="AB43" s="1264">
        <f t="shared" si="4"/>
        <v>1</v>
      </c>
      <c r="AC43" s="1812">
        <f t="shared" si="5"/>
        <v>1</v>
      </c>
    </row>
    <row r="44" spans="1:29" ht="15">
      <c r="A44" s="409"/>
      <c r="B44" s="364" t="s">
        <v>1707</v>
      </c>
      <c r="C44" s="399" t="s">
        <v>3431</v>
      </c>
      <c r="D44" s="374">
        <v>100</v>
      </c>
      <c r="E44" s="399" t="s">
        <v>3431</v>
      </c>
      <c r="F44" s="400">
        <f>SUMIF(125:125,E44,126:126)-SUMIF(125:125,C44,126:126)+100</f>
        <v>100</v>
      </c>
      <c r="G44" s="399" t="s">
        <v>3431</v>
      </c>
      <c r="H44" s="374">
        <f>SUMIF(125:125,G44,126:126)-SUMIF(125:125,C44,126:126)+100</f>
        <v>100</v>
      </c>
      <c r="I44" s="399" t="s">
        <v>3431</v>
      </c>
      <c r="J44" s="374">
        <f>SUMIF(125:125,I44,126:126)-SUMIF(125:125,C44,126:126)+100</f>
        <v>100</v>
      </c>
      <c r="K44" s="538">
        <v>1</v>
      </c>
      <c r="L44" s="2490"/>
      <c r="M44" s="2485"/>
      <c r="N44" s="2485"/>
      <c r="O44" s="2485"/>
      <c r="P44" s="3361"/>
      <c r="Q44" s="1263" t="str">
        <f t="shared" si="11"/>
        <v>内部装修维护情况</v>
      </c>
      <c r="R44" s="666" t="s">
        <v>14</v>
      </c>
      <c r="S44" s="667">
        <f t="shared" si="12"/>
        <v>100</v>
      </c>
      <c r="T44" s="666" t="s">
        <v>14</v>
      </c>
      <c r="U44" s="667">
        <f t="shared" si="13"/>
        <v>100</v>
      </c>
      <c r="V44" s="666" t="s">
        <v>14</v>
      </c>
      <c r="W44" s="667">
        <f t="shared" si="14"/>
        <v>100</v>
      </c>
      <c r="X44" s="1265"/>
      <c r="Y44" s="3363"/>
      <c r="Z44" s="1264" t="str">
        <f t="shared" si="15"/>
        <v>内部装修维护情况</v>
      </c>
      <c r="AA44" s="1264">
        <f t="shared" si="3"/>
        <v>1</v>
      </c>
      <c r="AB44" s="1264">
        <f t="shared" si="4"/>
        <v>1</v>
      </c>
      <c r="AC44" s="1812">
        <f t="shared" si="5"/>
        <v>1</v>
      </c>
    </row>
    <row r="45" spans="1:29" s="102" customFormat="1" ht="15">
      <c r="A45" s="410"/>
      <c r="B45" s="3155" t="s">
        <v>3479</v>
      </c>
      <c r="C45" s="3156" t="s">
        <v>3481</v>
      </c>
      <c r="D45" s="119">
        <v>100</v>
      </c>
      <c r="E45" s="3157" t="s">
        <v>3480</v>
      </c>
      <c r="F45" s="364">
        <f>SUMIF(127:127,E45,128:128)-SUMIF(127:127,C45,128:128)+100</f>
        <v>105</v>
      </c>
      <c r="G45" s="3157" t="s">
        <v>3480</v>
      </c>
      <c r="H45" s="119">
        <f>SUMIF(127:127,G45,128:128)-SUMIF(127:127,C45,128:128)+100</f>
        <v>105</v>
      </c>
      <c r="I45" s="3157" t="s">
        <v>3480</v>
      </c>
      <c r="J45" s="119">
        <f>SUMIF(127:127,I45,128:128)-SUMIF(127:127,C45,128:128)+100</f>
        <v>105</v>
      </c>
      <c r="K45" s="539"/>
      <c r="L45" s="2486"/>
      <c r="M45" s="2438"/>
      <c r="N45" s="2438"/>
      <c r="O45" s="2438"/>
      <c r="P45" s="3361"/>
      <c r="Q45" s="530" t="str">
        <f t="shared" si="11"/>
        <v>品质</v>
      </c>
      <c r="R45" s="663" t="s">
        <v>14</v>
      </c>
      <c r="S45" s="664">
        <f t="shared" si="12"/>
        <v>105</v>
      </c>
      <c r="T45" s="663" t="s">
        <v>14</v>
      </c>
      <c r="U45" s="664">
        <f t="shared" si="13"/>
        <v>105</v>
      </c>
      <c r="V45" s="663" t="s">
        <v>14</v>
      </c>
      <c r="W45" s="664">
        <f t="shared" si="14"/>
        <v>105</v>
      </c>
      <c r="X45" s="665"/>
      <c r="Y45" s="3363"/>
      <c r="Z45" s="50" t="str">
        <f t="shared" si="15"/>
        <v>品质</v>
      </c>
      <c r="AA45" s="50">
        <f t="shared" si="3"/>
        <v>0.95238095238095233</v>
      </c>
      <c r="AB45" s="50">
        <f t="shared" si="4"/>
        <v>0.95238095238095233</v>
      </c>
      <c r="AC45" s="801">
        <f t="shared" si="5"/>
        <v>0.95238095238095233</v>
      </c>
    </row>
    <row r="46" spans="1:29" ht="15">
      <c r="A46" s="409"/>
      <c r="B46" s="3155" t="s">
        <v>3473</v>
      </c>
      <c r="C46" s="373">
        <v>2002</v>
      </c>
      <c r="D46" s="374">
        <v>100</v>
      </c>
      <c r="E46" s="371">
        <v>2005</v>
      </c>
      <c r="F46" s="400">
        <f>SUMIF(129:129,E46,130:130)-SUMIF(129:129,C46,130:130)+100</f>
        <v>100</v>
      </c>
      <c r="G46" s="371">
        <v>2003</v>
      </c>
      <c r="H46" s="374">
        <f>SUMIF(129:129,G46,130:130)-SUMIF(129:129,C46,130:130)+100</f>
        <v>100</v>
      </c>
      <c r="I46" s="371">
        <v>2011</v>
      </c>
      <c r="J46" s="374">
        <f>SUMIF(129:129,I46,130:130)-SUMIF(129:129,C46,130:130)+100</f>
        <v>100</v>
      </c>
      <c r="K46" s="539"/>
      <c r="L46" s="2490"/>
      <c r="M46" s="2485"/>
      <c r="N46" s="2485"/>
      <c r="O46" s="2485"/>
      <c r="P46" s="3361"/>
      <c r="Q46" s="1263" t="str">
        <f t="shared" si="11"/>
        <v>建成年代</v>
      </c>
      <c r="R46" s="666" t="s">
        <v>14</v>
      </c>
      <c r="S46" s="667">
        <f t="shared" si="12"/>
        <v>100</v>
      </c>
      <c r="T46" s="666" t="s">
        <v>14</v>
      </c>
      <c r="U46" s="667">
        <f t="shared" si="13"/>
        <v>100</v>
      </c>
      <c r="V46" s="666" t="s">
        <v>14</v>
      </c>
      <c r="W46" s="667">
        <f t="shared" si="14"/>
        <v>100</v>
      </c>
      <c r="X46" s="1265"/>
      <c r="Y46" s="3363"/>
      <c r="Z46" s="1264" t="str">
        <f t="shared" si="15"/>
        <v>建成年代</v>
      </c>
      <c r="AA46" s="1264">
        <f t="shared" si="3"/>
        <v>1</v>
      </c>
      <c r="AB46" s="1264">
        <f t="shared" si="4"/>
        <v>1</v>
      </c>
      <c r="AC46" s="1812">
        <f t="shared" si="5"/>
        <v>1</v>
      </c>
    </row>
    <row r="47" spans="1:29" ht="29.25" thickBot="1">
      <c r="A47" s="415"/>
      <c r="B47" s="1749">
        <v>111</v>
      </c>
      <c r="C47" s="376"/>
      <c r="D47" s="377">
        <v>100</v>
      </c>
      <c r="E47" s="3158" t="s">
        <v>3484</v>
      </c>
      <c r="F47" s="378">
        <f>SUMIF(131:131,E47,132:132)-SUMIF(131:131,C47,132:132)+100</f>
        <v>100</v>
      </c>
      <c r="G47" s="3158" t="s">
        <v>3486</v>
      </c>
      <c r="H47" s="377">
        <f>SUMIF(131:131,G47,132:132)-SUMIF(131:131,C47,132:132)+100</f>
        <v>100</v>
      </c>
      <c r="I47" s="3158" t="s">
        <v>3485</v>
      </c>
      <c r="J47" s="377">
        <f>SUMIF(131:131,I47,132:132)-SUMIF(131:131,C47,132:132)+100</f>
        <v>100</v>
      </c>
      <c r="K47" s="539"/>
      <c r="L47" s="2490"/>
      <c r="M47" s="2485"/>
      <c r="N47" s="2485"/>
      <c r="O47" s="2485"/>
      <c r="P47" s="3362"/>
      <c r="Q47" s="1263">
        <f t="shared" si="11"/>
        <v>111</v>
      </c>
      <c r="R47" s="666" t="s">
        <v>14</v>
      </c>
      <c r="S47" s="667">
        <f t="shared" si="12"/>
        <v>100</v>
      </c>
      <c r="T47" s="666" t="s">
        <v>14</v>
      </c>
      <c r="U47" s="667">
        <f t="shared" si="13"/>
        <v>100</v>
      </c>
      <c r="V47" s="666" t="s">
        <v>14</v>
      </c>
      <c r="W47" s="667">
        <f t="shared" si="14"/>
        <v>100</v>
      </c>
      <c r="X47" s="1265"/>
      <c r="Y47" s="3364"/>
      <c r="Z47" s="1264">
        <f t="shared" si="15"/>
        <v>111</v>
      </c>
      <c r="AA47" s="1264">
        <f t="shared" si="3"/>
        <v>1</v>
      </c>
      <c r="AB47" s="1264">
        <f t="shared" si="4"/>
        <v>1</v>
      </c>
      <c r="AC47" s="1812">
        <f t="shared" si="5"/>
        <v>1</v>
      </c>
    </row>
    <row r="48" spans="1:29" ht="15">
      <c r="A48" s="416" t="s">
        <v>1708</v>
      </c>
      <c r="B48" s="417"/>
      <c r="C48" s="1081" t="s">
        <v>0</v>
      </c>
      <c r="D48" s="418"/>
      <c r="E48" s="419">
        <v>32000</v>
      </c>
      <c r="F48" s="420"/>
      <c r="G48" s="419">
        <v>29638</v>
      </c>
      <c r="H48" s="422"/>
      <c r="I48" s="419">
        <v>32278</v>
      </c>
      <c r="J48" s="422"/>
      <c r="K48" s="673"/>
      <c r="L48" s="2492"/>
      <c r="M48" s="2485"/>
      <c r="N48" s="2485"/>
      <c r="O48" s="2485"/>
      <c r="P48" s="3350" t="str">
        <f>A48</f>
        <v>成交单价（元/平方米）</v>
      </c>
      <c r="Q48" s="3351"/>
      <c r="R48" s="3352">
        <f>E48</f>
        <v>32000</v>
      </c>
      <c r="S48" s="3352"/>
      <c r="T48" s="3352">
        <f>G48</f>
        <v>29638</v>
      </c>
      <c r="U48" s="3352"/>
      <c r="V48" s="3352">
        <f>I48</f>
        <v>32278</v>
      </c>
      <c r="W48" s="3352"/>
      <c r="X48" s="385"/>
      <c r="Y48" s="672"/>
      <c r="Z48" s="385"/>
      <c r="AA48" s="385"/>
      <c r="AB48" s="385"/>
      <c r="AC48" s="555"/>
    </row>
    <row r="49" spans="1:29" ht="15.75" thickBot="1">
      <c r="A49" s="423" t="s">
        <v>1709</v>
      </c>
      <c r="B49" s="424"/>
      <c r="C49" s="1082">
        <f>R50</f>
        <v>25614</v>
      </c>
      <c r="D49" s="2141" t="s">
        <v>2137</v>
      </c>
      <c r="E49" s="1083">
        <f>R49</f>
        <v>25832</v>
      </c>
      <c r="F49" s="2142"/>
      <c r="G49" s="1082">
        <f>T49</f>
        <v>23925</v>
      </c>
      <c r="H49" s="2142"/>
      <c r="I49" s="1083">
        <f>V49</f>
        <v>27086</v>
      </c>
      <c r="J49" s="2142"/>
      <c r="K49" s="2144">
        <f>F49+H49+J49</f>
        <v>0</v>
      </c>
      <c r="L49" s="2492"/>
      <c r="M49" s="2485"/>
      <c r="N49" s="2485"/>
      <c r="O49" s="2485"/>
      <c r="P49" s="3350" t="str">
        <f>A49</f>
        <v>比较价值（元/平方米）</v>
      </c>
      <c r="Q49" s="3351"/>
      <c r="R49" s="3352">
        <f>IF(F1="售价",ROUND(PRODUCT(R48,AA7:AA47),0),ROUND(PRODUCT(R48,AA7:AA47),1))</f>
        <v>25832</v>
      </c>
      <c r="S49" s="3352"/>
      <c r="T49" s="3352">
        <f>IF(F1="售价",ROUND(PRODUCT(T48,AB7:AB47),0),ROUND(PRODUCT(T48,AB7:AB47),1))</f>
        <v>23925</v>
      </c>
      <c r="U49" s="3352"/>
      <c r="V49" s="3352">
        <f>IF(F1="售价",ROUND(PRODUCT(V48,AC7:AC47),0),ROUND(PRODUCT(V48,AC7:AC47),1))</f>
        <v>27086</v>
      </c>
      <c r="W49" s="3352"/>
      <c r="X49" s="385"/>
      <c r="Y49" s="385"/>
      <c r="Z49" s="385"/>
      <c r="AA49" s="385"/>
      <c r="AB49" s="385"/>
      <c r="AC49" s="555"/>
    </row>
    <row r="50" spans="1:29" ht="15.75" thickBot="1">
      <c r="A50" s="427" t="s">
        <v>1710</v>
      </c>
      <c r="B50" s="428"/>
      <c r="C50" s="351">
        <f>R50</f>
        <v>25614</v>
      </c>
      <c r="D50" s="351"/>
      <c r="E50" s="351"/>
      <c r="F50" s="351"/>
      <c r="G50" s="351"/>
      <c r="H50" s="351"/>
      <c r="I50" s="351"/>
      <c r="J50" s="429"/>
      <c r="K50" s="674"/>
      <c r="L50" s="2492"/>
      <c r="M50" s="2485"/>
      <c r="N50" s="2485"/>
      <c r="O50" s="2485"/>
      <c r="P50" s="3353" t="str">
        <f>A50</f>
        <v>估价对象XX用房的比较价值（楼面单价，元/平方米）</v>
      </c>
      <c r="Q50" s="3354"/>
      <c r="R50" s="3355">
        <f>IF(F1="售价",ROUND(IF(D49="简单平均",AVERAGE(R49:V49),R49*F49+T49*H49+V49*J49),0),ROUND(IF(D49="简单平均",AVERAGE(R49:V49),R49*F49+T49*H49+V49*J49),1))</f>
        <v>25614</v>
      </c>
      <c r="S50" s="3355"/>
      <c r="T50" s="3355"/>
      <c r="U50" s="3355"/>
      <c r="V50" s="3355"/>
      <c r="W50" s="3355"/>
      <c r="X50" s="1798"/>
      <c r="Y50" s="1798"/>
      <c r="Z50" s="1798"/>
      <c r="AA50" s="1798"/>
      <c r="AB50" s="1798"/>
      <c r="AC50" s="1799"/>
    </row>
    <row r="51" spans="1:29">
      <c r="A51" s="2485"/>
      <c r="B51" s="3149" t="s">
        <v>3440</v>
      </c>
      <c r="C51" s="2485">
        <v>26607</v>
      </c>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1711</v>
      </c>
      <c r="D53" s="433"/>
      <c r="E53" s="434">
        <f>IF(E48&lt;E49,E49/E48-1,E48/E49-1)</f>
        <v>0.23877361412201914</v>
      </c>
      <c r="F53" s="435" t="str">
        <f>IF(OR(E53&gt;=0.3,E53&lt;=-0.3),"超过30%","")</f>
        <v/>
      </c>
      <c r="G53" s="434">
        <f>IF(G48&lt;G49,G49/G48-1,G48/G49-1)</f>
        <v>0.23878787878787877</v>
      </c>
      <c r="H53" s="435" t="str">
        <f>IF(OR(G53&gt;=0.3,G53&lt;=-0.3),"超过30%","")</f>
        <v/>
      </c>
      <c r="I53" s="434">
        <f>IF(I48&lt;I49,I49/I48-1,I48/I49-1)</f>
        <v>0.19168574171158537</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1712</v>
      </c>
      <c r="D54" s="436"/>
      <c r="E54" s="434">
        <f>IF(E49&lt;G49,G49/E49-1,E49/G49-1)</f>
        <v>7.9707419017763792E-2</v>
      </c>
      <c r="F54" s="435" t="str">
        <f>IF(OR(E54&gt;=0.2,E54&lt;=-0.2),"超过20%","")</f>
        <v/>
      </c>
      <c r="G54" s="434">
        <f>IF(G49&lt;I49,I49/G49-1,G49/I49-1)</f>
        <v>0.13212121212121208</v>
      </c>
      <c r="H54" s="435" t="str">
        <f>IF(OR(G54&gt;=0.2,G54&lt;=-0.2),"超过20%","")</f>
        <v/>
      </c>
      <c r="I54" s="434">
        <f>IF(I49&lt;E49,E49/I49-1,I49/E49-1)</f>
        <v>4.8544441003406602E-2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1713</v>
      </c>
      <c r="D55" s="436"/>
      <c r="E55" s="434">
        <f>IF(E48&lt;G48,G48/E48-1,E48/G48-1)</f>
        <v>7.9694986166408022E-2</v>
      </c>
      <c r="F55" s="435" t="str">
        <f>IF(OR(E55&gt;=0.3,E55&lt;=-0.3),"超过30%","")</f>
        <v/>
      </c>
      <c r="G55" s="434">
        <f>IF(G48&lt;I48,I48/G48-1,G48/I48-1)</f>
        <v>8.9074836358728593E-2</v>
      </c>
      <c r="H55" s="435" t="str">
        <f>IF(OR(G55&gt;=0.3,G55&lt;=-0.3),"超过30%","")</f>
        <v/>
      </c>
      <c r="I55" s="434">
        <f>IF(I48&lt;E48,E48/I48-1,I48/E48-1)</f>
        <v>8.6874999999999591E-3</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7" t="s">
        <v>1714</v>
      </c>
      <c r="B58" s="385"/>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2024-6</v>
      </c>
      <c r="D59" s="1104">
        <f>EDATE(C59,-1)</f>
        <v>45413</v>
      </c>
      <c r="E59" s="1104">
        <f>EDATE(D59,-1)</f>
        <v>45383</v>
      </c>
      <c r="F59" s="1104">
        <f t="shared" ref="F59:O59" si="16">EDATE(E59,-1)</f>
        <v>45352</v>
      </c>
      <c r="G59" s="1104">
        <f t="shared" si="16"/>
        <v>45323</v>
      </c>
      <c r="H59" s="1104">
        <f t="shared" si="16"/>
        <v>45292</v>
      </c>
      <c r="I59" s="1104">
        <f t="shared" si="16"/>
        <v>45261</v>
      </c>
      <c r="J59" s="1104">
        <f t="shared" si="16"/>
        <v>45231</v>
      </c>
      <c r="K59" s="1104">
        <f t="shared" si="16"/>
        <v>45200</v>
      </c>
      <c r="L59" s="1104">
        <f t="shared" si="16"/>
        <v>45170</v>
      </c>
      <c r="M59" s="1104">
        <f t="shared" si="16"/>
        <v>45139</v>
      </c>
      <c r="N59" s="1104">
        <f t="shared" si="16"/>
        <v>45108</v>
      </c>
      <c r="O59" s="1104">
        <f t="shared" si="16"/>
        <v>45078</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1718</v>
      </c>
      <c r="D62" s="3145" t="s">
        <v>3471</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0（含）-1</v>
      </c>
      <c r="D68" s="478" t="str">
        <f t="shared" ref="D68:L68" si="17">D69&amp;"（含）"&amp;"-"&amp;E69</f>
        <v>1（含）-2</v>
      </c>
      <c r="E68" s="478" t="str">
        <f t="shared" si="17"/>
        <v>2（含）-3</v>
      </c>
      <c r="F68" s="478" t="str">
        <f t="shared" si="17"/>
        <v>3（含）-4</v>
      </c>
      <c r="G68" s="478" t="str">
        <f t="shared" si="17"/>
        <v>4（含）-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1</v>
      </c>
      <c r="E69" s="480">
        <v>2</v>
      </c>
      <c r="F69" s="480">
        <v>3</v>
      </c>
      <c r="G69" s="480">
        <v>4</v>
      </c>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98</v>
      </c>
      <c r="E84" s="475">
        <f>D84-$K21</f>
        <v>96</v>
      </c>
      <c r="F84" s="475">
        <f>E84-$K21</f>
        <v>94</v>
      </c>
      <c r="G84" s="475">
        <f>F84-$K21</f>
        <v>92</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95</v>
      </c>
      <c r="E86" s="475">
        <f>D86-$K23</f>
        <v>90</v>
      </c>
      <c r="F86" s="475">
        <f>E86-$K23</f>
        <v>85</v>
      </c>
      <c r="G86" s="475">
        <f>F86-$K23</f>
        <v>80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3146" t="s">
        <v>3405</v>
      </c>
      <c r="D89" s="3146" t="s">
        <v>3407</v>
      </c>
      <c r="E89" s="3146" t="s">
        <v>3409</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47" t="s">
        <v>3494</v>
      </c>
      <c r="D101" s="3147" t="s">
        <v>3490</v>
      </c>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94</v>
      </c>
      <c r="E102" s="475">
        <f t="shared" si="22"/>
        <v>88</v>
      </c>
      <c r="F102" s="475">
        <f t="shared" si="22"/>
        <v>82</v>
      </c>
      <c r="G102" s="475">
        <f t="shared" si="22"/>
        <v>76</v>
      </c>
      <c r="H102" s="475">
        <f t="shared" si="22"/>
        <v>70</v>
      </c>
      <c r="I102" s="475">
        <f t="shared" si="22"/>
        <v>64</v>
      </c>
      <c r="J102" s="475">
        <f t="shared" si="22"/>
        <v>58</v>
      </c>
      <c r="K102" s="475">
        <f t="shared" si="22"/>
        <v>52</v>
      </c>
      <c r="L102" s="475">
        <f t="shared" si="22"/>
        <v>46</v>
      </c>
      <c r="M102" s="476">
        <f t="shared" si="22"/>
        <v>40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0(含)-200</v>
      </c>
      <c r="D103" s="509" t="str">
        <f t="shared" ref="D103:L103" si="23">D104&amp;"(含)"&amp;"-"&amp;E104</f>
        <v>200(含)-400</v>
      </c>
      <c r="E103" s="509" t="str">
        <f t="shared" si="23"/>
        <v>400(含)-600</v>
      </c>
      <c r="F103" s="509" t="str">
        <f t="shared" si="23"/>
        <v>600(含)-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200</v>
      </c>
      <c r="E104" s="6">
        <v>400</v>
      </c>
      <c r="F104" s="6">
        <v>600</v>
      </c>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v>100</v>
      </c>
      <c r="D105" s="467">
        <v>99</v>
      </c>
      <c r="E105" s="467">
        <v>98</v>
      </c>
      <c r="F105" s="467">
        <v>97</v>
      </c>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46" t="s">
        <v>3412</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46" t="s">
        <v>3414</v>
      </c>
      <c r="D108" s="3146" t="s">
        <v>3415</v>
      </c>
      <c r="E108" s="3146" t="s">
        <v>3416</v>
      </c>
      <c r="F108" s="3148" t="s">
        <v>3417</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46" t="s">
        <v>3418</v>
      </c>
      <c r="D113" s="3146" t="s">
        <v>3419</v>
      </c>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46" t="s">
        <v>3420</v>
      </c>
      <c r="D115" s="3146" t="s">
        <v>3421</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46" t="s">
        <v>3423</v>
      </c>
      <c r="D117" s="3146" t="s">
        <v>3425</v>
      </c>
      <c r="E117" s="3146" t="s">
        <v>3426</v>
      </c>
      <c r="F117" s="3146" t="s">
        <v>3427</v>
      </c>
      <c r="G117" s="3146" t="s">
        <v>3428</v>
      </c>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48" t="s">
        <v>3430</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46" t="s">
        <v>3414</v>
      </c>
      <c r="D123" s="3146" t="s">
        <v>3415</v>
      </c>
      <c r="E123" s="3146" t="s">
        <v>3416</v>
      </c>
      <c r="F123" s="3148" t="s">
        <v>3417</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t="str">
        <f>B45</f>
        <v>品质</v>
      </c>
      <c r="C127" s="3146" t="s">
        <v>3480</v>
      </c>
      <c r="D127" s="3146" t="s">
        <v>3481</v>
      </c>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v>100</v>
      </c>
      <c r="D128" s="467">
        <v>95</v>
      </c>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t="str">
        <f>B46</f>
        <v>建成年代</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56" priority="14" stopIfTrue="1">
      <formula>$F$53="超过30%"</formula>
    </cfRule>
  </conditionalFormatting>
  <conditionalFormatting sqref="E54">
    <cfRule type="expression" dxfId="155" priority="13" stopIfTrue="1">
      <formula>$F$54="超过20%"</formula>
    </cfRule>
  </conditionalFormatting>
  <conditionalFormatting sqref="E55">
    <cfRule type="expression" dxfId="154" priority="12" stopIfTrue="1">
      <formula>$F$55="超过30%"</formula>
    </cfRule>
  </conditionalFormatting>
  <conditionalFormatting sqref="F7:F47 H7:H47 J7:J47">
    <cfRule type="cellIs" dxfId="153" priority="1" operator="notEqual">
      <formula>100</formula>
    </cfRule>
  </conditionalFormatting>
  <conditionalFormatting sqref="F49">
    <cfRule type="expression" dxfId="152" priority="4">
      <formula>$D$49="简单平均"</formula>
    </cfRule>
  </conditionalFormatting>
  <conditionalFormatting sqref="F53:F55 H53:H55">
    <cfRule type="containsText" dxfId="151" priority="15" stopIfTrue="1" operator="containsText" text="超过">
      <formula>NOT(ISERROR(SEARCH("超过",F53)))</formula>
    </cfRule>
  </conditionalFormatting>
  <conditionalFormatting sqref="G53">
    <cfRule type="expression" dxfId="150" priority="10" stopIfTrue="1">
      <formula>$H$53="超过30%"</formula>
    </cfRule>
  </conditionalFormatting>
  <conditionalFormatting sqref="G54">
    <cfRule type="expression" dxfId="149" priority="9" stopIfTrue="1">
      <formula>$H$54="超过20%"</formula>
    </cfRule>
  </conditionalFormatting>
  <conditionalFormatting sqref="G55">
    <cfRule type="expression" dxfId="148" priority="11" stopIfTrue="1">
      <formula>$H$55="超过30%"</formula>
    </cfRule>
  </conditionalFormatting>
  <conditionalFormatting sqref="H49">
    <cfRule type="expression" dxfId="147" priority="3">
      <formula>$D$49="简单平均"</formula>
    </cfRule>
  </conditionalFormatting>
  <conditionalFormatting sqref="I53">
    <cfRule type="expression" dxfId="146" priority="7" stopIfTrue="1">
      <formula>$J$53="超过30%"</formula>
    </cfRule>
  </conditionalFormatting>
  <conditionalFormatting sqref="I54">
    <cfRule type="expression" dxfId="145" priority="6" stopIfTrue="1">
      <formula>$J$53+$J$54="超过20%"</formula>
    </cfRule>
  </conditionalFormatting>
  <conditionalFormatting sqref="I55">
    <cfRule type="expression" dxfId="144" priority="5" stopIfTrue="1">
      <formula>$J$55="超过30%"</formula>
    </cfRule>
  </conditionalFormatting>
  <conditionalFormatting sqref="J49">
    <cfRule type="expression" dxfId="143" priority="2">
      <formula>$D$49="简单平均"</formula>
    </cfRule>
  </conditionalFormatting>
  <conditionalFormatting sqref="J53:J55">
    <cfRule type="containsText" dxfId="142"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80" zoomScaleNormal="70" zoomScaleSheetLayoutView="80" workbookViewId="0">
      <selection activeCell="B3" sqref="B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2"/>
      <c r="C1" s="1287" t="s">
        <v>3466</v>
      </c>
      <c r="D1" s="1271" t="s">
        <v>43</v>
      </c>
      <c r="E1" s="1272" t="s">
        <v>678</v>
      </c>
      <c r="F1" s="999">
        <f ca="1">J53</f>
        <v>19</v>
      </c>
      <c r="G1" s="1286">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3" t="s">
        <v>878</v>
      </c>
      <c r="B2" s="3121">
        <f ca="1">ROUND(D2/10000,4)</f>
        <v>128.05099999999999</v>
      </c>
      <c r="C2" s="1289" t="s">
        <v>879</v>
      </c>
      <c r="D2" s="1375">
        <f ca="1">C40+J29+L46</f>
        <v>1280510</v>
      </c>
      <c r="E2" s="1295" t="s">
        <v>880</v>
      </c>
      <c r="F2" s="1296"/>
      <c r="G2" s="2476"/>
      <c r="H2" s="2466"/>
      <c r="I2" s="2466"/>
      <c r="J2" s="2466"/>
      <c r="K2" s="2467"/>
      <c r="L2" s="2466"/>
      <c r="M2" s="2466"/>
    </row>
    <row r="3" spans="1:37" ht="18" customHeight="1" thickBot="1">
      <c r="A3" s="1297" t="s">
        <v>881</v>
      </c>
      <c r="B3" s="1298">
        <f ca="1">IF(ISERROR(D2/F43),0,ROUND(D2/F43,0))</f>
        <v>13605</v>
      </c>
      <c r="C3" s="1289" t="s">
        <v>882</v>
      </c>
      <c r="D3" s="1289"/>
      <c r="E3" s="1295"/>
      <c r="F3" s="1296"/>
      <c r="G3" s="2476"/>
      <c r="H3" s="648"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99063</v>
      </c>
      <c r="D5" s="1273" t="s">
        <v>889</v>
      </c>
      <c r="E5" s="1008"/>
      <c r="F5" s="1009"/>
      <c r="G5" s="1292"/>
      <c r="H5" s="291">
        <v>1</v>
      </c>
      <c r="I5" s="292" t="s">
        <v>888</v>
      </c>
      <c r="J5" s="1007">
        <f ca="1">J6+J10+J12</f>
        <v>0</v>
      </c>
      <c r="K5" s="1273" t="s">
        <v>889</v>
      </c>
      <c r="L5" s="1008"/>
      <c r="M5" s="1009"/>
    </row>
    <row r="6" spans="1:37" ht="18" customHeight="1">
      <c r="A6" s="1006" t="s">
        <v>398</v>
      </c>
      <c r="B6" s="3347" t="s">
        <v>694</v>
      </c>
      <c r="C6" s="1011">
        <f ca="1">ROUND(F6*F8*F7*(1-F9),0)</f>
        <v>98939</v>
      </c>
      <c r="D6" s="147" t="s">
        <v>2105</v>
      </c>
      <c r="E6" s="294" t="s">
        <v>696</v>
      </c>
      <c r="F6" s="295">
        <f ca="1">INDIRECT("'数据-取费表'!u"&amp;$G$1)</f>
        <v>3.2</v>
      </c>
      <c r="G6" s="1292"/>
      <c r="H6" s="1006" t="s">
        <v>398</v>
      </c>
      <c r="I6" s="3347" t="s">
        <v>694</v>
      </c>
      <c r="J6" s="293">
        <f ca="1">ROUND(M6*M8*M7*(1-M9),0)</f>
        <v>0</v>
      </c>
      <c r="K6" s="1284" t="s">
        <v>2106</v>
      </c>
      <c r="L6" s="294" t="s">
        <v>696</v>
      </c>
      <c r="M6" s="295">
        <f ca="1">INDIRECT("'数据-取费表'!z"&amp;$G$1)</f>
        <v>0</v>
      </c>
    </row>
    <row r="7" spans="1:37" ht="18" customHeight="1">
      <c r="A7" s="1010"/>
      <c r="B7" s="3348"/>
      <c r="C7" s="1012"/>
      <c r="D7" s="299"/>
      <c r="E7" s="1013" t="s">
        <v>697</v>
      </c>
      <c r="F7" s="295">
        <f ca="1">IF(INDIRECT("'数据-取费表'!ah"&amp;$G$1)="",INDIRECT("'数据-取费表'!k"&amp;$G$1),INDIRECT("'数据-取费表'!ah"&amp;$G$1))</f>
        <v>94.12</v>
      </c>
      <c r="G7" s="1292"/>
      <c r="H7" s="296"/>
      <c r="I7" s="3348"/>
      <c r="J7" s="298"/>
      <c r="K7" s="299"/>
      <c r="L7" s="294" t="s">
        <v>697</v>
      </c>
      <c r="M7" s="295">
        <f ca="1">F7</f>
        <v>94.12</v>
      </c>
    </row>
    <row r="8" spans="1:37" ht="18" customHeight="1">
      <c r="A8" s="296"/>
      <c r="B8" s="3348"/>
      <c r="C8" s="298"/>
      <c r="D8" s="299"/>
      <c r="E8" s="294" t="s">
        <v>698</v>
      </c>
      <c r="F8" s="295">
        <f ca="1">INDIRECT("'数据-取费表'!ai"&amp;$G$1)</f>
        <v>365</v>
      </c>
      <c r="G8" s="1292"/>
      <c r="H8" s="296"/>
      <c r="I8" s="3348"/>
      <c r="J8" s="298"/>
      <c r="K8" s="299"/>
      <c r="L8" s="294" t="s">
        <v>698</v>
      </c>
      <c r="M8" s="295">
        <f ca="1">INDIRECT("'数据-取费表'!ai"&amp;$G$1)</f>
        <v>365</v>
      </c>
    </row>
    <row r="9" spans="1:37" ht="18" customHeight="1">
      <c r="A9" s="296"/>
      <c r="B9" s="3349"/>
      <c r="C9" s="298"/>
      <c r="D9" s="299"/>
      <c r="E9" s="294" t="s">
        <v>699</v>
      </c>
      <c r="F9" s="304">
        <f ca="1">INDIRECT("'数据-取费表'!w"&amp;$G$1)</f>
        <v>0.1</v>
      </c>
      <c r="G9" s="1292"/>
      <c r="H9" s="296"/>
      <c r="I9" s="3349"/>
      <c r="J9" s="298"/>
      <c r="K9" s="299"/>
      <c r="L9" s="305" t="s">
        <v>699</v>
      </c>
      <c r="M9" s="306">
        <f ca="1">INDIRECT("'数据-取费表'!ab"&amp;$G$1)</f>
        <v>0</v>
      </c>
    </row>
    <row r="10" spans="1:37" ht="18" customHeight="1">
      <c r="A10" s="1006" t="s">
        <v>402</v>
      </c>
      <c r="B10" s="1274" t="s">
        <v>700</v>
      </c>
      <c r="C10" s="308">
        <f ca="1">ROUND(IF(F10="押一",C6/12*F11,IF(F10="押二",C6/12*2*F11,IF(F10="押三",C6/12*3*F11,C11*F11))),0)</f>
        <v>124</v>
      </c>
      <c r="D10" s="150" t="s">
        <v>2115</v>
      </c>
      <c r="E10" s="305" t="s">
        <v>701</v>
      </c>
      <c r="F10" s="1053" t="s">
        <v>3399</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4"/>
      <c r="D11" s="299"/>
      <c r="E11" s="305" t="s">
        <v>702</v>
      </c>
      <c r="F11" s="306">
        <f ca="1">'数据-取费表'!B39</f>
        <v>1.4999999999999999E-2</v>
      </c>
      <c r="G11" s="1292"/>
      <c r="H11" s="1014"/>
      <c r="I11" s="1275" t="s">
        <v>891</v>
      </c>
      <c r="J11" s="904"/>
      <c r="K11" s="645"/>
      <c r="L11" s="305" t="s">
        <v>702</v>
      </c>
      <c r="M11" s="808">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440865</v>
      </c>
      <c r="D13" s="1018" t="s">
        <v>705</v>
      </c>
      <c r="E13" s="1018" t="s">
        <v>706</v>
      </c>
      <c r="F13" s="1019">
        <f ca="1">INDIRECT("'数据-取费表'!y"&amp;$G$1)</f>
        <v>0.72</v>
      </c>
      <c r="G13" s="1292"/>
      <c r="H13" s="1016">
        <v>2</v>
      </c>
      <c r="I13" s="1017" t="s">
        <v>704</v>
      </c>
      <c r="J13" s="1005">
        <f ca="1">ROUND(J14*J15,0)</f>
        <v>0</v>
      </c>
      <c r="K13" s="1024" t="s">
        <v>705</v>
      </c>
      <c r="L13" s="1299"/>
      <c r="M13" s="1300"/>
    </row>
    <row r="14" spans="1:37" ht="18" customHeight="1">
      <c r="A14" s="927" t="s">
        <v>397</v>
      </c>
      <c r="B14" s="294" t="s">
        <v>707</v>
      </c>
      <c r="C14" s="310">
        <f ca="1">ROUND(INDIRECT("'数据-取费表'!l"&amp;$G$1)*F43+'数据-取费表'!L14*INDIRECT("'数据-取费表'!S"&amp;$G$1),0)</f>
        <v>423540</v>
      </c>
      <c r="D14" s="1257" t="s">
        <v>708</v>
      </c>
      <c r="E14" s="1255"/>
      <c r="F14" s="311"/>
      <c r="G14" s="1292"/>
      <c r="H14" s="927" t="s">
        <v>398</v>
      </c>
      <c r="I14" s="294" t="s">
        <v>709</v>
      </c>
      <c r="J14" s="21">
        <f ca="1">C29</f>
        <v>612312</v>
      </c>
      <c r="K14" s="12"/>
      <c r="L14" s="758"/>
      <c r="M14" s="759"/>
    </row>
    <row r="15" spans="1:37" s="1304" customFormat="1" ht="18" customHeight="1" thickBot="1">
      <c r="A15" s="927" t="s">
        <v>399</v>
      </c>
      <c r="B15" s="294" t="s">
        <v>710</v>
      </c>
      <c r="C15" s="21">
        <f ca="1">ROUND(C14*F15,0)</f>
        <v>16942</v>
      </c>
      <c r="D15" s="312" t="s">
        <v>711</v>
      </c>
      <c r="E15" s="312" t="s">
        <v>712</v>
      </c>
      <c r="F15" s="313">
        <f>'数据-取费表'!B33</f>
        <v>0.04</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4898</v>
      </c>
      <c r="K16" s="1024" t="s">
        <v>715</v>
      </c>
      <c r="L16" s="1025"/>
      <c r="M16" s="1009"/>
    </row>
    <row r="17" spans="1:37" s="1304" customFormat="1" ht="18" customHeight="1">
      <c r="A17" s="927" t="s">
        <v>681</v>
      </c>
      <c r="B17" s="294" t="s">
        <v>716</v>
      </c>
      <c r="C17" s="21">
        <f ca="1">ROUND(F17*(F43+INDIRECT("'数据-取费表'!S"&amp;$G$1)),0)</f>
        <v>18824</v>
      </c>
      <c r="D17" s="294" t="s">
        <v>717</v>
      </c>
      <c r="E17" s="294" t="s">
        <v>718</v>
      </c>
      <c r="F17" s="23">
        <f>'数据-取费表'!B35</f>
        <v>200</v>
      </c>
      <c r="G17" s="1303"/>
      <c r="H17" s="927"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7" t="s">
        <v>682</v>
      </c>
      <c r="B18" s="294" t="s">
        <v>722</v>
      </c>
      <c r="C18" s="21">
        <f ca="1">ROUND(C14*F18,0)</f>
        <v>8471</v>
      </c>
      <c r="D18" s="294" t="s">
        <v>711</v>
      </c>
      <c r="E18" s="294" t="s">
        <v>712</v>
      </c>
      <c r="F18" s="314">
        <f>'数据-取费表'!B36</f>
        <v>0.02</v>
      </c>
      <c r="G18" s="1303"/>
      <c r="H18" s="927"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7" t="s">
        <v>398</v>
      </c>
      <c r="B19" s="294" t="s">
        <v>725</v>
      </c>
      <c r="C19" s="21">
        <f ca="1">SUM(C14:C18)</f>
        <v>467777</v>
      </c>
      <c r="D19" s="123" t="s">
        <v>726</v>
      </c>
      <c r="E19" s="1269"/>
      <c r="F19" s="23"/>
      <c r="G19" s="1292"/>
      <c r="H19" s="927"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7" t="s">
        <v>402</v>
      </c>
      <c r="B20" s="294" t="s">
        <v>728</v>
      </c>
      <c r="C20" s="21">
        <f ca="1">ROUND(C19*F20,0)</f>
        <v>9356</v>
      </c>
      <c r="D20" s="315" t="s">
        <v>729</v>
      </c>
      <c r="E20" s="294" t="s">
        <v>712</v>
      </c>
      <c r="F20" s="314">
        <f>'数据-取费表'!B37</f>
        <v>0.02</v>
      </c>
      <c r="G20" s="1303"/>
      <c r="H20" s="927" t="s">
        <v>680</v>
      </c>
      <c r="I20" s="147" t="s">
        <v>730</v>
      </c>
      <c r="J20" s="22">
        <f ca="1">ROUND(M20*M21,0)</f>
        <v>410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7" t="s">
        <v>437</v>
      </c>
      <c r="B21" s="294" t="s">
        <v>733</v>
      </c>
      <c r="C21" s="21" t="s">
        <v>0</v>
      </c>
      <c r="D21" s="315" t="s">
        <v>734</v>
      </c>
      <c r="E21" s="294" t="s">
        <v>735</v>
      </c>
      <c r="F21" s="314">
        <f>'数据-取费表'!B38</f>
        <v>0.02</v>
      </c>
      <c r="G21" s="1303"/>
      <c r="H21" s="318"/>
      <c r="I21" s="303"/>
      <c r="J21" s="26"/>
      <c r="K21" s="319"/>
      <c r="L21" s="294" t="s">
        <v>736</v>
      </c>
      <c r="M21" s="295">
        <f ca="1">INDIRECT("'数据-取费表'!r"&amp;$G$1)</f>
        <v>22.76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9"/>
      <c r="F22" s="23"/>
      <c r="G22" s="1292"/>
      <c r="H22" s="927" t="s">
        <v>402</v>
      </c>
      <c r="I22" s="294" t="s">
        <v>738</v>
      </c>
      <c r="J22" s="21">
        <f ca="1">ROUND(J14*M22,0)</f>
        <v>4898</v>
      </c>
      <c r="K22" s="1256" t="s">
        <v>739</v>
      </c>
      <c r="L22" s="294" t="s">
        <v>712</v>
      </c>
      <c r="M22" s="320">
        <f ca="1">INDIRECT("'数据-取费表'!Ak"&amp;$G$1)</f>
        <v>8.0000000000000002E-3</v>
      </c>
    </row>
    <row r="23" spans="1:37" s="1304" customFormat="1" ht="18" customHeight="1">
      <c r="A23" s="927" t="s">
        <v>397</v>
      </c>
      <c r="B23" s="294" t="s">
        <v>740</v>
      </c>
      <c r="C23" s="21">
        <f ca="1">IF('数据-取费表'!B22&lt;=1,ROUND(C19*F24*F23/2,0)+ROUND(C20*F24*F23/2,0),ROUND(C19*(POWER((1+F24),F23/2)-1),0)+ROUND(C20*(POWER((1+F24),F23/2)-1),0))</f>
        <v>16461</v>
      </c>
      <c r="D23" s="138" t="str">
        <f>IF(F23&lt;=1,"(建造成本+管理费用)×利率×(建设周期÷2)","(建造成本+管理费用)×((1+利率)^(建设周期÷2)-1)")</f>
        <v>(建造成本+管理费用)×((1+利率)^(建设周期÷2)-1)</v>
      </c>
      <c r="E23" s="294" t="s">
        <v>741</v>
      </c>
      <c r="F23" s="317">
        <f>'数据-取费表'!B20</f>
        <v>2</v>
      </c>
      <c r="G23" s="1303"/>
      <c r="H23" s="927"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7"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7" t="s">
        <v>749</v>
      </c>
      <c r="B25" s="294" t="s">
        <v>750</v>
      </c>
      <c r="C25" s="21"/>
      <c r="D25" s="123" t="s">
        <v>751</v>
      </c>
      <c r="E25" s="1269"/>
      <c r="F25" s="23"/>
      <c r="G25" s="1292"/>
      <c r="H25" s="1016" t="s">
        <v>394</v>
      </c>
      <c r="I25" s="1031" t="s">
        <v>752</v>
      </c>
      <c r="J25" s="302">
        <f ca="1">J5-J16</f>
        <v>-4898</v>
      </c>
      <c r="K25" s="1032" t="s">
        <v>753</v>
      </c>
      <c r="L25" s="1033"/>
      <c r="M25" s="1034"/>
    </row>
    <row r="26" spans="1:37" ht="18" customHeight="1">
      <c r="A26" s="927" t="s">
        <v>397</v>
      </c>
      <c r="B26" s="294" t="s">
        <v>754</v>
      </c>
      <c r="C26" s="21">
        <f ca="1">ROUND((C19+C20)*F26,0)</f>
        <v>71570</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7"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612312</v>
      </c>
      <c r="D29" s="1029"/>
      <c r="E29" s="1027"/>
      <c r="F29" s="1030"/>
      <c r="G29" s="1303"/>
      <c r="H29" s="325" t="s">
        <v>396</v>
      </c>
      <c r="I29" s="326" t="s">
        <v>768</v>
      </c>
      <c r="J29" s="327">
        <f ca="1">ROUND(J26/(1+F40)^F41,0)</f>
        <v>0</v>
      </c>
      <c r="K29" s="328" t="s">
        <v>769</v>
      </c>
      <c r="L29" s="329"/>
      <c r="M29" s="330">
        <f ca="1">INDIRECT("'数据-取费表'!k"&amp;$G$1)</f>
        <v>94.12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12430</v>
      </c>
      <c r="D30" s="1024" t="s">
        <v>715</v>
      </c>
      <c r="E30" s="1025"/>
      <c r="F30" s="1009"/>
      <c r="G30" s="1292"/>
      <c r="H30" s="2468"/>
      <c r="I30" s="1305"/>
      <c r="J30" s="1306"/>
      <c r="K30" s="121"/>
      <c r="L30" s="2469"/>
      <c r="M30" s="2470"/>
    </row>
    <row r="31" spans="1:37" ht="18" customHeight="1">
      <c r="A31" s="927" t="s">
        <v>398</v>
      </c>
      <c r="B31" s="294" t="s">
        <v>719</v>
      </c>
      <c r="C31" s="2140">
        <f ca="1">ROUND(IF(AND(项目基本情况!B11="自然人",项目基本情况!B10="北京市"),C6*F31/(1+'数据-取费表'!C42),C32+C33+C34),0)</f>
        <v>6596</v>
      </c>
      <c r="D31" s="1257" t="s">
        <v>720</v>
      </c>
      <c r="E31" s="1256" t="s">
        <v>770</v>
      </c>
      <c r="F31" s="2139">
        <f ca="1">IF(项目基本情况!B11="企业","——",IF(M47="住宅",IF(F6*F7*F8/12/(1+'数据-取费表'!F30)&gt;100000,4%,2.5%),IF(F6*F7*F8/12/(1+'数据-取费表'!F30)&gt;100000,12%,7%)))</f>
        <v>7.0000000000000007E-2</v>
      </c>
      <c r="G31" s="1292"/>
      <c r="H31" s="2567" t="s">
        <v>2308</v>
      </c>
      <c r="I31" s="1305"/>
      <c r="J31" s="1306"/>
      <c r="K31" s="121"/>
      <c r="L31" s="2469"/>
      <c r="M31" s="2470"/>
    </row>
    <row r="32" spans="1:37" ht="18" customHeight="1">
      <c r="A32" s="927"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7" t="s">
        <v>399</v>
      </c>
      <c r="B33" s="294" t="s">
        <v>727</v>
      </c>
      <c r="C33" s="21" t="str">
        <f ca="1">IF(项目基本情况!B11="自然人","——",IF(D33="按租金收入计税",ROUND(C6*F33/(1+'数据-取费表'!C42),0),IF(D33="按房产原值计税",ROUND(C29*F33*0.7,0),INDIRECT("'数据-取费表'!Aj"&amp;$G$1))))</f>
        <v>——</v>
      </c>
      <c r="D33" s="1278" t="s">
        <v>3338</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18</v>
      </c>
      <c r="G34" s="1292"/>
      <c r="H34" s="2468"/>
      <c r="I34" s="1305"/>
      <c r="J34" s="1306"/>
      <c r="K34" s="2473"/>
      <c r="L34" s="2474"/>
      <c r="M34" s="2474"/>
    </row>
    <row r="35" spans="1:18" ht="18" customHeight="1">
      <c r="A35" s="1040"/>
      <c r="B35" s="1038"/>
      <c r="C35" s="26"/>
      <c r="D35" s="319"/>
      <c r="E35" s="294" t="s">
        <v>736</v>
      </c>
      <c r="F35" s="295">
        <f ca="1">INDIRECT("'数据-取费表'!r"&amp;$G$1)</f>
        <v>22.76</v>
      </c>
      <c r="G35" s="1292"/>
      <c r="H35" s="2468"/>
      <c r="I35" s="1305"/>
      <c r="J35" s="1306"/>
      <c r="K35" s="2472"/>
      <c r="L35" s="2471"/>
      <c r="M35" s="2471"/>
    </row>
    <row r="36" spans="1:18" ht="18" customHeight="1">
      <c r="A36" s="1039" t="s">
        <v>402</v>
      </c>
      <c r="B36" s="294" t="s">
        <v>738</v>
      </c>
      <c r="C36" s="21">
        <f ca="1">ROUND(C29*F36,0)</f>
        <v>4898</v>
      </c>
      <c r="D36" s="1256" t="s">
        <v>771</v>
      </c>
      <c r="E36" s="294" t="s">
        <v>712</v>
      </c>
      <c r="F36" s="320">
        <f ca="1">INDIRECT("'数据-取费表'!Ak"&amp;$G$1)</f>
        <v>8.0000000000000002E-3</v>
      </c>
      <c r="G36" s="1292"/>
      <c r="H36" s="2471"/>
      <c r="I36" s="1305"/>
      <c r="J36" s="1306"/>
      <c r="K36" s="2329"/>
      <c r="L36" s="2471"/>
      <c r="M36" s="2471"/>
    </row>
    <row r="37" spans="1:18" ht="18" customHeight="1">
      <c r="A37" s="927" t="s">
        <v>437</v>
      </c>
      <c r="B37" s="294" t="s">
        <v>742</v>
      </c>
      <c r="C37" s="21">
        <f ca="1">ROUND(C13*F37,0)</f>
        <v>441</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495</v>
      </c>
      <c r="D38" s="1029" t="s">
        <v>748</v>
      </c>
      <c r="E38" s="1027" t="s">
        <v>744</v>
      </c>
      <c r="F38" s="1023">
        <f ca="1">INDIRECT("'数据-取费表'!Am"&amp;$G$1)</f>
        <v>5.0000000000000001E-3</v>
      </c>
      <c r="G38" s="1292"/>
      <c r="H38" s="2471">
        <f ca="1">C39/C5</f>
        <v>0.87452429262186693</v>
      </c>
      <c r="I38" s="1305"/>
      <c r="J38" s="1306"/>
      <c r="K38" s="2469"/>
      <c r="L38" s="2471"/>
      <c r="M38" s="2471"/>
    </row>
    <row r="39" spans="1:18" ht="24.6" customHeight="1" thickTop="1">
      <c r="A39" s="1016" t="s">
        <v>394</v>
      </c>
      <c r="B39" s="1031" t="s">
        <v>772</v>
      </c>
      <c r="C39" s="302">
        <f ca="1">C5-C30</f>
        <v>86633</v>
      </c>
      <c r="D39" s="1032" t="s">
        <v>773</v>
      </c>
      <c r="E39" s="1033"/>
      <c r="F39" s="1034"/>
      <c r="G39" s="1292"/>
      <c r="H39" s="2471"/>
      <c r="I39" s="1305"/>
      <c r="J39" s="1306"/>
      <c r="K39" s="2469"/>
      <c r="L39" s="2471"/>
      <c r="M39" s="2471"/>
    </row>
    <row r="40" spans="1:18" ht="18" customHeight="1">
      <c r="A40" s="291" t="s">
        <v>395</v>
      </c>
      <c r="B40" s="292" t="s">
        <v>774</v>
      </c>
      <c r="C40" s="293">
        <f ca="1">ROUND(C39*(1-((1+F42)/(1+F40))^F41)/(F40-F42),0)</f>
        <v>1218527</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19</v>
      </c>
      <c r="G41" s="1292"/>
      <c r="H41" s="121"/>
      <c r="I41" s="1305"/>
      <c r="J41" s="1306"/>
      <c r="K41" s="2329"/>
      <c r="L41" s="121"/>
      <c r="M41" s="121"/>
    </row>
    <row r="42" spans="1:18" ht="18" customHeight="1">
      <c r="A42" s="300"/>
      <c r="B42" s="301"/>
      <c r="C42" s="302"/>
      <c r="D42" s="319"/>
      <c r="E42" s="294" t="s">
        <v>766</v>
      </c>
      <c r="F42" s="304">
        <f ca="1">INDIRECT("'数据-取费表'!v"&amp;$G$1)</f>
        <v>2.5000000000000001E-2</v>
      </c>
      <c r="G42" s="1292"/>
      <c r="H42" s="121"/>
      <c r="I42" s="1305"/>
      <c r="J42" s="1306"/>
      <c r="K42" s="2329"/>
      <c r="L42" s="121"/>
      <c r="M42" s="121"/>
    </row>
    <row r="43" spans="1:18" ht="18" customHeight="1" thickBot="1">
      <c r="A43" s="325" t="s">
        <v>396</v>
      </c>
      <c r="B43" s="326" t="s">
        <v>776</v>
      </c>
      <c r="C43" s="327">
        <f ca="1">ROUND(C40/F43,0)</f>
        <v>12947</v>
      </c>
      <c r="D43" s="328" t="s">
        <v>777</v>
      </c>
      <c r="E43" s="329" t="s">
        <v>778</v>
      </c>
      <c r="F43" s="330">
        <f ca="1">INDIRECT("'数据-取费表'!k"&amp;$G$1)</f>
        <v>94.12</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3354</v>
      </c>
      <c r="B45" s="1307"/>
      <c r="C45" s="1376">
        <f ca="1">ROUND((C68-C40)/10000,4)</f>
        <v>-128.05000000000001</v>
      </c>
      <c r="D45" s="3128" t="s">
        <v>3355</v>
      </c>
      <c r="E45" s="1307"/>
      <c r="F45" s="1307"/>
      <c r="O45" s="1310" t="s">
        <v>808</v>
      </c>
      <c r="P45" s="1366"/>
      <c r="Q45" s="1366"/>
      <c r="R45" s="1366"/>
    </row>
    <row r="46" spans="1:18" s="1292" customFormat="1" ht="13.5" thickBot="1">
      <c r="A46" s="1311" t="s">
        <v>809</v>
      </c>
      <c r="C46" s="1312">
        <f ca="1">ROUND(C45,0)</f>
        <v>-128</v>
      </c>
      <c r="D46" s="1313" t="str">
        <f>C2</f>
        <v>万元</v>
      </c>
      <c r="I46" s="1314" t="s">
        <v>810</v>
      </c>
      <c r="J46" s="1315"/>
      <c r="K46" s="1316"/>
      <c r="L46" s="1317">
        <f ca="1">IF(M47="住宅",0,IF(L48&gt;J51,L60,J60))</f>
        <v>61983</v>
      </c>
      <c r="O46" s="1318" t="s">
        <v>811</v>
      </c>
      <c r="P46" s="1319" t="s">
        <v>812</v>
      </c>
      <c r="Q46" s="1320" t="s">
        <v>813</v>
      </c>
      <c r="R46" s="1320" t="s">
        <v>814</v>
      </c>
    </row>
    <row r="47" spans="1:18" s="1292" customFormat="1" ht="13.5" thickBot="1">
      <c r="A47" s="891" t="s">
        <v>687</v>
      </c>
      <c r="B47" s="923" t="s">
        <v>688</v>
      </c>
      <c r="C47" s="923" t="s">
        <v>689</v>
      </c>
      <c r="D47" s="923" t="s">
        <v>690</v>
      </c>
      <c r="E47" s="995" t="s">
        <v>691</v>
      </c>
      <c r="F47" s="996"/>
      <c r="G47" s="680"/>
      <c r="I47" s="1321" t="s">
        <v>815</v>
      </c>
      <c r="J47" s="1322" t="s">
        <v>3395</v>
      </c>
      <c r="K47" s="1323" t="s">
        <v>816</v>
      </c>
      <c r="L47" s="1324">
        <f ca="1">INDIRECT("'数据-取费表'!d"&amp;$G$1)</f>
        <v>50</v>
      </c>
      <c r="M47" s="1288" t="str">
        <f>IF(ISNUMBER(FIND("住宅",C1)),"住宅","非住宅")</f>
        <v>非住宅</v>
      </c>
      <c r="O47" s="1325" t="s">
        <v>403</v>
      </c>
      <c r="P47" s="1326" t="s">
        <v>817</v>
      </c>
      <c r="Q47" s="1327">
        <f ca="1">C40+J29</f>
        <v>1218527</v>
      </c>
      <c r="R47" s="1327" t="s">
        <v>818</v>
      </c>
    </row>
    <row r="48" spans="1:18" s="1292" customFormat="1" ht="28.5" thickBot="1">
      <c r="A48" s="1047" t="s">
        <v>438</v>
      </c>
      <c r="B48" s="292" t="s">
        <v>692</v>
      </c>
      <c r="C48" s="1268">
        <f ca="1">C49+C53+C55</f>
        <v>0</v>
      </c>
      <c r="D48" s="1049"/>
      <c r="E48" s="1050"/>
      <c r="F48" s="907"/>
      <c r="G48" s="680"/>
      <c r="H48" s="681"/>
      <c r="I48" s="1328" t="s">
        <v>819</v>
      </c>
      <c r="J48" s="1329" t="s">
        <v>3396</v>
      </c>
      <c r="K48" s="1330" t="s">
        <v>820</v>
      </c>
      <c r="L48" s="1331">
        <f ca="1">INDIRECT("'数据-取费表'!f"&amp;$G$1)</f>
        <v>19</v>
      </c>
      <c r="O48" s="1325" t="s">
        <v>404</v>
      </c>
      <c r="P48" s="1326" t="s">
        <v>821</v>
      </c>
      <c r="Q48" s="1327">
        <f ca="1">J60</f>
        <v>61983</v>
      </c>
      <c r="R48" s="1327" t="s">
        <v>822</v>
      </c>
    </row>
    <row r="49" spans="1:18" s="1292" customFormat="1" ht="13.5" thickBot="1">
      <c r="A49" s="920" t="s">
        <v>439</v>
      </c>
      <c r="B49" s="1279" t="s">
        <v>779</v>
      </c>
      <c r="C49" s="1051">
        <f ca="1">ROUND(F49*F51*F50*(1-F52),0)</f>
        <v>0</v>
      </c>
      <c r="D49" s="992" t="s">
        <v>695</v>
      </c>
      <c r="E49" s="1280" t="s">
        <v>780</v>
      </c>
      <c r="F49" s="997"/>
      <c r="H49" s="681"/>
      <c r="I49" s="1328" t="s">
        <v>823</v>
      </c>
      <c r="J49" s="1332">
        <f>'数据-取费表'!N19</f>
        <v>2002</v>
      </c>
      <c r="K49" s="1330" t="s">
        <v>824</v>
      </c>
      <c r="L49" s="1333"/>
      <c r="O49" s="1334" t="s">
        <v>405</v>
      </c>
      <c r="P49" s="1326" t="s">
        <v>825</v>
      </c>
      <c r="Q49" s="1327">
        <f ca="1">C29</f>
        <v>612312</v>
      </c>
      <c r="R49" s="1327" t="s">
        <v>818</v>
      </c>
    </row>
    <row r="50" spans="1:18" s="1292" customFormat="1" ht="13.5" thickBot="1">
      <c r="A50" s="921"/>
      <c r="B50" s="924"/>
      <c r="C50" s="925"/>
      <c r="D50" s="898"/>
      <c r="E50" s="993" t="s">
        <v>697</v>
      </c>
      <c r="F50" s="994">
        <f ca="1">F7</f>
        <v>94.12</v>
      </c>
      <c r="H50" s="681"/>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2"/>
      <c r="B51" s="924"/>
      <c r="C51" s="925"/>
      <c r="D51" s="898"/>
      <c r="E51" s="926" t="s">
        <v>698</v>
      </c>
      <c r="F51" s="295">
        <f ca="1">F8</f>
        <v>365</v>
      </c>
      <c r="I51" s="1338" t="s">
        <v>829</v>
      </c>
      <c r="J51" s="1331">
        <f>IF(J49="",J50,J49+J50-YEAR('数据-取费表'!B2))</f>
        <v>38</v>
      </c>
      <c r="K51" s="1339" t="s">
        <v>830</v>
      </c>
      <c r="L51" s="1340">
        <f ca="1">ROUND(-PV(INDIRECT("'数据-取费表'!h"&amp;$G$1),J51,(C39-C13*C76),0),0)</f>
        <v>940764</v>
      </c>
      <c r="M51" s="1341"/>
      <c r="O51" s="1334" t="s">
        <v>407</v>
      </c>
      <c r="P51" s="1326" t="s">
        <v>831</v>
      </c>
      <c r="Q51" s="1337">
        <f>J52</f>
        <v>7.5000000000000011E-2</v>
      </c>
      <c r="R51" s="1327"/>
    </row>
    <row r="52" spans="1:18" s="1292" customFormat="1" ht="13.5" thickBot="1">
      <c r="A52" s="922"/>
      <c r="B52" s="924"/>
      <c r="C52" s="925"/>
      <c r="D52" s="898"/>
      <c r="E52" s="926" t="s">
        <v>699</v>
      </c>
      <c r="F52" s="991"/>
      <c r="I52" s="1342" t="s">
        <v>832</v>
      </c>
      <c r="J52" s="1343">
        <f>'数据-取费表'!J6+0.5%</f>
        <v>7.5000000000000011E-2</v>
      </c>
      <c r="K52" s="1342" t="s">
        <v>833</v>
      </c>
      <c r="L52" s="1343"/>
      <c r="O52" s="1334" t="s">
        <v>408</v>
      </c>
      <c r="P52" s="1326" t="s">
        <v>834</v>
      </c>
      <c r="Q52" s="1327">
        <f ca="1">J53</f>
        <v>19</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19</v>
      </c>
      <c r="K53" s="3345" t="s">
        <v>837</v>
      </c>
      <c r="L53" s="3346"/>
      <c r="O53" s="1325" t="s">
        <v>409</v>
      </c>
      <c r="P53" s="1326" t="s">
        <v>838</v>
      </c>
      <c r="Q53" s="1327">
        <f ca="1">Q47+Q48</f>
        <v>1280510</v>
      </c>
      <c r="R53" s="1327" t="s">
        <v>410</v>
      </c>
    </row>
    <row r="54" spans="1:18" s="1292" customFormat="1" ht="13.5" thickBot="1">
      <c r="A54" s="920"/>
      <c r="B54" s="1377" t="s">
        <v>891</v>
      </c>
      <c r="C54" s="904"/>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0.317</v>
      </c>
      <c r="K55" s="1350" t="s">
        <v>841</v>
      </c>
      <c r="L55" s="1351"/>
      <c r="O55" s="1318" t="s">
        <v>811</v>
      </c>
      <c r="P55" s="1319" t="s">
        <v>812</v>
      </c>
      <c r="Q55" s="1320" t="s">
        <v>813</v>
      </c>
      <c r="R55" s="1320" t="s">
        <v>814</v>
      </c>
    </row>
    <row r="56" spans="1:18" s="1292" customFormat="1" ht="36" customHeight="1" thickTop="1" thickBot="1">
      <c r="A56" s="902">
        <v>2</v>
      </c>
      <c r="B56" s="903" t="s">
        <v>704</v>
      </c>
      <c r="C56" s="224">
        <f ca="1">C13</f>
        <v>440865</v>
      </c>
      <c r="D56" s="1352"/>
      <c r="E56" s="1353"/>
      <c r="F56" s="1345"/>
      <c r="I56" s="1354" t="s">
        <v>842</v>
      </c>
      <c r="J56" s="1355" t="s">
        <v>3397</v>
      </c>
      <c r="K56" s="1328" t="s">
        <v>843</v>
      </c>
      <c r="L56" s="1331" t="str">
        <f ca="1">IF(L48&lt;J51,"——",L48-J51)</f>
        <v>——</v>
      </c>
      <c r="O56" s="1325" t="s">
        <v>403</v>
      </c>
      <c r="P56" s="1326" t="s">
        <v>817</v>
      </c>
      <c r="Q56" s="1327">
        <f ca="1">C40+J29</f>
        <v>1218527</v>
      </c>
      <c r="R56" s="1327" t="s">
        <v>818</v>
      </c>
    </row>
    <row r="57" spans="1:18" s="1292" customFormat="1" ht="24.75" thickBot="1">
      <c r="A57" s="1356"/>
      <c r="B57" s="895" t="s">
        <v>767</v>
      </c>
      <c r="C57" s="230">
        <f ca="1">C29</f>
        <v>612312</v>
      </c>
      <c r="D57" s="1357"/>
      <c r="E57" s="1358"/>
      <c r="F57" s="1359"/>
      <c r="I57" s="1360" t="s">
        <v>844</v>
      </c>
      <c r="J57" s="1361">
        <f ca="1">IF(OR(M47="住宅",J51&lt;L48,J56="是"),"——",J51-L48)</f>
        <v>19</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3" t="s">
        <v>714</v>
      </c>
      <c r="C58" s="308">
        <f ca="1">ROUND(C59+C64+C65+C66,0)</f>
        <v>5339</v>
      </c>
      <c r="D58" s="905" t="s">
        <v>715</v>
      </c>
      <c r="E58" s="906"/>
      <c r="F58" s="907"/>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7" t="s">
        <v>398</v>
      </c>
      <c r="B59" s="895" t="s">
        <v>719</v>
      </c>
      <c r="C59" s="2140">
        <f ca="1">ROUND(IF(AND(项目基本情况!B11="自然人",项目基本情况!B10="北京市"),C49*F59/(1+'数据-取费表'!C42),C60+C61+C62),0)</f>
        <v>0</v>
      </c>
      <c r="D59" s="908" t="s">
        <v>720</v>
      </c>
      <c r="E59" s="909"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244925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7" t="s">
        <v>397</v>
      </c>
      <c r="B60" s="895" t="s">
        <v>723</v>
      </c>
      <c r="C60" s="21" t="str">
        <f>IF(项目基本情况!B11="自然人","——",ROUND(C48*F60/(1+'数据-取费表'!C42),0))</f>
        <v>——</v>
      </c>
      <c r="D60" s="909" t="s">
        <v>724</v>
      </c>
      <c r="E60" s="895" t="s">
        <v>712</v>
      </c>
      <c r="F60" s="322">
        <f t="shared" ref="F60:F66" si="0">F32</f>
        <v>5.6000000000000001E-2</v>
      </c>
      <c r="I60" s="1363" t="s">
        <v>853</v>
      </c>
      <c r="J60" s="1364">
        <f ca="1">IF(OR(M47="住宅",J51&lt;L48,J56="是"),"0",ROUND(J59/(1+J52)^J53,0))</f>
        <v>61983</v>
      </c>
      <c r="K60" s="1365" t="s">
        <v>854</v>
      </c>
      <c r="L60" s="1364">
        <f ca="1">IF(OR(M47="住宅",L48&lt;J51),0,ROUND(L57*(L58/L59-1),0))</f>
        <v>0</v>
      </c>
      <c r="O60" s="1334" t="s">
        <v>407</v>
      </c>
      <c r="P60" s="1326" t="s">
        <v>855</v>
      </c>
      <c r="Q60" s="1327" t="e">
        <f ca="1">L58</f>
        <v>#DIV/0!</v>
      </c>
      <c r="R60" s="1327" t="s">
        <v>856</v>
      </c>
    </row>
    <row r="61" spans="1:18" s="1292" customFormat="1" ht="13.5" thickBot="1">
      <c r="A61" s="927" t="s">
        <v>781</v>
      </c>
      <c r="B61" s="895" t="s">
        <v>782</v>
      </c>
      <c r="C61" s="21" t="str">
        <f ca="1">IF(项目基本情况!B11="自然人","——",IF(D61="按租金收入计税",ROUND(C49*F61/(1+'数据-取费表'!C42),0),IF(D61="按房产原值计税",ROUND(C57*F61*0.7,0),INDIRECT("'数据-取费表'!Aj"&amp;$G$1))))</f>
        <v>——</v>
      </c>
      <c r="D61" s="1278" t="s">
        <v>3338</v>
      </c>
      <c r="E61" s="895"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7" t="s">
        <v>784</v>
      </c>
      <c r="B62" s="894" t="s">
        <v>785</v>
      </c>
      <c r="C62" s="22" t="str">
        <f>IF(项目基本情况!B11="自然人","——",ROUND(F62*F63,0))</f>
        <v>——</v>
      </c>
      <c r="D62" s="910" t="s">
        <v>786</v>
      </c>
      <c r="E62" s="895" t="s">
        <v>787</v>
      </c>
      <c r="F62" s="317">
        <f t="shared" si="0"/>
        <v>18</v>
      </c>
      <c r="I62" s="1367" t="s">
        <v>858</v>
      </c>
      <c r="J62" s="610" t="s">
        <v>859</v>
      </c>
      <c r="K62" s="610" t="s">
        <v>860</v>
      </c>
      <c r="L62" s="610" t="s">
        <v>861</v>
      </c>
      <c r="M62" s="1368" t="s">
        <v>862</v>
      </c>
      <c r="O62" s="1325" t="s">
        <v>409</v>
      </c>
      <c r="P62" s="1326" t="s">
        <v>863</v>
      </c>
      <c r="Q62" s="1327">
        <f ca="1">Q56+Q57</f>
        <v>1218527</v>
      </c>
      <c r="R62" s="1327" t="s">
        <v>410</v>
      </c>
    </row>
    <row r="63" spans="1:18" s="1292" customFormat="1" ht="13.5" thickBot="1">
      <c r="A63" s="318"/>
      <c r="B63" s="901"/>
      <c r="C63" s="26"/>
      <c r="D63" s="911"/>
      <c r="E63" s="895" t="s">
        <v>788</v>
      </c>
      <c r="F63" s="295">
        <f t="shared" ca="1" si="0"/>
        <v>22.76</v>
      </c>
      <c r="I63" s="1367" t="s">
        <v>864</v>
      </c>
      <c r="J63" s="610">
        <v>70</v>
      </c>
      <c r="K63" s="610">
        <v>50</v>
      </c>
      <c r="L63" s="610">
        <v>80</v>
      </c>
      <c r="M63" s="1369">
        <v>0.02</v>
      </c>
      <c r="O63" s="1310" t="s">
        <v>865</v>
      </c>
      <c r="P63" s="1289"/>
      <c r="Q63" s="1289"/>
      <c r="R63" s="1289"/>
    </row>
    <row r="64" spans="1:18" s="1292" customFormat="1" ht="13.5" thickBot="1">
      <c r="A64" s="927" t="s">
        <v>789</v>
      </c>
      <c r="B64" s="895" t="s">
        <v>790</v>
      </c>
      <c r="C64" s="21">
        <f ca="1">ROUND(C57*F64,0)</f>
        <v>4898</v>
      </c>
      <c r="D64" s="909" t="s">
        <v>791</v>
      </c>
      <c r="E64" s="895" t="s">
        <v>783</v>
      </c>
      <c r="F64" s="320">
        <f t="shared" ca="1" si="0"/>
        <v>8.0000000000000002E-3</v>
      </c>
      <c r="I64" s="1367" t="s">
        <v>866</v>
      </c>
      <c r="J64" s="610">
        <v>50</v>
      </c>
      <c r="K64" s="610">
        <v>35</v>
      </c>
      <c r="L64" s="610">
        <v>60</v>
      </c>
      <c r="M64" s="1368">
        <v>0</v>
      </c>
      <c r="O64" s="1318" t="s">
        <v>811</v>
      </c>
      <c r="P64" s="1319" t="s">
        <v>812</v>
      </c>
      <c r="Q64" s="1320" t="s">
        <v>813</v>
      </c>
      <c r="R64" s="1320" t="s">
        <v>814</v>
      </c>
    </row>
    <row r="65" spans="1:18" s="1292" customFormat="1" ht="13.5" thickBot="1">
      <c r="A65" s="927" t="s">
        <v>792</v>
      </c>
      <c r="B65" s="895" t="s">
        <v>742</v>
      </c>
      <c r="C65" s="21">
        <f ca="1">ROUND(C56*F65,0)</f>
        <v>441</v>
      </c>
      <c r="D65" s="909" t="s">
        <v>743</v>
      </c>
      <c r="E65" s="895" t="s">
        <v>744</v>
      </c>
      <c r="F65" s="321">
        <f t="shared" ca="1" si="0"/>
        <v>1E-3</v>
      </c>
      <c r="I65" s="1367" t="s">
        <v>867</v>
      </c>
      <c r="J65" s="610">
        <v>40</v>
      </c>
      <c r="K65" s="610">
        <v>30</v>
      </c>
      <c r="L65" s="610">
        <v>50</v>
      </c>
      <c r="M65" s="1369">
        <v>0.02</v>
      </c>
      <c r="O65" s="1325" t="s">
        <v>403</v>
      </c>
      <c r="P65" s="1326" t="s">
        <v>868</v>
      </c>
      <c r="Q65" s="1327">
        <f ca="1">C40+J29</f>
        <v>1218527</v>
      </c>
      <c r="R65" s="1327" t="s">
        <v>818</v>
      </c>
    </row>
    <row r="66" spans="1:18" s="1292" customFormat="1" ht="16.5" thickBot="1">
      <c r="A66" s="927" t="s">
        <v>793</v>
      </c>
      <c r="B66" s="895" t="s">
        <v>728</v>
      </c>
      <c r="C66" s="21">
        <f ca="1">ROUND(C48*F66,0)</f>
        <v>0</v>
      </c>
      <c r="D66" s="909" t="s">
        <v>794</v>
      </c>
      <c r="E66" s="895" t="s">
        <v>712</v>
      </c>
      <c r="F66" s="304">
        <f t="shared" ca="1" si="0"/>
        <v>5.0000000000000001E-3</v>
      </c>
      <c r="O66" s="1325" t="s">
        <v>404</v>
      </c>
      <c r="P66" s="1326" t="s">
        <v>846</v>
      </c>
      <c r="Q66" s="1327">
        <f ca="1">L60</f>
        <v>0</v>
      </c>
      <c r="R66" s="1327" t="s">
        <v>869</v>
      </c>
    </row>
    <row r="67" spans="1:18" s="1292" customFormat="1" ht="16.5" thickBot="1">
      <c r="A67" s="902" t="s">
        <v>394</v>
      </c>
      <c r="B67" s="912" t="s">
        <v>752</v>
      </c>
      <c r="C67" s="308">
        <f ca="1">C48-C58</f>
        <v>-5339</v>
      </c>
      <c r="D67" s="908" t="s">
        <v>753</v>
      </c>
      <c r="E67" s="913"/>
      <c r="F67" s="914"/>
      <c r="O67" s="1334" t="s">
        <v>405</v>
      </c>
      <c r="P67" s="1326" t="s">
        <v>850</v>
      </c>
      <c r="Q67" s="1370">
        <f ca="1">L51</f>
        <v>940764</v>
      </c>
      <c r="R67" s="1327" t="s">
        <v>870</v>
      </c>
    </row>
    <row r="68" spans="1:18" s="1292" customFormat="1" ht="16.5" thickBot="1">
      <c r="A68" s="892" t="s">
        <v>395</v>
      </c>
      <c r="B68" s="893" t="s">
        <v>774</v>
      </c>
      <c r="C68" s="293">
        <f ca="1">ROUND(C67*(1-((1+F70)/(1+F68))^F69)/(F68-F70),0)</f>
        <v>-61973</v>
      </c>
      <c r="D68" s="910" t="s">
        <v>758</v>
      </c>
      <c r="E68" s="895" t="s">
        <v>759</v>
      </c>
      <c r="F68" s="304">
        <f ca="1">F40</f>
        <v>5.5E-2</v>
      </c>
      <c r="O68" s="1334" t="s">
        <v>406</v>
      </c>
      <c r="P68" s="1371" t="s">
        <v>871</v>
      </c>
      <c r="Q68" s="1327">
        <f ca="1">ROUND(Q69-Q70*Q71,0)</f>
        <v>55772</v>
      </c>
      <c r="R68" s="1327" t="s">
        <v>414</v>
      </c>
    </row>
    <row r="69" spans="1:18" s="1292" customFormat="1" ht="13.5" thickBot="1">
      <c r="A69" s="896"/>
      <c r="B69" s="897"/>
      <c r="C69" s="298"/>
      <c r="D69" s="915" t="s">
        <v>762</v>
      </c>
      <c r="E69" s="895" t="s">
        <v>763</v>
      </c>
      <c r="F69" s="324">
        <f ca="1">F41</f>
        <v>19</v>
      </c>
      <c r="O69" s="1334" t="s">
        <v>411</v>
      </c>
      <c r="P69" s="1371" t="s">
        <v>872</v>
      </c>
      <c r="Q69" s="1327">
        <f ca="1">C39</f>
        <v>86633</v>
      </c>
      <c r="R69" s="1327" t="s">
        <v>818</v>
      </c>
    </row>
    <row r="70" spans="1:18" s="1292" customFormat="1" ht="13.5" thickBot="1">
      <c r="A70" s="899"/>
      <c r="B70" s="900"/>
      <c r="C70" s="302"/>
      <c r="D70" s="911"/>
      <c r="E70" s="895" t="s">
        <v>766</v>
      </c>
      <c r="F70" s="991"/>
      <c r="O70" s="1334" t="s">
        <v>412</v>
      </c>
      <c r="P70" s="1371" t="s">
        <v>873</v>
      </c>
      <c r="Q70" s="1327">
        <f ca="1">C13</f>
        <v>440865</v>
      </c>
      <c r="R70" s="1327" t="s">
        <v>818</v>
      </c>
    </row>
    <row r="71" spans="1:18" s="1292" customFormat="1" ht="13.5" thickBot="1">
      <c r="A71" s="916" t="s">
        <v>396</v>
      </c>
      <c r="B71" s="917" t="s">
        <v>776</v>
      </c>
      <c r="C71" s="327">
        <f ca="1">ROUND(C68/F71,0)</f>
        <v>-658</v>
      </c>
      <c r="D71" s="918" t="s">
        <v>777</v>
      </c>
      <c r="E71" s="919" t="s">
        <v>778</v>
      </c>
      <c r="F71" s="330">
        <f ca="1">F43</f>
        <v>94.12</v>
      </c>
      <c r="O71" s="1334" t="s">
        <v>413</v>
      </c>
      <c r="P71" s="1371" t="s">
        <v>874</v>
      </c>
      <c r="Q71" s="1337">
        <f ca="1">C76</f>
        <v>7.0000000000000007E-2</v>
      </c>
      <c r="R71" s="1327"/>
    </row>
    <row r="72" spans="1:18" s="1292" customFormat="1" ht="13.5" thickBot="1">
      <c r="B72" s="684"/>
      <c r="C72" s="684"/>
      <c r="O72" s="1334" t="s">
        <v>407</v>
      </c>
      <c r="P72" s="1326" t="s">
        <v>852</v>
      </c>
      <c r="Q72" s="1337">
        <f>L52</f>
        <v>0</v>
      </c>
      <c r="R72" s="1327"/>
    </row>
    <row r="73" spans="1:18" ht="16.5" thickBot="1">
      <c r="A73" s="1292"/>
      <c r="B73" s="684"/>
      <c r="C73" s="684"/>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30861</v>
      </c>
      <c r="D75" s="1292"/>
      <c r="E75" s="1292"/>
      <c r="F75" s="1292"/>
      <c r="K75" s="1309"/>
      <c r="L75" s="1292"/>
      <c r="O75" s="1325" t="s">
        <v>409</v>
      </c>
      <c r="P75" s="1326" t="s">
        <v>838</v>
      </c>
      <c r="Q75" s="1327">
        <f ca="1">Q65+Q66</f>
        <v>1218527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0.64400000000000002</v>
      </c>
    </row>
    <row r="80" spans="1:18">
      <c r="B80" s="331" t="s">
        <v>800</v>
      </c>
      <c r="C80" s="266">
        <f ca="1">ROUND(C75/C39,3)</f>
        <v>0.35599999999999998</v>
      </c>
    </row>
    <row r="81" spans="2:3">
      <c r="B81" s="262" t="s">
        <v>801</v>
      </c>
      <c r="C81" s="230"/>
    </row>
    <row r="82" spans="2:3">
      <c r="B82" s="265" t="s">
        <v>802</v>
      </c>
      <c r="C82" s="267">
        <f ca="1">1-C83</f>
        <v>0.63800000000000001</v>
      </c>
    </row>
    <row r="83" spans="2:3">
      <c r="B83" s="265" t="s">
        <v>803</v>
      </c>
      <c r="C83" s="266">
        <f ca="1">ROUND(C13/C40,3)</f>
        <v>0.36199999999999999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9" zoomScale="90" zoomScaleNormal="70" zoomScaleSheetLayoutView="90" workbookViewId="0">
      <selection activeCell="N48" sqref="N4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3466</v>
      </c>
      <c r="E1" s="3129" t="s">
        <v>3401</v>
      </c>
      <c r="F1" s="1735" t="s">
        <v>3432</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3.0099999999999998E-2</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854"/>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686</v>
      </c>
      <c r="B3" s="536">
        <f>IF(C2="——",C50,ROUND(B2*10000/D3,0))</f>
        <v>3.2</v>
      </c>
      <c r="C3" s="344" t="s">
        <v>1665</v>
      </c>
      <c r="D3" s="343">
        <f>IF(D1="",'数据-汇总表'!E3,SUMIF('数据-汇总表'!$C19:$C33,D1,'数据-汇总表'!$E19:$E33))</f>
        <v>94.12</v>
      </c>
      <c r="E3" s="1805"/>
      <c r="F3" s="855"/>
      <c r="G3" s="854"/>
      <c r="H3" s="854"/>
      <c r="I3" s="854"/>
      <c r="J3" s="854"/>
      <c r="K3" s="856"/>
      <c r="L3" s="2501"/>
      <c r="M3" s="2502"/>
      <c r="N3" s="2502"/>
      <c r="O3" s="2502"/>
      <c r="P3" s="341"/>
      <c r="Q3" s="341"/>
      <c r="R3" s="341"/>
      <c r="S3" s="341"/>
      <c r="T3" s="341"/>
      <c r="U3" s="341"/>
      <c r="V3" s="341"/>
      <c r="W3" s="341"/>
      <c r="X3" s="341"/>
      <c r="Y3" s="341"/>
      <c r="Z3" s="341"/>
      <c r="AA3" s="341"/>
      <c r="AB3" s="341"/>
      <c r="AC3" s="662"/>
    </row>
    <row r="4" spans="1:29" ht="15">
      <c r="A4" s="345" t="s">
        <v>1666</v>
      </c>
      <c r="B4" s="346"/>
      <c r="C4" s="3382" t="s">
        <v>1667</v>
      </c>
      <c r="D4" s="3383"/>
      <c r="E4" s="3384" t="s">
        <v>1668</v>
      </c>
      <c r="F4" s="3385"/>
      <c r="G4" s="3382" t="s">
        <v>1669</v>
      </c>
      <c r="H4" s="3383"/>
      <c r="I4" s="3382" t="s">
        <v>1670</v>
      </c>
      <c r="J4" s="3383"/>
      <c r="K4" s="537" t="s">
        <v>1671</v>
      </c>
      <c r="L4" s="2484"/>
      <c r="M4" s="2485"/>
      <c r="N4" s="2485"/>
      <c r="O4" s="2485"/>
      <c r="P4" s="3386" t="s">
        <v>1672</v>
      </c>
      <c r="Q4" s="3387"/>
      <c r="R4" s="3369" t="s">
        <v>1668</v>
      </c>
      <c r="S4" s="3370"/>
      <c r="T4" s="3369" t="s">
        <v>1669</v>
      </c>
      <c r="U4" s="3370"/>
      <c r="V4" s="3368" t="s">
        <v>1670</v>
      </c>
      <c r="W4" s="3368"/>
      <c r="X4" s="1809"/>
      <c r="Y4" s="3369" t="s">
        <v>1672</v>
      </c>
      <c r="Z4" s="3370"/>
      <c r="AA4" s="3375" t="s">
        <v>1668</v>
      </c>
      <c r="AB4" s="3375" t="s">
        <v>1669</v>
      </c>
      <c r="AC4" s="3379" t="s">
        <v>1670</v>
      </c>
    </row>
    <row r="5" spans="1:29" ht="15">
      <c r="A5" s="348"/>
      <c r="B5" s="349"/>
      <c r="C5" s="3392" t="s">
        <v>3436</v>
      </c>
      <c r="D5" s="3393"/>
      <c r="E5" s="3394" t="s">
        <v>3437</v>
      </c>
      <c r="F5" s="3395"/>
      <c r="G5" s="3394" t="s">
        <v>3437</v>
      </c>
      <c r="H5" s="3395"/>
      <c r="I5" s="3394" t="s">
        <v>3438</v>
      </c>
      <c r="J5" s="3395"/>
      <c r="K5" s="537"/>
      <c r="L5" s="2484"/>
      <c r="M5" s="2485"/>
      <c r="N5" s="2485"/>
      <c r="O5" s="2485"/>
      <c r="P5" s="3388"/>
      <c r="Q5" s="3389"/>
      <c r="R5" s="3371"/>
      <c r="S5" s="3372"/>
      <c r="T5" s="3371"/>
      <c r="U5" s="3372"/>
      <c r="V5" s="3352"/>
      <c r="W5" s="3352"/>
      <c r="X5" s="1265"/>
      <c r="Y5" s="3371"/>
      <c r="Z5" s="3372"/>
      <c r="AA5" s="3376"/>
      <c r="AB5" s="3376"/>
      <c r="AC5" s="3380"/>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390"/>
      <c r="Q6" s="3391"/>
      <c r="R6" s="3371"/>
      <c r="S6" s="3372"/>
      <c r="T6" s="3373"/>
      <c r="U6" s="3374"/>
      <c r="V6" s="3352"/>
      <c r="W6" s="3352"/>
      <c r="X6" s="1265"/>
      <c r="Y6" s="3373"/>
      <c r="Z6" s="3374"/>
      <c r="AA6" s="3377"/>
      <c r="AB6" s="3377"/>
      <c r="AC6" s="3381"/>
    </row>
    <row r="7" spans="1:29" s="102" customFormat="1" ht="15.75" thickBot="1">
      <c r="A7" s="352" t="s">
        <v>1679</v>
      </c>
      <c r="B7" s="353"/>
      <c r="C7" s="354">
        <f>'数据-取费表'!B2</f>
        <v>45450</v>
      </c>
      <c r="D7" s="355">
        <v>100</v>
      </c>
      <c r="E7" s="356">
        <f>C7</f>
        <v>45450</v>
      </c>
      <c r="F7" s="357">
        <f>SUMIF(59:59,YEAR(E7)&amp;"-"&amp;MONTH(E7),60:60)</f>
        <v>100</v>
      </c>
      <c r="G7" s="356">
        <f>C7</f>
        <v>45450</v>
      </c>
      <c r="H7" s="355">
        <f>SUMIF(59:59,YEAR(G7)&amp;"-"&amp;MONTH(G7),60:60)</f>
        <v>100</v>
      </c>
      <c r="I7" s="356">
        <f>C7</f>
        <v>45450</v>
      </c>
      <c r="J7" s="355">
        <f>SUMIF(59:59,YEAR(I7)&amp;"-"&amp;MONTH(I7),60:60)</f>
        <v>100</v>
      </c>
      <c r="K7" s="38"/>
      <c r="L7" s="2486"/>
      <c r="M7" s="2438"/>
      <c r="N7" s="2438"/>
      <c r="O7" s="2438"/>
      <c r="P7" s="3365" t="s">
        <v>1680</v>
      </c>
      <c r="Q7" s="3378"/>
      <c r="R7" s="663" t="s">
        <v>14</v>
      </c>
      <c r="S7" s="664">
        <f t="shared" ref="S7:S15" si="0">F7</f>
        <v>100</v>
      </c>
      <c r="T7" s="663" t="s">
        <v>14</v>
      </c>
      <c r="U7" s="664">
        <f t="shared" ref="U7:U15" si="1">H7</f>
        <v>100</v>
      </c>
      <c r="V7" s="663" t="s">
        <v>14</v>
      </c>
      <c r="W7" s="664">
        <f t="shared" ref="W7:W15" si="2">J7</f>
        <v>100</v>
      </c>
      <c r="X7" s="665"/>
      <c r="Y7" s="3367" t="s">
        <v>1680</v>
      </c>
      <c r="Z7" s="3366"/>
      <c r="AA7" s="50">
        <f>D7/F7</f>
        <v>1</v>
      </c>
      <c r="AB7" s="50">
        <f>D7/H7</f>
        <v>1</v>
      </c>
      <c r="AC7" s="801">
        <f>D7/J7</f>
        <v>1</v>
      </c>
    </row>
    <row r="8" spans="1:29" s="102" customFormat="1" ht="15.75" thickBot="1">
      <c r="A8" s="352" t="s">
        <v>1681</v>
      </c>
      <c r="B8" s="353"/>
      <c r="C8" s="358" t="s">
        <v>3403</v>
      </c>
      <c r="D8" s="355">
        <v>100</v>
      </c>
      <c r="E8" s="358" t="s">
        <v>3470</v>
      </c>
      <c r="F8" s="357">
        <f>SUMIF(62:62,E8,63:63)-SUMIF(62:62,C8,63:63)+100</f>
        <v>102</v>
      </c>
      <c r="G8" s="358" t="s">
        <v>3470</v>
      </c>
      <c r="H8" s="355">
        <f>SUMIF(62:62,G8,63:63)-SUMIF(62:62,C8,63:63)+100</f>
        <v>102</v>
      </c>
      <c r="I8" s="358" t="s">
        <v>3470</v>
      </c>
      <c r="J8" s="355">
        <f>SUMIF(62:62,I8,63:63)-SUMIF(62:62,C8,63:63)+100</f>
        <v>102</v>
      </c>
      <c r="K8" s="38"/>
      <c r="L8" s="2486"/>
      <c r="M8" s="2438"/>
      <c r="N8" s="2438"/>
      <c r="O8" s="2438"/>
      <c r="P8" s="3365" t="s">
        <v>1683</v>
      </c>
      <c r="Q8" s="3366"/>
      <c r="R8" s="663" t="s">
        <v>14</v>
      </c>
      <c r="S8" s="664">
        <f t="shared" si="0"/>
        <v>102</v>
      </c>
      <c r="T8" s="663" t="s">
        <v>14</v>
      </c>
      <c r="U8" s="664">
        <f t="shared" si="1"/>
        <v>102</v>
      </c>
      <c r="V8" s="663" t="s">
        <v>14</v>
      </c>
      <c r="W8" s="664">
        <f t="shared" si="2"/>
        <v>102</v>
      </c>
      <c r="X8" s="665"/>
      <c r="Y8" s="3367" t="s">
        <v>1683</v>
      </c>
      <c r="Z8" s="3366"/>
      <c r="AA8" s="50">
        <f t="shared" ref="AA8:AA47" si="3">D8/F8</f>
        <v>0.98039215686274506</v>
      </c>
      <c r="AB8" s="50">
        <f t="shared" ref="AB8:AB47" si="4">D8/H8</f>
        <v>0.98039215686274506</v>
      </c>
      <c r="AC8" s="801">
        <f t="shared" ref="AC8:AC47" si="5">D8/J8</f>
        <v>0.98039215686274506</v>
      </c>
    </row>
    <row r="9" spans="1:29" s="102" customFormat="1">
      <c r="A9" s="359" t="s">
        <v>1684</v>
      </c>
      <c r="B9" s="60" t="s">
        <v>1685</v>
      </c>
      <c r="C9" s="3144" t="s">
        <v>3404</v>
      </c>
      <c r="D9" s="59">
        <v>100</v>
      </c>
      <c r="E9" s="362" t="s">
        <v>21</v>
      </c>
      <c r="F9" s="59">
        <f>SUMIF(64:64,E9,65:65)-SUMIF(64:64,C9,65:65)+100</f>
        <v>100</v>
      </c>
      <c r="G9" s="361" t="s">
        <v>21</v>
      </c>
      <c r="H9" s="59">
        <f>SUMIF(64:64,G9,65:65)-SUMIF(64:64,C9,65:65)+100</f>
        <v>100</v>
      </c>
      <c r="I9" s="361" t="s">
        <v>21</v>
      </c>
      <c r="J9" s="59">
        <f>SUMIF(64:64,I9,65:65)-SUMIF(64:64,C9,65:65)+100</f>
        <v>100</v>
      </c>
      <c r="K9" s="38"/>
      <c r="L9" s="2486"/>
      <c r="M9" s="2438"/>
      <c r="N9" s="2438"/>
      <c r="O9" s="2438"/>
      <c r="P9" s="3350" t="s">
        <v>1686</v>
      </c>
      <c r="Q9" s="530"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801">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50"/>
      <c r="Q10" s="530"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50"/>
      <c r="Q11" s="530" t="str">
        <f t="shared" si="6"/>
        <v>容积率</v>
      </c>
      <c r="R11" s="663" t="s">
        <v>14</v>
      </c>
      <c r="S11" s="664">
        <f t="shared" si="0"/>
        <v>100</v>
      </c>
      <c r="T11" s="663" t="s">
        <v>14</v>
      </c>
      <c r="U11" s="664">
        <f t="shared" si="1"/>
        <v>100</v>
      </c>
      <c r="V11" s="663" t="s">
        <v>14</v>
      </c>
      <c r="W11" s="664">
        <f t="shared" si="2"/>
        <v>100</v>
      </c>
      <c r="X11" s="665"/>
      <c r="Y11" s="3249"/>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50"/>
      <c r="Q12" s="530">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50"/>
      <c r="Q13" s="530">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801">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50"/>
      <c r="Q14" s="530">
        <f t="shared" si="6"/>
        <v>111</v>
      </c>
      <c r="R14" s="663" t="s">
        <v>14</v>
      </c>
      <c r="S14" s="664">
        <f t="shared" si="0"/>
        <v>100</v>
      </c>
      <c r="T14" s="663" t="s">
        <v>14</v>
      </c>
      <c r="U14" s="664">
        <f t="shared" si="1"/>
        <v>100</v>
      </c>
      <c r="V14" s="663" t="s">
        <v>14</v>
      </c>
      <c r="W14" s="664">
        <f t="shared" si="2"/>
        <v>100</v>
      </c>
      <c r="X14" s="665"/>
      <c r="Y14" s="3249"/>
      <c r="Z14" s="50">
        <f t="shared" si="7"/>
        <v>111</v>
      </c>
      <c r="AA14" s="50">
        <f t="shared" si="3"/>
        <v>1</v>
      </c>
      <c r="AB14" s="50">
        <f t="shared" si="4"/>
        <v>1</v>
      </c>
      <c r="AC14" s="801">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356" t="s">
        <v>1691</v>
      </c>
      <c r="Q15" s="1263" t="str">
        <f t="shared" si="6"/>
        <v>办公集聚程度</v>
      </c>
      <c r="R15" s="666" t="s">
        <v>14</v>
      </c>
      <c r="S15" s="667">
        <f t="shared" si="0"/>
        <v>100</v>
      </c>
      <c r="T15" s="666" t="s">
        <v>14</v>
      </c>
      <c r="U15" s="667">
        <f t="shared" si="1"/>
        <v>100</v>
      </c>
      <c r="V15" s="666" t="s">
        <v>14</v>
      </c>
      <c r="W15" s="667">
        <f t="shared" si="2"/>
        <v>100</v>
      </c>
      <c r="X15" s="1265"/>
      <c r="Y15" s="3358" t="s">
        <v>1691</v>
      </c>
      <c r="Z15" s="1264" t="str">
        <f t="shared" si="7"/>
        <v>办公集聚程度</v>
      </c>
      <c r="AA15" s="1264">
        <f t="shared" si="3"/>
        <v>1</v>
      </c>
      <c r="AB15" s="1264">
        <f t="shared" si="4"/>
        <v>1</v>
      </c>
      <c r="AC15" s="1812">
        <f t="shared" si="5"/>
        <v>1</v>
      </c>
    </row>
    <row r="16" spans="1:29" ht="15">
      <c r="A16" s="367"/>
      <c r="B16" s="555"/>
      <c r="C16" s="1758" t="s">
        <v>3431</v>
      </c>
      <c r="D16" s="387"/>
      <c r="E16" s="1758" t="s">
        <v>3431</v>
      </c>
      <c r="F16" s="387"/>
      <c r="G16" s="1758" t="s">
        <v>3431</v>
      </c>
      <c r="H16" s="389"/>
      <c r="I16" s="1758" t="s">
        <v>3431</v>
      </c>
      <c r="J16" s="387"/>
      <c r="K16" s="541"/>
      <c r="L16" s="2490"/>
      <c r="M16" s="2485"/>
      <c r="N16" s="2485"/>
      <c r="O16" s="2485"/>
      <c r="P16" s="3357"/>
      <c r="Q16" s="1263"/>
      <c r="R16" s="666"/>
      <c r="S16" s="667"/>
      <c r="T16" s="666"/>
      <c r="U16" s="667"/>
      <c r="V16" s="666"/>
      <c r="W16" s="667"/>
      <c r="X16" s="1265"/>
      <c r="Y16" s="3359"/>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357"/>
      <c r="Q17" s="1263" t="str">
        <f>B17</f>
        <v>交通便捷度</v>
      </c>
      <c r="R17" s="666" t="s">
        <v>14</v>
      </c>
      <c r="S17" s="667">
        <f>F17</f>
        <v>100</v>
      </c>
      <c r="T17" s="666" t="s">
        <v>14</v>
      </c>
      <c r="U17" s="667">
        <f>H17</f>
        <v>100</v>
      </c>
      <c r="V17" s="666" t="s">
        <v>14</v>
      </c>
      <c r="W17" s="667">
        <f>J17</f>
        <v>100</v>
      </c>
      <c r="X17" s="1265"/>
      <c r="Y17" s="3359"/>
      <c r="Z17" s="1264" t="str">
        <f>Q17</f>
        <v>交通便捷度</v>
      </c>
      <c r="AA17" s="1264">
        <f t="shared" si="3"/>
        <v>1</v>
      </c>
      <c r="AB17" s="1264">
        <f t="shared" si="4"/>
        <v>1</v>
      </c>
      <c r="AC17" s="1812">
        <f t="shared" si="5"/>
        <v>1</v>
      </c>
    </row>
    <row r="18" spans="1:29" ht="15">
      <c r="A18" s="367"/>
      <c r="B18" s="401"/>
      <c r="C18" s="1814" t="s">
        <v>3431</v>
      </c>
      <c r="D18" s="389"/>
      <c r="E18" s="1814" t="s">
        <v>3431</v>
      </c>
      <c r="F18" s="389"/>
      <c r="G18" s="1814" t="s">
        <v>3431</v>
      </c>
      <c r="H18" s="387"/>
      <c r="I18" s="1814" t="s">
        <v>3431</v>
      </c>
      <c r="J18" s="387"/>
      <c r="K18" s="541"/>
      <c r="L18" s="2490"/>
      <c r="M18" s="2485"/>
      <c r="N18" s="2485"/>
      <c r="O18" s="2485"/>
      <c r="P18" s="3357"/>
      <c r="Q18" s="1263"/>
      <c r="R18" s="666"/>
      <c r="S18" s="667"/>
      <c r="T18" s="666"/>
      <c r="U18" s="667"/>
      <c r="V18" s="666"/>
      <c r="W18" s="667"/>
      <c r="X18" s="1265"/>
      <c r="Y18" s="3359"/>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3</v>
      </c>
      <c r="L19" s="2490"/>
      <c r="M19" s="2485"/>
      <c r="N19" s="2485"/>
      <c r="O19" s="2485"/>
      <c r="P19" s="3357"/>
      <c r="Q19" s="1263" t="str">
        <f>B19</f>
        <v>公共配套设施</v>
      </c>
      <c r="R19" s="666" t="s">
        <v>14</v>
      </c>
      <c r="S19" s="667">
        <f>F19</f>
        <v>100</v>
      </c>
      <c r="T19" s="666" t="s">
        <v>14</v>
      </c>
      <c r="U19" s="667">
        <f>H19</f>
        <v>100</v>
      </c>
      <c r="V19" s="666" t="s">
        <v>14</v>
      </c>
      <c r="W19" s="667">
        <f>J19</f>
        <v>100</v>
      </c>
      <c r="X19" s="1265"/>
      <c r="Y19" s="3359"/>
      <c r="Z19" s="1264" t="str">
        <f>Q19</f>
        <v>公共配套设施</v>
      </c>
      <c r="AA19" s="1264">
        <f t="shared" si="3"/>
        <v>1</v>
      </c>
      <c r="AB19" s="1264">
        <f t="shared" si="4"/>
        <v>1</v>
      </c>
      <c r="AC19" s="1812">
        <f t="shared" si="5"/>
        <v>1</v>
      </c>
    </row>
    <row r="20" spans="1:29" ht="15">
      <c r="A20" s="367"/>
      <c r="B20" s="401"/>
      <c r="C20" s="1758" t="s">
        <v>3431</v>
      </c>
      <c r="D20" s="387"/>
      <c r="E20" s="1758" t="s">
        <v>3431</v>
      </c>
      <c r="F20" s="387"/>
      <c r="G20" s="1758" t="s">
        <v>3431</v>
      </c>
      <c r="H20" s="387"/>
      <c r="I20" s="1758" t="s">
        <v>3431</v>
      </c>
      <c r="J20" s="387"/>
      <c r="K20" s="541"/>
      <c r="L20" s="2490"/>
      <c r="M20" s="2485"/>
      <c r="N20" s="2485"/>
      <c r="O20" s="2485"/>
      <c r="P20" s="3357"/>
      <c r="Q20" s="1263"/>
      <c r="R20" s="666"/>
      <c r="S20" s="667"/>
      <c r="T20" s="666"/>
      <c r="U20" s="667"/>
      <c r="V20" s="666"/>
      <c r="W20" s="667"/>
      <c r="X20" s="1265"/>
      <c r="Y20" s="3359"/>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2</v>
      </c>
      <c r="L21" s="2490"/>
      <c r="M21" s="2485"/>
      <c r="N21" s="2485"/>
      <c r="O21" s="2485"/>
      <c r="P21" s="3357"/>
      <c r="Q21" s="1263" t="str">
        <f>B21</f>
        <v>基础设施水平</v>
      </c>
      <c r="R21" s="666" t="s">
        <v>14</v>
      </c>
      <c r="S21" s="667">
        <f>F21</f>
        <v>100</v>
      </c>
      <c r="T21" s="666" t="s">
        <v>14</v>
      </c>
      <c r="U21" s="667">
        <f>H21</f>
        <v>100</v>
      </c>
      <c r="V21" s="666" t="s">
        <v>14</v>
      </c>
      <c r="W21" s="667">
        <f>J21</f>
        <v>100</v>
      </c>
      <c r="X21" s="1265"/>
      <c r="Y21" s="3359"/>
      <c r="Z21" s="1264" t="str">
        <f>Q21</f>
        <v>基础设施水平</v>
      </c>
      <c r="AA21" s="1264">
        <f t="shared" ref="AA21" si="8">D21/F21</f>
        <v>1</v>
      </c>
      <c r="AB21" s="1264">
        <f t="shared" ref="AB21" si="9">D21/H21</f>
        <v>1</v>
      </c>
      <c r="AC21" s="1812">
        <f t="shared" ref="AC21" si="10">D21/J21</f>
        <v>1</v>
      </c>
    </row>
    <row r="22" spans="1:29" ht="15">
      <c r="A22" s="367"/>
      <c r="B22" s="557"/>
      <c r="C22" s="1814" t="s">
        <v>3422</v>
      </c>
      <c r="D22" s="387"/>
      <c r="E22" s="1814" t="s">
        <v>3422</v>
      </c>
      <c r="F22" s="387"/>
      <c r="G22" s="1814" t="s">
        <v>3422</v>
      </c>
      <c r="H22" s="387"/>
      <c r="I22" s="1814" t="s">
        <v>3422</v>
      </c>
      <c r="J22" s="387"/>
      <c r="K22" s="1064"/>
      <c r="L22" s="2490"/>
      <c r="M22" s="2485"/>
      <c r="N22" s="2485"/>
      <c r="O22" s="2485"/>
      <c r="P22" s="3357"/>
      <c r="Q22" s="1263"/>
      <c r="R22" s="666"/>
      <c r="S22" s="667"/>
      <c r="T22" s="666"/>
      <c r="U22" s="667"/>
      <c r="V22" s="666"/>
      <c r="W22" s="667"/>
      <c r="X22" s="1265"/>
      <c r="Y22" s="3359"/>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3</v>
      </c>
      <c r="L23" s="2490"/>
      <c r="M23" s="2485"/>
      <c r="N23" s="2485"/>
      <c r="O23" s="2485"/>
      <c r="P23" s="3357"/>
      <c r="Q23" s="1263" t="str">
        <f>B23</f>
        <v>环境质量</v>
      </c>
      <c r="R23" s="666" t="s">
        <v>14</v>
      </c>
      <c r="S23" s="667">
        <f>F23</f>
        <v>100</v>
      </c>
      <c r="T23" s="666" t="s">
        <v>14</v>
      </c>
      <c r="U23" s="667">
        <f>H23</f>
        <v>100</v>
      </c>
      <c r="V23" s="666" t="s">
        <v>14</v>
      </c>
      <c r="W23" s="667">
        <f>J23</f>
        <v>100</v>
      </c>
      <c r="X23" s="1265"/>
      <c r="Y23" s="3359"/>
      <c r="Z23" s="1264" t="str">
        <f>Q23</f>
        <v>环境质量</v>
      </c>
      <c r="AA23" s="1264">
        <f t="shared" si="3"/>
        <v>1</v>
      </c>
      <c r="AB23" s="1264">
        <f t="shared" si="4"/>
        <v>1</v>
      </c>
      <c r="AC23" s="1812">
        <f t="shared" si="5"/>
        <v>1</v>
      </c>
    </row>
    <row r="24" spans="1:29" ht="15">
      <c r="A24" s="367"/>
      <c r="B24" s="557"/>
      <c r="C24" s="1758" t="s">
        <v>3435</v>
      </c>
      <c r="D24" s="387"/>
      <c r="E24" s="1758" t="s">
        <v>3435</v>
      </c>
      <c r="F24" s="387"/>
      <c r="G24" s="1758" t="s">
        <v>3435</v>
      </c>
      <c r="H24" s="387"/>
      <c r="I24" s="1758" t="s">
        <v>3435</v>
      </c>
      <c r="J24" s="387"/>
      <c r="K24" s="541"/>
      <c r="L24" s="2490"/>
      <c r="M24" s="2485"/>
      <c r="N24" s="2485"/>
      <c r="O24" s="2485"/>
      <c r="P24" s="3357"/>
      <c r="Q24" s="1263"/>
      <c r="R24" s="666"/>
      <c r="S24" s="667"/>
      <c r="T24" s="666"/>
      <c r="U24" s="667"/>
      <c r="V24" s="666"/>
      <c r="W24" s="667"/>
      <c r="X24" s="1265"/>
      <c r="Y24" s="335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57"/>
      <c r="Q25" s="1263" t="str">
        <f>B25</f>
        <v>毗邻道路的类型与等级</v>
      </c>
      <c r="R25" s="666" t="s">
        <v>14</v>
      </c>
      <c r="S25" s="667">
        <f>F25</f>
        <v>100</v>
      </c>
      <c r="T25" s="666" t="s">
        <v>14</v>
      </c>
      <c r="U25" s="667">
        <f>H25</f>
        <v>100</v>
      </c>
      <c r="V25" s="666" t="s">
        <v>14</v>
      </c>
      <c r="W25" s="667">
        <f>J25</f>
        <v>100</v>
      </c>
      <c r="X25" s="1265"/>
      <c r="Y25" s="335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57"/>
      <c r="Q26" s="1263"/>
      <c r="R26" s="666"/>
      <c r="S26" s="667"/>
      <c r="T26" s="666"/>
      <c r="U26" s="667"/>
      <c r="V26" s="666"/>
      <c r="W26" s="667"/>
      <c r="X26" s="1265"/>
      <c r="Y26" s="3359"/>
      <c r="Z26" s="1264"/>
      <c r="AA26" s="1264">
        <v>1</v>
      </c>
      <c r="AB26" s="1264">
        <v>1</v>
      </c>
      <c r="AC26" s="1812">
        <v>1</v>
      </c>
    </row>
    <row r="27" spans="1:29" ht="15">
      <c r="A27" s="367"/>
      <c r="B27" s="401" t="s">
        <v>1783</v>
      </c>
      <c r="C27" s="558" t="s">
        <v>3408</v>
      </c>
      <c r="D27" s="374">
        <v>100</v>
      </c>
      <c r="E27" s="542" t="s">
        <v>3439</v>
      </c>
      <c r="F27" s="374">
        <f>SUMIF(89:89,E27,90:90)-SUMIF(89:89,C27,90:90)+100</f>
        <v>100</v>
      </c>
      <c r="G27" s="558" t="s">
        <v>3439</v>
      </c>
      <c r="H27" s="374">
        <f>SUMIF(89:89,G27,90:90)-SUMIF(89:89,C27,90:90)+100</f>
        <v>100</v>
      </c>
      <c r="I27" s="542" t="s">
        <v>3406</v>
      </c>
      <c r="J27" s="374">
        <f>SUMIF(89:89,I27,90:90)-SUMIF(89:89,C27,90:90)+100</f>
        <v>100</v>
      </c>
      <c r="K27" s="538">
        <v>0</v>
      </c>
      <c r="L27" s="2490"/>
      <c r="M27" s="2485"/>
      <c r="N27" s="2485"/>
      <c r="O27" s="2485"/>
      <c r="P27" s="3357"/>
      <c r="Q27" s="1263" t="str">
        <f t="shared" ref="Q27:Q47" si="11">B27</f>
        <v>楼层</v>
      </c>
      <c r="R27" s="666" t="s">
        <v>14</v>
      </c>
      <c r="S27" s="667">
        <f>F27</f>
        <v>100</v>
      </c>
      <c r="T27" s="666" t="s">
        <v>14</v>
      </c>
      <c r="U27" s="667">
        <f>H27</f>
        <v>100</v>
      </c>
      <c r="V27" s="666" t="s">
        <v>14</v>
      </c>
      <c r="W27" s="667">
        <f>J27</f>
        <v>100</v>
      </c>
      <c r="X27" s="1265"/>
      <c r="Y27" s="335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57"/>
      <c r="Q28" s="530" t="str">
        <f t="shared" si="11"/>
        <v>朝向</v>
      </c>
      <c r="R28" s="663" t="s">
        <v>14</v>
      </c>
      <c r="S28" s="664">
        <f>F28</f>
        <v>100</v>
      </c>
      <c r="T28" s="663" t="s">
        <v>14</v>
      </c>
      <c r="U28" s="664">
        <f>H28</f>
        <v>100</v>
      </c>
      <c r="V28" s="663" t="s">
        <v>14</v>
      </c>
      <c r="W28" s="664">
        <f>J28</f>
        <v>100</v>
      </c>
      <c r="X28" s="665"/>
      <c r="Y28" s="335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57"/>
      <c r="Q29" s="1263">
        <f t="shared" si="11"/>
        <v>111</v>
      </c>
      <c r="R29" s="666" t="s">
        <v>14</v>
      </c>
      <c r="S29" s="667">
        <f t="shared" ref="S29:S47" si="12">F29</f>
        <v>100</v>
      </c>
      <c r="T29" s="666" t="s">
        <v>14</v>
      </c>
      <c r="U29" s="667">
        <f t="shared" ref="U29:U47" si="13">H29</f>
        <v>100</v>
      </c>
      <c r="V29" s="666" t="s">
        <v>14</v>
      </c>
      <c r="W29" s="667">
        <f t="shared" ref="W29:W47" si="14">J29</f>
        <v>100</v>
      </c>
      <c r="X29" s="1265"/>
      <c r="Y29" s="335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57"/>
      <c r="Q30" s="1263">
        <f t="shared" si="11"/>
        <v>111</v>
      </c>
      <c r="R30" s="666" t="s">
        <v>14</v>
      </c>
      <c r="S30" s="667">
        <f t="shared" si="12"/>
        <v>100</v>
      </c>
      <c r="T30" s="666" t="s">
        <v>14</v>
      </c>
      <c r="U30" s="667">
        <f t="shared" si="13"/>
        <v>100</v>
      </c>
      <c r="V30" s="666" t="s">
        <v>14</v>
      </c>
      <c r="W30" s="667">
        <f t="shared" si="14"/>
        <v>100</v>
      </c>
      <c r="X30" s="1265"/>
      <c r="Y30" s="335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57"/>
      <c r="Q31" s="1263">
        <f t="shared" si="11"/>
        <v>111</v>
      </c>
      <c r="R31" s="666" t="s">
        <v>14</v>
      </c>
      <c r="S31" s="667">
        <f t="shared" si="12"/>
        <v>100</v>
      </c>
      <c r="T31" s="666" t="s">
        <v>14</v>
      </c>
      <c r="U31" s="667">
        <f t="shared" si="13"/>
        <v>100</v>
      </c>
      <c r="V31" s="666" t="s">
        <v>14</v>
      </c>
      <c r="W31" s="667">
        <f t="shared" si="14"/>
        <v>100</v>
      </c>
      <c r="X31" s="1265"/>
      <c r="Y31" s="335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57"/>
      <c r="Q32" s="1263">
        <f t="shared" si="11"/>
        <v>111</v>
      </c>
      <c r="R32" s="666" t="s">
        <v>14</v>
      </c>
      <c r="S32" s="667">
        <f t="shared" si="12"/>
        <v>100</v>
      </c>
      <c r="T32" s="666" t="s">
        <v>14</v>
      </c>
      <c r="U32" s="667">
        <f t="shared" si="13"/>
        <v>100</v>
      </c>
      <c r="V32" s="666" t="s">
        <v>14</v>
      </c>
      <c r="W32" s="667">
        <f t="shared" si="14"/>
        <v>100</v>
      </c>
      <c r="X32" s="1265"/>
      <c r="Y32" s="3359"/>
      <c r="Z32" s="1264">
        <f t="shared" si="15"/>
        <v>111</v>
      </c>
      <c r="AA32" s="1264">
        <f t="shared" si="3"/>
        <v>1</v>
      </c>
      <c r="AB32" s="1264">
        <f t="shared" si="4"/>
        <v>1</v>
      </c>
      <c r="AC32" s="1812">
        <f t="shared" si="5"/>
        <v>1</v>
      </c>
    </row>
    <row r="33" spans="1:29" ht="15">
      <c r="A33" s="379" t="s">
        <v>1694</v>
      </c>
      <c r="B33" s="60" t="s">
        <v>1817</v>
      </c>
      <c r="C33" s="1764" t="s">
        <v>3410</v>
      </c>
      <c r="D33" s="405">
        <v>100</v>
      </c>
      <c r="E33" s="1764" t="s">
        <v>3410</v>
      </c>
      <c r="F33" s="400">
        <f>SUMIF(101:101,E33,102:102)-SUMIF(101:101,C33,102:102)+100</f>
        <v>100</v>
      </c>
      <c r="G33" s="1764" t="s">
        <v>3410</v>
      </c>
      <c r="H33" s="374">
        <f>SUMIF(101:101,G33,102:102)-SUMIF(101:101,C33,102:102)+100</f>
        <v>100</v>
      </c>
      <c r="I33" s="1764" t="s">
        <v>3410</v>
      </c>
      <c r="J33" s="405">
        <f>SUMIF(101:101,I33,102:102)-SUMIF(101:101,C33,102:102)+100</f>
        <v>100</v>
      </c>
      <c r="K33" s="538">
        <v>3</v>
      </c>
      <c r="L33" s="2490"/>
      <c r="M33" s="2485"/>
      <c r="N33" s="2485"/>
      <c r="O33" s="2485"/>
      <c r="P33" s="3360" t="s">
        <v>1696</v>
      </c>
      <c r="Q33" s="1263" t="str">
        <f t="shared" si="11"/>
        <v>建筑类型</v>
      </c>
      <c r="R33" s="666" t="s">
        <v>14</v>
      </c>
      <c r="S33" s="667">
        <f t="shared" si="12"/>
        <v>100</v>
      </c>
      <c r="T33" s="666" t="s">
        <v>14</v>
      </c>
      <c r="U33" s="667">
        <f t="shared" si="13"/>
        <v>100</v>
      </c>
      <c r="V33" s="666" t="s">
        <v>14</v>
      </c>
      <c r="W33" s="667">
        <f t="shared" si="14"/>
        <v>100</v>
      </c>
      <c r="X33" s="1265"/>
      <c r="Y33" s="3363"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94.12</v>
      </c>
      <c r="D34" s="119">
        <v>100</v>
      </c>
      <c r="E34" s="369">
        <v>230</v>
      </c>
      <c r="F34" s="364">
        <f>LOOKUP(E34,104:104,105:105)-LOOKUP(C34,104:104,105:105)+100</f>
        <v>99</v>
      </c>
      <c r="G34" s="368">
        <v>205</v>
      </c>
      <c r="H34" s="119">
        <f>LOOKUP(G34,104:104,105:105)-LOOKUP(C34,104:104,105:105)+100</f>
        <v>99</v>
      </c>
      <c r="I34" s="368">
        <v>102.11</v>
      </c>
      <c r="J34" s="119">
        <f>LOOKUP(I34,104:104,105:105)-LOOKUP(C34,104:104,105:105)+100</f>
        <v>100</v>
      </c>
      <c r="K34" s="539"/>
      <c r="L34" s="2489"/>
      <c r="M34" s="2491"/>
      <c r="N34" s="2491"/>
      <c r="O34" s="2491"/>
      <c r="P34" s="3361"/>
      <c r="Q34" s="531" t="str">
        <f t="shared" si="11"/>
        <v>项目建筑规模</v>
      </c>
      <c r="R34" s="668" t="s">
        <v>14</v>
      </c>
      <c r="S34" s="669">
        <f t="shared" si="12"/>
        <v>99</v>
      </c>
      <c r="T34" s="668" t="s">
        <v>14</v>
      </c>
      <c r="U34" s="669">
        <f t="shared" si="13"/>
        <v>99</v>
      </c>
      <c r="V34" s="668" t="s">
        <v>14</v>
      </c>
      <c r="W34" s="669">
        <f t="shared" si="14"/>
        <v>100</v>
      </c>
      <c r="X34" s="670"/>
      <c r="Y34" s="3363"/>
      <c r="Z34" s="671" t="str">
        <f t="shared" si="15"/>
        <v>项目建筑规模</v>
      </c>
      <c r="AA34" s="1264">
        <f t="shared" si="3"/>
        <v>1.0101010101010102</v>
      </c>
      <c r="AB34" s="1264">
        <f t="shared" si="4"/>
        <v>1.0101010101010102</v>
      </c>
      <c r="AC34" s="1812">
        <f t="shared" si="5"/>
        <v>1</v>
      </c>
    </row>
    <row r="35" spans="1:29" ht="15">
      <c r="A35" s="409"/>
      <c r="B35" s="364" t="s">
        <v>1698</v>
      </c>
      <c r="C35" s="399" t="s">
        <v>3395</v>
      </c>
      <c r="D35" s="374">
        <v>100</v>
      </c>
      <c r="E35" s="399" t="s">
        <v>3395</v>
      </c>
      <c r="F35" s="400">
        <f>SUMIF(106:106,E35,107:107)-SUMIF(106:106,C35,107:107)+100</f>
        <v>100</v>
      </c>
      <c r="G35" s="399" t="s">
        <v>3395</v>
      </c>
      <c r="H35" s="374">
        <f>SUMIF(106:106,G35,107:107)-SUMIF(106:106,C35,107:107)+100</f>
        <v>100</v>
      </c>
      <c r="I35" s="399" t="s">
        <v>3395</v>
      </c>
      <c r="J35" s="374">
        <f>SUMIF(106:106,I35,107:107)-SUMIF(106:106,C35,107:107)+100</f>
        <v>100</v>
      </c>
      <c r="K35" s="538">
        <v>1</v>
      </c>
      <c r="L35" s="2490"/>
      <c r="M35" s="2485"/>
      <c r="N35" s="2485"/>
      <c r="O35" s="2485"/>
      <c r="P35" s="3361"/>
      <c r="Q35" s="1263" t="str">
        <f t="shared" si="11"/>
        <v>建筑结构</v>
      </c>
      <c r="R35" s="666" t="s">
        <v>14</v>
      </c>
      <c r="S35" s="667">
        <f t="shared" si="12"/>
        <v>100</v>
      </c>
      <c r="T35" s="666" t="s">
        <v>14</v>
      </c>
      <c r="U35" s="667">
        <f t="shared" si="13"/>
        <v>100</v>
      </c>
      <c r="V35" s="666" t="s">
        <v>14</v>
      </c>
      <c r="W35" s="667">
        <f t="shared" si="14"/>
        <v>100</v>
      </c>
      <c r="X35" s="1265"/>
      <c r="Y35" s="3363"/>
      <c r="Z35" s="1264" t="str">
        <f t="shared" si="15"/>
        <v>建筑结构</v>
      </c>
      <c r="AA35" s="1264">
        <f t="shared" si="3"/>
        <v>1</v>
      </c>
      <c r="AB35" s="1264">
        <f t="shared" si="4"/>
        <v>1</v>
      </c>
      <c r="AC35" s="1812">
        <f t="shared" si="5"/>
        <v>1</v>
      </c>
    </row>
    <row r="36" spans="1:29" ht="15">
      <c r="A36" s="409"/>
      <c r="B36" s="364" t="s">
        <v>1785</v>
      </c>
      <c r="C36" s="399" t="s">
        <v>3413</v>
      </c>
      <c r="D36" s="374">
        <v>100</v>
      </c>
      <c r="E36" s="399" t="s">
        <v>3413</v>
      </c>
      <c r="F36" s="400">
        <f>SUMIF(108:108,E36,109:109)-SUMIF(108:108,C36,109:109)+100</f>
        <v>100</v>
      </c>
      <c r="G36" s="399" t="s">
        <v>3413</v>
      </c>
      <c r="H36" s="374">
        <f>SUMIF(108:108,G36,109:109)-SUMIF(108:108,C36,109:109)+100</f>
        <v>100</v>
      </c>
      <c r="I36" s="399" t="s">
        <v>3413</v>
      </c>
      <c r="J36" s="374">
        <f>SUMIF(108:108,I36,109:109)-SUMIF(108:108,C36,109:109)+100</f>
        <v>100</v>
      </c>
      <c r="K36" s="538">
        <v>2</v>
      </c>
      <c r="L36" s="2490"/>
      <c r="M36" s="2485"/>
      <c r="N36" s="2485"/>
      <c r="O36" s="2485"/>
      <c r="P36" s="3361"/>
      <c r="Q36" s="1263" t="str">
        <f t="shared" si="11"/>
        <v>公共部分装修</v>
      </c>
      <c r="R36" s="666" t="s">
        <v>14</v>
      </c>
      <c r="S36" s="667">
        <f t="shared" si="12"/>
        <v>100</v>
      </c>
      <c r="T36" s="666" t="s">
        <v>14</v>
      </c>
      <c r="U36" s="667">
        <f t="shared" si="13"/>
        <v>100</v>
      </c>
      <c r="V36" s="666" t="s">
        <v>14</v>
      </c>
      <c r="W36" s="667">
        <f t="shared" si="14"/>
        <v>100</v>
      </c>
      <c r="X36" s="1265"/>
      <c r="Y36" s="3363"/>
      <c r="Z36" s="1264" t="str">
        <f t="shared" si="15"/>
        <v>公共部分装修</v>
      </c>
      <c r="AA36" s="1264">
        <f t="shared" si="3"/>
        <v>1</v>
      </c>
      <c r="AB36" s="1264">
        <f t="shared" si="4"/>
        <v>1</v>
      </c>
      <c r="AC36" s="1812">
        <f t="shared" si="5"/>
        <v>1</v>
      </c>
    </row>
    <row r="37" spans="1:29" ht="15">
      <c r="A37" s="409"/>
      <c r="B37" s="364" t="s">
        <v>1786</v>
      </c>
      <c r="C37" s="411">
        <f>'数据-取费表'!N6</f>
        <v>0.72</v>
      </c>
      <c r="D37" s="374">
        <v>100</v>
      </c>
      <c r="E37" s="411">
        <f>C37</f>
        <v>0.72</v>
      </c>
      <c r="F37" s="400">
        <f>LOOKUP(E37,111:111,112:112)-LOOKUP(C37,111:111,112:112)+100</f>
        <v>100</v>
      </c>
      <c r="G37" s="411">
        <f>C37</f>
        <v>0.72</v>
      </c>
      <c r="H37" s="400">
        <f>LOOKUP(G37,111:111,112:112)-LOOKUP(C37,111:111,112:112)+100</f>
        <v>100</v>
      </c>
      <c r="I37" s="411">
        <f>C37</f>
        <v>0.72</v>
      </c>
      <c r="J37" s="374">
        <f>LOOKUP(I37,111:111,112:112)-LOOKUP(C37,111:111,112:112)+100</f>
        <v>100</v>
      </c>
      <c r="K37" s="538">
        <v>2</v>
      </c>
      <c r="L37" s="2490"/>
      <c r="M37" s="2485"/>
      <c r="N37" s="2485"/>
      <c r="O37" s="2485"/>
      <c r="P37" s="3361"/>
      <c r="Q37" s="1263" t="str">
        <f t="shared" si="11"/>
        <v>成新度</v>
      </c>
      <c r="R37" s="666" t="s">
        <v>14</v>
      </c>
      <c r="S37" s="667">
        <f t="shared" si="12"/>
        <v>100</v>
      </c>
      <c r="T37" s="666" t="s">
        <v>14</v>
      </c>
      <c r="U37" s="667">
        <f t="shared" si="13"/>
        <v>100</v>
      </c>
      <c r="V37" s="666" t="s">
        <v>14</v>
      </c>
      <c r="W37" s="667">
        <f t="shared" si="14"/>
        <v>100</v>
      </c>
      <c r="X37" s="1265"/>
      <c r="Y37" s="3363"/>
      <c r="Z37" s="1264" t="str">
        <f t="shared" si="15"/>
        <v>成新度</v>
      </c>
      <c r="AA37" s="1264">
        <f t="shared" si="3"/>
        <v>1</v>
      </c>
      <c r="AB37" s="1264">
        <f t="shared" si="4"/>
        <v>1</v>
      </c>
      <c r="AC37" s="1812">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61"/>
      <c r="Q38" s="530" t="str">
        <f t="shared" si="11"/>
        <v>写字楼等级</v>
      </c>
      <c r="R38" s="663" t="s">
        <v>14</v>
      </c>
      <c r="S38" s="664">
        <f t="shared" si="12"/>
        <v>100</v>
      </c>
      <c r="T38" s="663" t="s">
        <v>14</v>
      </c>
      <c r="U38" s="664">
        <f t="shared" si="13"/>
        <v>100</v>
      </c>
      <c r="V38" s="663" t="s">
        <v>14</v>
      </c>
      <c r="W38" s="664">
        <f t="shared" si="14"/>
        <v>100</v>
      </c>
      <c r="X38" s="665"/>
      <c r="Y38" s="3363"/>
      <c r="Z38" s="50" t="str">
        <f t="shared" si="15"/>
        <v>写字楼等级</v>
      </c>
      <c r="AA38" s="50">
        <f t="shared" si="3"/>
        <v>1</v>
      </c>
      <c r="AB38" s="50">
        <f t="shared" si="4"/>
        <v>1</v>
      </c>
      <c r="AC38" s="801">
        <f t="shared" si="5"/>
        <v>1</v>
      </c>
    </row>
    <row r="39" spans="1:29" ht="15" hidden="1">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61" t="s">
        <v>1696</v>
      </c>
      <c r="Q39" s="1263" t="str">
        <f t="shared" si="11"/>
        <v>物业管理</v>
      </c>
      <c r="R39" s="666" t="s">
        <v>14</v>
      </c>
      <c r="S39" s="667">
        <f t="shared" si="12"/>
        <v>100</v>
      </c>
      <c r="T39" s="666" t="s">
        <v>14</v>
      </c>
      <c r="U39" s="667">
        <f t="shared" si="13"/>
        <v>100</v>
      </c>
      <c r="V39" s="666" t="s">
        <v>14</v>
      </c>
      <c r="W39" s="667">
        <f t="shared" si="14"/>
        <v>100</v>
      </c>
      <c r="X39" s="1265"/>
      <c r="Y39" s="3363" t="s">
        <v>1696</v>
      </c>
      <c r="Z39" s="1264" t="str">
        <f t="shared" si="15"/>
        <v>物业管理</v>
      </c>
      <c r="AA39" s="1264">
        <f t="shared" si="3"/>
        <v>1</v>
      </c>
      <c r="AB39" s="1264">
        <f t="shared" si="4"/>
        <v>1</v>
      </c>
      <c r="AC39" s="1812">
        <f t="shared" si="5"/>
        <v>1</v>
      </c>
    </row>
    <row r="40" spans="1:29" ht="15">
      <c r="A40" s="409"/>
      <c r="B40" s="364" t="s">
        <v>1787</v>
      </c>
      <c r="C40" s="399" t="s">
        <v>3424</v>
      </c>
      <c r="D40" s="374">
        <v>100</v>
      </c>
      <c r="E40" s="399" t="s">
        <v>3424</v>
      </c>
      <c r="F40" s="400">
        <f>SUMIF(117:117,E40,118:118)-SUMIF(117:117,C40,118:118)+100</f>
        <v>100</v>
      </c>
      <c r="G40" s="399" t="s">
        <v>3424</v>
      </c>
      <c r="H40" s="374">
        <f>SUMIF(117:117,G40,118:118)-SUMIF(117:117,C40,118:118)+100</f>
        <v>100</v>
      </c>
      <c r="I40" s="399" t="s">
        <v>3424</v>
      </c>
      <c r="J40" s="374">
        <f>SUMIF(117:117,I40,118:118)-SUMIF(117:117,C40,118:118)+100</f>
        <v>100</v>
      </c>
      <c r="K40" s="538">
        <v>1</v>
      </c>
      <c r="L40" s="2490"/>
      <c r="M40" s="2485"/>
      <c r="N40" s="2485"/>
      <c r="O40" s="2485"/>
      <c r="P40" s="3361"/>
      <c r="Q40" s="1263" t="str">
        <f t="shared" si="11"/>
        <v>市政基础设施</v>
      </c>
      <c r="R40" s="666" t="s">
        <v>14</v>
      </c>
      <c r="S40" s="667">
        <f t="shared" si="12"/>
        <v>100</v>
      </c>
      <c r="T40" s="666" t="s">
        <v>14</v>
      </c>
      <c r="U40" s="667">
        <f t="shared" si="13"/>
        <v>100</v>
      </c>
      <c r="V40" s="666" t="s">
        <v>14</v>
      </c>
      <c r="W40" s="667">
        <f t="shared" si="14"/>
        <v>100</v>
      </c>
      <c r="X40" s="1265"/>
      <c r="Y40" s="3363"/>
      <c r="Z40" s="1264" t="str">
        <f t="shared" si="15"/>
        <v>市政基础设施</v>
      </c>
      <c r="AA40" s="1264">
        <f t="shared" si="3"/>
        <v>1</v>
      </c>
      <c r="AB40" s="1264">
        <f t="shared" si="4"/>
        <v>1</v>
      </c>
      <c r="AC40" s="1812">
        <f t="shared" si="5"/>
        <v>1</v>
      </c>
    </row>
    <row r="41" spans="1:29" ht="15">
      <c r="A41" s="409"/>
      <c r="B41" s="364" t="s">
        <v>1789</v>
      </c>
      <c r="C41" s="542" t="s">
        <v>3429</v>
      </c>
      <c r="D41" s="374">
        <v>100</v>
      </c>
      <c r="E41" s="542" t="s">
        <v>3429</v>
      </c>
      <c r="F41" s="400">
        <f>SUMIF(119:119,E41,120:120)-SUMIF(119:119,C41,120:120)+100</f>
        <v>100</v>
      </c>
      <c r="G41" s="542" t="s">
        <v>3429</v>
      </c>
      <c r="H41" s="374">
        <f>SUMIF(119:119,G41,120:120)-SUMIF(119:119,C41,120:120)+100</f>
        <v>100</v>
      </c>
      <c r="I41" s="542" t="s">
        <v>3429</v>
      </c>
      <c r="J41" s="374">
        <f>SUMIF(119:119,I41,120:120)-SUMIF(119:119,C41,120:120)+100</f>
        <v>100</v>
      </c>
      <c r="K41" s="538">
        <v>2</v>
      </c>
      <c r="L41" s="2490"/>
      <c r="M41" s="2485"/>
      <c r="N41" s="2485"/>
      <c r="O41" s="2485"/>
      <c r="P41" s="3361"/>
      <c r="Q41" s="1263" t="str">
        <f t="shared" si="11"/>
        <v>层高</v>
      </c>
      <c r="R41" s="666" t="s">
        <v>14</v>
      </c>
      <c r="S41" s="667">
        <f t="shared" si="12"/>
        <v>100</v>
      </c>
      <c r="T41" s="666" t="s">
        <v>14</v>
      </c>
      <c r="U41" s="667">
        <f t="shared" si="13"/>
        <v>100</v>
      </c>
      <c r="V41" s="666" t="s">
        <v>14</v>
      </c>
      <c r="W41" s="667">
        <f t="shared" si="14"/>
        <v>100</v>
      </c>
      <c r="X41" s="1265"/>
      <c r="Y41" s="3363"/>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61"/>
      <c r="Q42" s="531" t="str">
        <f t="shared" si="11"/>
        <v>单套建筑面积</v>
      </c>
      <c r="R42" s="668" t="s">
        <v>14</v>
      </c>
      <c r="S42" s="669">
        <f t="shared" si="12"/>
        <v>100</v>
      </c>
      <c r="T42" s="668" t="s">
        <v>14</v>
      </c>
      <c r="U42" s="669">
        <f t="shared" si="13"/>
        <v>100</v>
      </c>
      <c r="V42" s="668" t="s">
        <v>14</v>
      </c>
      <c r="W42" s="669">
        <f t="shared" si="14"/>
        <v>100</v>
      </c>
      <c r="X42" s="670"/>
      <c r="Y42" s="3363"/>
      <c r="Z42" s="671" t="str">
        <f t="shared" si="15"/>
        <v>单套建筑面积</v>
      </c>
      <c r="AA42" s="1264">
        <f t="shared" si="3"/>
        <v>1</v>
      </c>
      <c r="AB42" s="1264">
        <f t="shared" si="4"/>
        <v>1</v>
      </c>
      <c r="AC42" s="1812">
        <f t="shared" si="5"/>
        <v>1</v>
      </c>
    </row>
    <row r="43" spans="1:29" ht="15">
      <c r="A43" s="409"/>
      <c r="B43" s="364" t="s">
        <v>1792</v>
      </c>
      <c r="C43" s="399" t="s">
        <v>3413</v>
      </c>
      <c r="D43" s="374">
        <v>100</v>
      </c>
      <c r="E43" s="399" t="s">
        <v>3413</v>
      </c>
      <c r="F43" s="400">
        <f>SUMIF(123:123,E43,124:124)-SUMIF(123:123,C43,124:124)+100</f>
        <v>100</v>
      </c>
      <c r="G43" s="399" t="s">
        <v>3413</v>
      </c>
      <c r="H43" s="374">
        <f>SUMIF(123:123,G43,124:124)-SUMIF(123:123,C43,124:124)+100</f>
        <v>100</v>
      </c>
      <c r="I43" s="399" t="s">
        <v>3413</v>
      </c>
      <c r="J43" s="374">
        <f>SUMIF(123:123,I43,124:124)-SUMIF(123:123,C43,124:124)+100</f>
        <v>100</v>
      </c>
      <c r="K43" s="538">
        <v>2</v>
      </c>
      <c r="L43" s="2490"/>
      <c r="M43" s="2485"/>
      <c r="N43" s="2485"/>
      <c r="O43" s="2485"/>
      <c r="P43" s="3361"/>
      <c r="Q43" s="1263" t="str">
        <f t="shared" si="11"/>
        <v>内部装修</v>
      </c>
      <c r="R43" s="666" t="s">
        <v>14</v>
      </c>
      <c r="S43" s="667">
        <f t="shared" si="12"/>
        <v>100</v>
      </c>
      <c r="T43" s="666" t="s">
        <v>14</v>
      </c>
      <c r="U43" s="667">
        <f t="shared" si="13"/>
        <v>100</v>
      </c>
      <c r="V43" s="666" t="s">
        <v>14</v>
      </c>
      <c r="W43" s="667">
        <f t="shared" si="14"/>
        <v>100</v>
      </c>
      <c r="X43" s="1265"/>
      <c r="Y43" s="3363"/>
      <c r="Z43" s="1264" t="str">
        <f t="shared" si="15"/>
        <v>内部装修</v>
      </c>
      <c r="AA43" s="1264">
        <f t="shared" si="3"/>
        <v>1</v>
      </c>
      <c r="AB43" s="1264">
        <f t="shared" si="4"/>
        <v>1</v>
      </c>
      <c r="AC43" s="1812">
        <f t="shared" si="5"/>
        <v>1</v>
      </c>
    </row>
    <row r="44" spans="1:29" ht="15">
      <c r="A44" s="409"/>
      <c r="B44" s="364" t="s">
        <v>1707</v>
      </c>
      <c r="C44" s="399" t="s">
        <v>3431</v>
      </c>
      <c r="D44" s="374">
        <v>100</v>
      </c>
      <c r="E44" s="399" t="s">
        <v>3431</v>
      </c>
      <c r="F44" s="400">
        <f>SUMIF(125:125,E44,126:126)-SUMIF(125:125,C44,126:126)+100</f>
        <v>100</v>
      </c>
      <c r="G44" s="399" t="s">
        <v>3431</v>
      </c>
      <c r="H44" s="374">
        <f>SUMIF(125:125,G44,126:126)-SUMIF(125:125,C44,126:126)+100</f>
        <v>100</v>
      </c>
      <c r="I44" s="399" t="s">
        <v>3431</v>
      </c>
      <c r="J44" s="374">
        <f>SUMIF(125:125,I44,126:126)-SUMIF(125:125,C44,126:126)+100</f>
        <v>100</v>
      </c>
      <c r="K44" s="538">
        <v>1</v>
      </c>
      <c r="L44" s="2490"/>
      <c r="M44" s="2485"/>
      <c r="N44" s="2485"/>
      <c r="O44" s="2485"/>
      <c r="P44" s="3361"/>
      <c r="Q44" s="1263" t="str">
        <f t="shared" si="11"/>
        <v>内部装修维护情况</v>
      </c>
      <c r="R44" s="666" t="s">
        <v>14</v>
      </c>
      <c r="S44" s="667">
        <f t="shared" si="12"/>
        <v>100</v>
      </c>
      <c r="T44" s="666" t="s">
        <v>14</v>
      </c>
      <c r="U44" s="667">
        <f t="shared" si="13"/>
        <v>100</v>
      </c>
      <c r="V44" s="666" t="s">
        <v>14</v>
      </c>
      <c r="W44" s="667">
        <f t="shared" si="14"/>
        <v>100</v>
      </c>
      <c r="X44" s="1265"/>
      <c r="Y44" s="336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61"/>
      <c r="Q45" s="530">
        <f t="shared" si="11"/>
        <v>111</v>
      </c>
      <c r="R45" s="663" t="s">
        <v>14</v>
      </c>
      <c r="S45" s="664">
        <f t="shared" si="12"/>
        <v>100</v>
      </c>
      <c r="T45" s="663" t="s">
        <v>14</v>
      </c>
      <c r="U45" s="664">
        <f t="shared" si="13"/>
        <v>100</v>
      </c>
      <c r="V45" s="663" t="s">
        <v>14</v>
      </c>
      <c r="W45" s="664">
        <f t="shared" si="14"/>
        <v>100</v>
      </c>
      <c r="X45" s="665"/>
      <c r="Y45" s="3363"/>
      <c r="Z45" s="50">
        <f t="shared" si="15"/>
        <v>111</v>
      </c>
      <c r="AA45" s="50">
        <f t="shared" si="3"/>
        <v>1</v>
      </c>
      <c r="AB45" s="50">
        <f t="shared" si="4"/>
        <v>1</v>
      </c>
      <c r="AC45" s="801">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61"/>
      <c r="Q46" s="1263">
        <f t="shared" si="11"/>
        <v>111</v>
      </c>
      <c r="R46" s="666" t="s">
        <v>14</v>
      </c>
      <c r="S46" s="667">
        <f t="shared" si="12"/>
        <v>100</v>
      </c>
      <c r="T46" s="666" t="s">
        <v>14</v>
      </c>
      <c r="U46" s="667">
        <f t="shared" si="13"/>
        <v>100</v>
      </c>
      <c r="V46" s="666" t="s">
        <v>14</v>
      </c>
      <c r="W46" s="667">
        <f t="shared" si="14"/>
        <v>100</v>
      </c>
      <c r="X46" s="1265"/>
      <c r="Y46" s="336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62"/>
      <c r="Q47" s="1263">
        <f t="shared" si="11"/>
        <v>111</v>
      </c>
      <c r="R47" s="666" t="s">
        <v>14</v>
      </c>
      <c r="S47" s="667">
        <f t="shared" si="12"/>
        <v>100</v>
      </c>
      <c r="T47" s="666" t="s">
        <v>14</v>
      </c>
      <c r="U47" s="667">
        <f t="shared" si="13"/>
        <v>100</v>
      </c>
      <c r="V47" s="666" t="s">
        <v>14</v>
      </c>
      <c r="W47" s="667">
        <f t="shared" si="14"/>
        <v>100</v>
      </c>
      <c r="X47" s="1265"/>
      <c r="Y47" s="3364"/>
      <c r="Z47" s="1264">
        <f t="shared" si="15"/>
        <v>111</v>
      </c>
      <c r="AA47" s="1264">
        <f t="shared" si="3"/>
        <v>1</v>
      </c>
      <c r="AB47" s="1264">
        <f t="shared" si="4"/>
        <v>1</v>
      </c>
      <c r="AC47" s="1812">
        <f t="shared" si="5"/>
        <v>1</v>
      </c>
    </row>
    <row r="48" spans="1:29" ht="15">
      <c r="A48" s="416" t="s">
        <v>1708</v>
      </c>
      <c r="B48" s="417"/>
      <c r="C48" s="1081" t="s">
        <v>0</v>
      </c>
      <c r="D48" s="418"/>
      <c r="E48" s="419">
        <v>3.15</v>
      </c>
      <c r="F48" s="420"/>
      <c r="G48" s="419">
        <v>3.3</v>
      </c>
      <c r="H48" s="422"/>
      <c r="I48" s="419">
        <v>3.22</v>
      </c>
      <c r="J48" s="422"/>
      <c r="K48" s="673"/>
      <c r="L48" s="2492"/>
      <c r="M48" s="2485"/>
      <c r="N48" s="2485"/>
      <c r="O48" s="2485"/>
      <c r="P48" s="3350" t="str">
        <f>A48</f>
        <v>成交单价（元/平方米）</v>
      </c>
      <c r="Q48" s="3351"/>
      <c r="R48" s="3352">
        <f>E48</f>
        <v>3.15</v>
      </c>
      <c r="S48" s="3352"/>
      <c r="T48" s="3352">
        <f>G48</f>
        <v>3.3</v>
      </c>
      <c r="U48" s="3352"/>
      <c r="V48" s="3352">
        <f>I48</f>
        <v>3.22</v>
      </c>
      <c r="W48" s="3352"/>
      <c r="X48" s="385"/>
      <c r="Y48" s="672"/>
      <c r="Z48" s="385"/>
      <c r="AA48" s="385"/>
      <c r="AB48" s="385"/>
      <c r="AC48" s="555"/>
    </row>
    <row r="49" spans="1:29" ht="15.75" thickBot="1">
      <c r="A49" s="423" t="s">
        <v>1709</v>
      </c>
      <c r="B49" s="424"/>
      <c r="C49" s="1082">
        <f>R50</f>
        <v>3.2</v>
      </c>
      <c r="D49" s="2141" t="s">
        <v>2137</v>
      </c>
      <c r="E49" s="1083">
        <f>R49</f>
        <v>3.1</v>
      </c>
      <c r="F49" s="2142"/>
      <c r="G49" s="1082">
        <f>T49</f>
        <v>3.3</v>
      </c>
      <c r="H49" s="2142"/>
      <c r="I49" s="1083">
        <f>V49</f>
        <v>3.2</v>
      </c>
      <c r="J49" s="2142"/>
      <c r="K49" s="2144">
        <f>F49+H49+J49</f>
        <v>0</v>
      </c>
      <c r="L49" s="2492"/>
      <c r="M49" s="2485"/>
      <c r="N49" s="2485"/>
      <c r="O49" s="2485"/>
      <c r="P49" s="3350" t="str">
        <f>A49</f>
        <v>比较价值（元/平方米）</v>
      </c>
      <c r="Q49" s="3351"/>
      <c r="R49" s="3352">
        <f>IF(F1="售价",ROUND(PRODUCT(R48,AA7:AA47),0),ROUND(PRODUCT(R48,AA7:AA47),1))</f>
        <v>3.1</v>
      </c>
      <c r="S49" s="3352"/>
      <c r="T49" s="3352">
        <f>IF(F1="售价",ROUND(PRODUCT(T48,AB7:AB47),0),ROUND(PRODUCT(T48,AB7:AB47),1))</f>
        <v>3.3</v>
      </c>
      <c r="U49" s="3352"/>
      <c r="V49" s="3352">
        <f>IF(F1="售价",ROUND(PRODUCT(V48,AC7:AC47),0),ROUND(PRODUCT(V48,AC7:AC47),1))</f>
        <v>3.2</v>
      </c>
      <c r="W49" s="3352"/>
      <c r="X49" s="385"/>
      <c r="Y49" s="385"/>
      <c r="Z49" s="385"/>
      <c r="AA49" s="385"/>
      <c r="AB49" s="385"/>
      <c r="AC49" s="555"/>
    </row>
    <row r="50" spans="1:29" ht="15.75" thickBot="1">
      <c r="A50" s="427" t="s">
        <v>1710</v>
      </c>
      <c r="B50" s="428"/>
      <c r="C50" s="351">
        <f>R50</f>
        <v>3.2</v>
      </c>
      <c r="D50" s="351"/>
      <c r="E50" s="351"/>
      <c r="F50" s="351"/>
      <c r="G50" s="351"/>
      <c r="H50" s="351"/>
      <c r="I50" s="351"/>
      <c r="J50" s="429"/>
      <c r="K50" s="674"/>
      <c r="L50" s="2492"/>
      <c r="M50" s="2485"/>
      <c r="N50" s="2485"/>
      <c r="O50" s="2485"/>
      <c r="P50" s="3353" t="str">
        <f>A50</f>
        <v>估价对象XX用房的比较价值（楼面单价，元/平方米）</v>
      </c>
      <c r="Q50" s="3354"/>
      <c r="R50" s="3355">
        <f>IF(F1="售价",ROUND(IF(D49="简单平均",AVERAGE(R49:V49),R49*F49+T49*H49+V49*J49),0),ROUND(IF(D49="简单平均",AVERAGE(R49:V49),R49*F49+T49*H49+V49*J49),1))</f>
        <v>3.2</v>
      </c>
      <c r="S50" s="3355"/>
      <c r="T50" s="3355"/>
      <c r="U50" s="3355"/>
      <c r="V50" s="3355"/>
      <c r="W50" s="3355"/>
      <c r="X50" s="1798"/>
      <c r="Y50" s="1798"/>
      <c r="Z50" s="1798"/>
      <c r="AA50" s="1798"/>
      <c r="AB50" s="1798"/>
      <c r="AC50" s="1799"/>
    </row>
    <row r="51" spans="1:29">
      <c r="A51" s="2485"/>
      <c r="B51" s="3149"/>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1711</v>
      </c>
      <c r="D53" s="433"/>
      <c r="E53" s="434">
        <f>IF(E48&lt;E49,E49/E48-1,E48/E49-1)</f>
        <v>1.6129032258064502E-2</v>
      </c>
      <c r="F53" s="435" t="str">
        <f>IF(OR(E53&gt;=0.3,E53&lt;=-0.3),"超过30%","")</f>
        <v/>
      </c>
      <c r="G53" s="434">
        <f>IF(G48&lt;G49,G49/G48-1,G48/G49-1)</f>
        <v>0</v>
      </c>
      <c r="H53" s="435" t="str">
        <f>IF(OR(G53&gt;=0.3,G53&lt;=-0.3),"超过30%","")</f>
        <v/>
      </c>
      <c r="I53" s="434">
        <f>IF(I48&lt;I49,I49/I48-1,I48/I49-1)</f>
        <v>6.2500000000000888E-3</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1712</v>
      </c>
      <c r="D54" s="436"/>
      <c r="E54" s="434">
        <f>IF(E49&lt;G49,G49/E49-1,E49/G49-1)</f>
        <v>6.4516129032258007E-2</v>
      </c>
      <c r="F54" s="435" t="str">
        <f>IF(OR(E54&gt;=0.2,E54&lt;=-0.2),"超过20%","")</f>
        <v/>
      </c>
      <c r="G54" s="434">
        <f>IF(G49&lt;I49,I49/G49-1,G49/I49-1)</f>
        <v>3.1249999999999778E-2</v>
      </c>
      <c r="H54" s="435" t="str">
        <f>IF(OR(G54&gt;=0.2,G54&lt;=-0.2),"超过20%","")</f>
        <v/>
      </c>
      <c r="I54" s="434">
        <f>IF(I49&lt;E49,E49/I49-1,I49/E49-1)</f>
        <v>3.2258064516129004E-2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1713</v>
      </c>
      <c r="D55" s="436"/>
      <c r="E55" s="434">
        <f>IF(E48&lt;G48,G48/E48-1,E48/G48-1)</f>
        <v>4.7619047619047672E-2</v>
      </c>
      <c r="F55" s="435" t="str">
        <f>IF(OR(E55&gt;=0.3,E55&lt;=-0.3),"超过30%","")</f>
        <v/>
      </c>
      <c r="G55" s="434">
        <f>IF(G48&lt;I48,I48/G48-1,G48/I48-1)</f>
        <v>2.4844720496894235E-2</v>
      </c>
      <c r="H55" s="435" t="str">
        <f>IF(OR(G55&gt;=0.3,G55&lt;=-0.3),"超过30%","")</f>
        <v/>
      </c>
      <c r="I55" s="434">
        <f>IF(I48&lt;E48,E48/I48-1,I48/E48-1)</f>
        <v>2.2222222222222365E-2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7" t="s">
        <v>1714</v>
      </c>
      <c r="B58" s="385"/>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2024-6</v>
      </c>
      <c r="D59" s="1104">
        <f>EDATE(C59,-1)</f>
        <v>45413</v>
      </c>
      <c r="E59" s="1104">
        <f>EDATE(D59,-1)</f>
        <v>45383</v>
      </c>
      <c r="F59" s="1104">
        <f t="shared" ref="F59:O59" si="16">EDATE(E59,-1)</f>
        <v>45352</v>
      </c>
      <c r="G59" s="1104">
        <f t="shared" si="16"/>
        <v>45323</v>
      </c>
      <c r="H59" s="1104">
        <f t="shared" si="16"/>
        <v>45292</v>
      </c>
      <c r="I59" s="1104">
        <f t="shared" si="16"/>
        <v>45261</v>
      </c>
      <c r="J59" s="1104">
        <f t="shared" si="16"/>
        <v>45231</v>
      </c>
      <c r="K59" s="1104">
        <f t="shared" si="16"/>
        <v>45200</v>
      </c>
      <c r="L59" s="1104">
        <f t="shared" si="16"/>
        <v>45170</v>
      </c>
      <c r="M59" s="1104">
        <f t="shared" si="16"/>
        <v>45139</v>
      </c>
      <c r="N59" s="1104">
        <f t="shared" si="16"/>
        <v>45108</v>
      </c>
      <c r="O59" s="1104">
        <f t="shared" si="16"/>
        <v>45078</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1718</v>
      </c>
      <c r="D62" s="3145" t="s">
        <v>3471</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0（含）-1</v>
      </c>
      <c r="D68" s="478" t="str">
        <f t="shared" ref="D68:L68" si="17">D69&amp;"（含）"&amp;"-"&amp;E69</f>
        <v>1（含）-2</v>
      </c>
      <c r="E68" s="478" t="str">
        <f t="shared" si="17"/>
        <v>2（含）-3</v>
      </c>
      <c r="F68" s="478" t="str">
        <f t="shared" si="17"/>
        <v>3（含）-4</v>
      </c>
      <c r="G68" s="478" t="str">
        <f t="shared" si="17"/>
        <v>4（含）-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1</v>
      </c>
      <c r="E69" s="480">
        <v>2</v>
      </c>
      <c r="F69" s="480">
        <v>3</v>
      </c>
      <c r="G69" s="480">
        <v>4</v>
      </c>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97</v>
      </c>
      <c r="E82" s="475">
        <f>D82-$K19</f>
        <v>94</v>
      </c>
      <c r="F82" s="475">
        <f>E82-$K19</f>
        <v>91</v>
      </c>
      <c r="G82" s="475">
        <f>F82-$K19</f>
        <v>88</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98</v>
      </c>
      <c r="E84" s="475">
        <f>D84-$K21</f>
        <v>96</v>
      </c>
      <c r="F84" s="475">
        <f>E84-$K21</f>
        <v>94</v>
      </c>
      <c r="G84" s="475">
        <f>F84-$K21</f>
        <v>92</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97</v>
      </c>
      <c r="E86" s="475">
        <f>D86-$K23</f>
        <v>94</v>
      </c>
      <c r="F86" s="475">
        <f>E86-$K23</f>
        <v>91</v>
      </c>
      <c r="G86" s="475">
        <f>F86-$K23</f>
        <v>88</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3146" t="s">
        <v>3405</v>
      </c>
      <c r="D89" s="3146" t="s">
        <v>3407</v>
      </c>
      <c r="E89" s="3146" t="s">
        <v>3409</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47" t="s">
        <v>3411</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0(含)-200</v>
      </c>
      <c r="D103" s="509" t="str">
        <f t="shared" ref="D103:L103" si="23">D104&amp;"(含)"&amp;"-"&amp;E104</f>
        <v>200(含)-400</v>
      </c>
      <c r="E103" s="509" t="str">
        <f t="shared" si="23"/>
        <v>400(含)-600</v>
      </c>
      <c r="F103" s="509" t="str">
        <f t="shared" si="23"/>
        <v>600(含)-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200</v>
      </c>
      <c r="E104" s="6">
        <v>400</v>
      </c>
      <c r="F104" s="6">
        <v>600</v>
      </c>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v>100</v>
      </c>
      <c r="D105" s="467">
        <v>99</v>
      </c>
      <c r="E105" s="467">
        <v>98</v>
      </c>
      <c r="F105" s="467">
        <v>97</v>
      </c>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46" t="s">
        <v>3412</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46" t="s">
        <v>3414</v>
      </c>
      <c r="D108" s="3146" t="s">
        <v>3415</v>
      </c>
      <c r="E108" s="3146" t="s">
        <v>3416</v>
      </c>
      <c r="F108" s="3148" t="s">
        <v>3417</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46" t="s">
        <v>3418</v>
      </c>
      <c r="D113" s="3146" t="s">
        <v>3419</v>
      </c>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46" t="s">
        <v>3420</v>
      </c>
      <c r="D115" s="3146" t="s">
        <v>3421</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46" t="s">
        <v>3423</v>
      </c>
      <c r="D117" s="3146" t="s">
        <v>3425</v>
      </c>
      <c r="E117" s="3146" t="s">
        <v>3426</v>
      </c>
      <c r="F117" s="3146" t="s">
        <v>3427</v>
      </c>
      <c r="G117" s="3146" t="s">
        <v>3428</v>
      </c>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48" t="s">
        <v>3430</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46" t="s">
        <v>3414</v>
      </c>
      <c r="D123" s="3146" t="s">
        <v>3415</v>
      </c>
      <c r="E123" s="3146" t="s">
        <v>3416</v>
      </c>
      <c r="F123" s="3148" t="s">
        <v>3417</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F7:F47 H7:H47 J7:J47">
    <cfRule type="cellIs" dxfId="133" priority="1" operator="notEqual">
      <formula>100</formula>
    </cfRule>
  </conditionalFormatting>
  <conditionalFormatting sqref="F49">
    <cfRule type="expression" dxfId="132" priority="4">
      <formula>$D$49="简单平均"</formula>
    </cfRule>
  </conditionalFormatting>
  <conditionalFormatting sqref="F53:F55 H53:H55">
    <cfRule type="containsText" dxfId="131" priority="17" stopIfTrue="1" operator="containsText" text="超过">
      <formula>NOT(ISERROR(SEARCH("超过",F53)))</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G55">
    <cfRule type="expression" dxfId="128" priority="13"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conditionalFormatting sqref="J53:J55">
    <cfRule type="containsText" dxfId="122"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zoomScaleSheetLayoutView="90" workbookViewId="0">
      <selection activeCell="F51" sqref="F5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3466</v>
      </c>
      <c r="E1" s="3129" t="s">
        <v>3401</v>
      </c>
      <c r="F1" s="1735" t="s">
        <v>3402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195.4025</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854"/>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20761</v>
      </c>
      <c r="C3" s="344" t="s">
        <v>1768</v>
      </c>
      <c r="D3" s="343">
        <f>IF(D1="",'数据-汇总表'!E3,SUMIF('数据-汇总表'!$C19:$C33,D1,'数据-汇总表'!$E19:$E33))</f>
        <v>94.12</v>
      </c>
      <c r="E3" s="1805"/>
      <c r="F3" s="855"/>
      <c r="G3" s="854"/>
      <c r="H3" s="854"/>
      <c r="I3" s="854"/>
      <c r="J3" s="854"/>
      <c r="K3" s="856"/>
      <c r="L3" s="2501"/>
      <c r="M3" s="2502"/>
      <c r="N3" s="2502"/>
      <c r="O3" s="2502"/>
      <c r="P3" s="341"/>
      <c r="Q3" s="341"/>
      <c r="R3" s="341"/>
      <c r="S3" s="341"/>
      <c r="T3" s="341"/>
      <c r="U3" s="341"/>
      <c r="V3" s="341"/>
      <c r="W3" s="341"/>
      <c r="X3" s="341"/>
      <c r="Y3" s="341"/>
      <c r="Z3" s="341"/>
      <c r="AA3" s="341"/>
      <c r="AB3" s="341"/>
      <c r="AC3" s="662"/>
    </row>
    <row r="4" spans="1:29" ht="15">
      <c r="A4" s="345" t="s">
        <v>1769</v>
      </c>
      <c r="B4" s="346"/>
      <c r="C4" s="3382" t="s">
        <v>1770</v>
      </c>
      <c r="D4" s="3383"/>
      <c r="E4" s="3384" t="s">
        <v>1771</v>
      </c>
      <c r="F4" s="3385"/>
      <c r="G4" s="3382" t="s">
        <v>1772</v>
      </c>
      <c r="H4" s="3383"/>
      <c r="I4" s="3382" t="s">
        <v>1773</v>
      </c>
      <c r="J4" s="3383"/>
      <c r="K4" s="537" t="s">
        <v>1774</v>
      </c>
      <c r="L4" s="2484"/>
      <c r="M4" s="2485"/>
      <c r="N4" s="2485"/>
      <c r="O4" s="2485"/>
      <c r="P4" s="3386" t="s">
        <v>1775</v>
      </c>
      <c r="Q4" s="3387"/>
      <c r="R4" s="3369" t="s">
        <v>1771</v>
      </c>
      <c r="S4" s="3370"/>
      <c r="T4" s="3369" t="s">
        <v>1772</v>
      </c>
      <c r="U4" s="3370"/>
      <c r="V4" s="3368" t="s">
        <v>1773</v>
      </c>
      <c r="W4" s="3368"/>
      <c r="X4" s="1809"/>
      <c r="Y4" s="3369" t="s">
        <v>1775</v>
      </c>
      <c r="Z4" s="3370"/>
      <c r="AA4" s="3375" t="s">
        <v>1771</v>
      </c>
      <c r="AB4" s="3375" t="s">
        <v>1772</v>
      </c>
      <c r="AC4" s="3379" t="s">
        <v>1773</v>
      </c>
    </row>
    <row r="5" spans="1:29" ht="15">
      <c r="A5" s="348"/>
      <c r="B5" s="349"/>
      <c r="C5" s="3392" t="s">
        <v>3448</v>
      </c>
      <c r="D5" s="3393"/>
      <c r="E5" s="3394" t="s">
        <v>3449</v>
      </c>
      <c r="F5" s="3395"/>
      <c r="G5" s="3394" t="s">
        <v>3447</v>
      </c>
      <c r="H5" s="3395"/>
      <c r="I5" s="3394" t="s">
        <v>3472</v>
      </c>
      <c r="J5" s="3395"/>
      <c r="K5" s="537"/>
      <c r="L5" s="2484"/>
      <c r="M5" s="2485"/>
      <c r="N5" s="2485"/>
      <c r="O5" s="2485"/>
      <c r="P5" s="3388"/>
      <c r="Q5" s="3389"/>
      <c r="R5" s="3371"/>
      <c r="S5" s="3372"/>
      <c r="T5" s="3371"/>
      <c r="U5" s="3372"/>
      <c r="V5" s="3352"/>
      <c r="W5" s="3352"/>
      <c r="X5" s="1265"/>
      <c r="Y5" s="3371"/>
      <c r="Z5" s="3372"/>
      <c r="AA5" s="3376"/>
      <c r="AB5" s="3376"/>
      <c r="AC5" s="3380"/>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390"/>
      <c r="Q6" s="3391"/>
      <c r="R6" s="3371"/>
      <c r="S6" s="3372"/>
      <c r="T6" s="3373"/>
      <c r="U6" s="3374"/>
      <c r="V6" s="3352"/>
      <c r="W6" s="3352"/>
      <c r="X6" s="1265"/>
      <c r="Y6" s="3373"/>
      <c r="Z6" s="3374"/>
      <c r="AA6" s="3377"/>
      <c r="AB6" s="3377"/>
      <c r="AC6" s="3381"/>
    </row>
    <row r="7" spans="1:29" s="102" customFormat="1" ht="15.75" thickBot="1">
      <c r="A7" s="352" t="s">
        <v>1679</v>
      </c>
      <c r="B7" s="353"/>
      <c r="C7" s="354">
        <f>'数据-取费表'!B2</f>
        <v>45450</v>
      </c>
      <c r="D7" s="355">
        <v>100</v>
      </c>
      <c r="E7" s="356">
        <f>C7</f>
        <v>45450</v>
      </c>
      <c r="F7" s="357">
        <f>SUMIF(59:59,YEAR(E7)&amp;"-"&amp;MONTH(E7),60:60)</f>
        <v>100</v>
      </c>
      <c r="G7" s="356">
        <f>C7</f>
        <v>45450</v>
      </c>
      <c r="H7" s="355">
        <f>SUMIF(59:59,YEAR(G7)&amp;"-"&amp;MONTH(G7),60:60)</f>
        <v>100</v>
      </c>
      <c r="I7" s="356">
        <f>C7</f>
        <v>45450</v>
      </c>
      <c r="J7" s="355">
        <f>SUMIF(59:59,YEAR(I7)&amp;"-"&amp;MONTH(I7),60:60)</f>
        <v>100</v>
      </c>
      <c r="K7" s="38"/>
      <c r="L7" s="2486"/>
      <c r="M7" s="2438"/>
      <c r="N7" s="2438"/>
      <c r="O7" s="2438"/>
      <c r="P7" s="3365" t="s">
        <v>1680</v>
      </c>
      <c r="Q7" s="3378"/>
      <c r="R7" s="663" t="s">
        <v>14</v>
      </c>
      <c r="S7" s="664">
        <f t="shared" ref="S7:S15" si="0">F7</f>
        <v>100</v>
      </c>
      <c r="T7" s="663" t="s">
        <v>14</v>
      </c>
      <c r="U7" s="664">
        <f t="shared" ref="U7:U15" si="1">H7</f>
        <v>100</v>
      </c>
      <c r="V7" s="663" t="s">
        <v>14</v>
      </c>
      <c r="W7" s="664">
        <f t="shared" ref="W7:W15" si="2">J7</f>
        <v>100</v>
      </c>
      <c r="X7" s="665"/>
      <c r="Y7" s="3367" t="s">
        <v>1680</v>
      </c>
      <c r="Z7" s="3366"/>
      <c r="AA7" s="50">
        <f>D7/F7</f>
        <v>1</v>
      </c>
      <c r="AB7" s="50">
        <f>D7/H7</f>
        <v>1</v>
      </c>
      <c r="AC7" s="801">
        <f>D7/J7</f>
        <v>1</v>
      </c>
    </row>
    <row r="8" spans="1:29" s="102" customFormat="1" ht="15.75" thickBot="1">
      <c r="A8" s="352" t="s">
        <v>1681</v>
      </c>
      <c r="B8" s="353"/>
      <c r="C8" s="358" t="s">
        <v>3403</v>
      </c>
      <c r="D8" s="355">
        <v>100</v>
      </c>
      <c r="E8" s="358" t="s">
        <v>3470</v>
      </c>
      <c r="F8" s="357">
        <f>SUMIF(62:62,E8,63:63)-SUMIF(62:62,C8,63:63)+100</f>
        <v>102</v>
      </c>
      <c r="G8" s="358" t="s">
        <v>3470</v>
      </c>
      <c r="H8" s="355">
        <f>SUMIF(62:62,G8,63:63)-SUMIF(62:62,C8,63:63)+100</f>
        <v>102</v>
      </c>
      <c r="I8" s="358" t="s">
        <v>3470</v>
      </c>
      <c r="J8" s="355">
        <f>SUMIF(62:62,I8,63:63)-SUMIF(62:62,C8,63:63)+100</f>
        <v>102</v>
      </c>
      <c r="K8" s="38"/>
      <c r="L8" s="2486"/>
      <c r="M8" s="2438"/>
      <c r="N8" s="2438"/>
      <c r="O8" s="2438"/>
      <c r="P8" s="3365" t="s">
        <v>1683</v>
      </c>
      <c r="Q8" s="3366"/>
      <c r="R8" s="663" t="s">
        <v>14</v>
      </c>
      <c r="S8" s="664">
        <f t="shared" si="0"/>
        <v>102</v>
      </c>
      <c r="T8" s="663" t="s">
        <v>14</v>
      </c>
      <c r="U8" s="664">
        <f t="shared" si="1"/>
        <v>102</v>
      </c>
      <c r="V8" s="663" t="s">
        <v>14</v>
      </c>
      <c r="W8" s="664">
        <f t="shared" si="2"/>
        <v>102</v>
      </c>
      <c r="X8" s="665"/>
      <c r="Y8" s="3367" t="s">
        <v>1683</v>
      </c>
      <c r="Z8" s="3366"/>
      <c r="AA8" s="50">
        <f t="shared" ref="AA8:AA47" si="3">D8/F8</f>
        <v>0.98039215686274506</v>
      </c>
      <c r="AB8" s="50">
        <f t="shared" ref="AB8:AB47" si="4">D8/H8</f>
        <v>0.98039215686274506</v>
      </c>
      <c r="AC8" s="801">
        <f t="shared" ref="AC8:AC47" si="5">D8/J8</f>
        <v>0.98039215686274506</v>
      </c>
    </row>
    <row r="9" spans="1:29" s="102" customFormat="1">
      <c r="A9" s="359" t="s">
        <v>1684</v>
      </c>
      <c r="B9" s="60" t="s">
        <v>1685</v>
      </c>
      <c r="C9" s="3144" t="s">
        <v>3404</v>
      </c>
      <c r="D9" s="59">
        <v>100</v>
      </c>
      <c r="E9" s="362" t="s">
        <v>21</v>
      </c>
      <c r="F9" s="59">
        <f>SUMIF(64:64,E9,65:65)-SUMIF(64:64,C9,65:65)+100</f>
        <v>100</v>
      </c>
      <c r="G9" s="361" t="s">
        <v>21</v>
      </c>
      <c r="H9" s="59">
        <f>SUMIF(64:64,G9,65:65)-SUMIF(64:64,C9,65:65)+100</f>
        <v>100</v>
      </c>
      <c r="I9" s="361" t="s">
        <v>21</v>
      </c>
      <c r="J9" s="59">
        <f>SUMIF(64:64,I9,65:65)-SUMIF(64:64,C9,65:65)+100</f>
        <v>100</v>
      </c>
      <c r="K9" s="38"/>
      <c r="L9" s="2486"/>
      <c r="M9" s="2438"/>
      <c r="N9" s="2438"/>
      <c r="O9" s="2438"/>
      <c r="P9" s="3350" t="s">
        <v>1686</v>
      </c>
      <c r="Q9" s="530"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801">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50"/>
      <c r="Q10" s="530"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50"/>
      <c r="Q11" s="530" t="str">
        <f t="shared" si="6"/>
        <v>容积率</v>
      </c>
      <c r="R11" s="663" t="s">
        <v>14</v>
      </c>
      <c r="S11" s="664">
        <f t="shared" si="0"/>
        <v>100</v>
      </c>
      <c r="T11" s="663" t="s">
        <v>14</v>
      </c>
      <c r="U11" s="664">
        <f t="shared" si="1"/>
        <v>100</v>
      </c>
      <c r="V11" s="663" t="s">
        <v>14</v>
      </c>
      <c r="W11" s="664">
        <f t="shared" si="2"/>
        <v>100</v>
      </c>
      <c r="X11" s="665"/>
      <c r="Y11" s="3249"/>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50"/>
      <c r="Q12" s="530">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50"/>
      <c r="Q13" s="530">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801">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50"/>
      <c r="Q14" s="530">
        <f t="shared" si="6"/>
        <v>111</v>
      </c>
      <c r="R14" s="663" t="s">
        <v>14</v>
      </c>
      <c r="S14" s="664">
        <f t="shared" si="0"/>
        <v>100</v>
      </c>
      <c r="T14" s="663" t="s">
        <v>14</v>
      </c>
      <c r="U14" s="664">
        <f t="shared" si="1"/>
        <v>100</v>
      </c>
      <c r="V14" s="663" t="s">
        <v>14</v>
      </c>
      <c r="W14" s="664">
        <f t="shared" si="2"/>
        <v>100</v>
      </c>
      <c r="X14" s="665"/>
      <c r="Y14" s="3249"/>
      <c r="Z14" s="50">
        <f t="shared" si="7"/>
        <v>111</v>
      </c>
      <c r="AA14" s="50">
        <f t="shared" si="3"/>
        <v>1</v>
      </c>
      <c r="AB14" s="50">
        <f t="shared" si="4"/>
        <v>1</v>
      </c>
      <c r="AC14" s="801">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356" t="s">
        <v>1691</v>
      </c>
      <c r="Q15" s="1263" t="str">
        <f t="shared" si="6"/>
        <v>办公集聚程度</v>
      </c>
      <c r="R15" s="666" t="s">
        <v>14</v>
      </c>
      <c r="S15" s="667">
        <f t="shared" si="0"/>
        <v>100</v>
      </c>
      <c r="T15" s="666" t="s">
        <v>14</v>
      </c>
      <c r="U15" s="667">
        <f t="shared" si="1"/>
        <v>100</v>
      </c>
      <c r="V15" s="666" t="s">
        <v>14</v>
      </c>
      <c r="W15" s="667">
        <f t="shared" si="2"/>
        <v>100</v>
      </c>
      <c r="X15" s="1265"/>
      <c r="Y15" s="3358" t="s">
        <v>1691</v>
      </c>
      <c r="Z15" s="1264" t="str">
        <f t="shared" si="7"/>
        <v>办公集聚程度</v>
      </c>
      <c r="AA15" s="1264">
        <f t="shared" si="3"/>
        <v>1</v>
      </c>
      <c r="AB15" s="1264">
        <f t="shared" si="4"/>
        <v>1</v>
      </c>
      <c r="AC15" s="1812">
        <f t="shared" si="5"/>
        <v>1</v>
      </c>
    </row>
    <row r="16" spans="1:29" ht="15">
      <c r="A16" s="367"/>
      <c r="B16" s="555"/>
      <c r="C16" s="1758" t="s">
        <v>3431</v>
      </c>
      <c r="D16" s="387"/>
      <c r="E16" s="1758" t="s">
        <v>3431</v>
      </c>
      <c r="F16" s="387"/>
      <c r="G16" s="1758" t="s">
        <v>3431</v>
      </c>
      <c r="H16" s="389"/>
      <c r="I16" s="1758" t="s">
        <v>3431</v>
      </c>
      <c r="J16" s="387"/>
      <c r="K16" s="541"/>
      <c r="L16" s="2490"/>
      <c r="M16" s="2485"/>
      <c r="N16" s="2485"/>
      <c r="O16" s="2485"/>
      <c r="P16" s="3357"/>
      <c r="Q16" s="1263"/>
      <c r="R16" s="666"/>
      <c r="S16" s="667"/>
      <c r="T16" s="666"/>
      <c r="U16" s="667"/>
      <c r="V16" s="666"/>
      <c r="W16" s="667"/>
      <c r="X16" s="1265"/>
      <c r="Y16" s="3359"/>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357"/>
      <c r="Q17" s="1263" t="str">
        <f>B17</f>
        <v>交通便捷度</v>
      </c>
      <c r="R17" s="666" t="s">
        <v>14</v>
      </c>
      <c r="S17" s="667">
        <f>F17</f>
        <v>100</v>
      </c>
      <c r="T17" s="666" t="s">
        <v>14</v>
      </c>
      <c r="U17" s="667">
        <f>H17</f>
        <v>100</v>
      </c>
      <c r="V17" s="666" t="s">
        <v>14</v>
      </c>
      <c r="W17" s="667">
        <f>J17</f>
        <v>100</v>
      </c>
      <c r="X17" s="1265"/>
      <c r="Y17" s="3359"/>
      <c r="Z17" s="1264" t="str">
        <f>Q17</f>
        <v>交通便捷度</v>
      </c>
      <c r="AA17" s="1264">
        <f t="shared" si="3"/>
        <v>1</v>
      </c>
      <c r="AB17" s="1264">
        <f t="shared" si="4"/>
        <v>1</v>
      </c>
      <c r="AC17" s="1812">
        <f t="shared" si="5"/>
        <v>1</v>
      </c>
    </row>
    <row r="18" spans="1:29" ht="15">
      <c r="A18" s="367"/>
      <c r="B18" s="401"/>
      <c r="C18" s="1814" t="s">
        <v>3431</v>
      </c>
      <c r="D18" s="389"/>
      <c r="E18" s="1814" t="s">
        <v>3431</v>
      </c>
      <c r="F18" s="389"/>
      <c r="G18" s="1814" t="s">
        <v>3431</v>
      </c>
      <c r="H18" s="387"/>
      <c r="I18" s="1814" t="s">
        <v>3431</v>
      </c>
      <c r="J18" s="387"/>
      <c r="K18" s="541"/>
      <c r="L18" s="2490"/>
      <c r="M18" s="2485"/>
      <c r="N18" s="2485"/>
      <c r="O18" s="2485"/>
      <c r="P18" s="3357"/>
      <c r="Q18" s="1263"/>
      <c r="R18" s="666"/>
      <c r="S18" s="667"/>
      <c r="T18" s="666"/>
      <c r="U18" s="667"/>
      <c r="V18" s="666"/>
      <c r="W18" s="667"/>
      <c r="X18" s="1265"/>
      <c r="Y18" s="3359"/>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357"/>
      <c r="Q19" s="1263" t="str">
        <f>B19</f>
        <v>公共配套设施</v>
      </c>
      <c r="R19" s="666" t="s">
        <v>14</v>
      </c>
      <c r="S19" s="667">
        <f>F19</f>
        <v>100</v>
      </c>
      <c r="T19" s="666" t="s">
        <v>14</v>
      </c>
      <c r="U19" s="667">
        <f>H19</f>
        <v>100</v>
      </c>
      <c r="V19" s="666" t="s">
        <v>14</v>
      </c>
      <c r="W19" s="667">
        <f>J19</f>
        <v>100</v>
      </c>
      <c r="X19" s="1265"/>
      <c r="Y19" s="3359"/>
      <c r="Z19" s="1264" t="str">
        <f>Q19</f>
        <v>公共配套设施</v>
      </c>
      <c r="AA19" s="1264">
        <f t="shared" si="3"/>
        <v>1</v>
      </c>
      <c r="AB19" s="1264">
        <f t="shared" si="4"/>
        <v>1</v>
      </c>
      <c r="AC19" s="1812">
        <f t="shared" si="5"/>
        <v>1</v>
      </c>
    </row>
    <row r="20" spans="1:29" ht="15">
      <c r="A20" s="367"/>
      <c r="B20" s="401"/>
      <c r="C20" s="1758" t="s">
        <v>3431</v>
      </c>
      <c r="D20" s="387"/>
      <c r="E20" s="1758" t="s">
        <v>3431</v>
      </c>
      <c r="F20" s="387"/>
      <c r="G20" s="1758" t="s">
        <v>3431</v>
      </c>
      <c r="H20" s="387"/>
      <c r="I20" s="1758" t="s">
        <v>3431</v>
      </c>
      <c r="J20" s="387"/>
      <c r="K20" s="541"/>
      <c r="L20" s="2490"/>
      <c r="M20" s="2485"/>
      <c r="N20" s="2485"/>
      <c r="O20" s="2485"/>
      <c r="P20" s="3357"/>
      <c r="Q20" s="1263"/>
      <c r="R20" s="666"/>
      <c r="S20" s="667"/>
      <c r="T20" s="666"/>
      <c r="U20" s="667"/>
      <c r="V20" s="666"/>
      <c r="W20" s="667"/>
      <c r="X20" s="1265"/>
      <c r="Y20" s="3359"/>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2</v>
      </c>
      <c r="L21" s="2490"/>
      <c r="M21" s="2485"/>
      <c r="N21" s="2485"/>
      <c r="O21" s="2485"/>
      <c r="P21" s="3357"/>
      <c r="Q21" s="1263" t="str">
        <f>B21</f>
        <v>基础设施水平</v>
      </c>
      <c r="R21" s="666" t="s">
        <v>14</v>
      </c>
      <c r="S21" s="667">
        <f>F21</f>
        <v>100</v>
      </c>
      <c r="T21" s="666" t="s">
        <v>14</v>
      </c>
      <c r="U21" s="667">
        <f>H21</f>
        <v>100</v>
      </c>
      <c r="V21" s="666" t="s">
        <v>14</v>
      </c>
      <c r="W21" s="667">
        <f>J21</f>
        <v>100</v>
      </c>
      <c r="X21" s="1265"/>
      <c r="Y21" s="3359"/>
      <c r="Z21" s="1264" t="str">
        <f>Q21</f>
        <v>基础设施水平</v>
      </c>
      <c r="AA21" s="1264">
        <f t="shared" ref="AA21" si="8">D21/F21</f>
        <v>1</v>
      </c>
      <c r="AB21" s="1264">
        <f t="shared" ref="AB21" si="9">D21/H21</f>
        <v>1</v>
      </c>
      <c r="AC21" s="1812">
        <f t="shared" ref="AC21" si="10">D21/J21</f>
        <v>1</v>
      </c>
    </row>
    <row r="22" spans="1:29" ht="15">
      <c r="A22" s="367"/>
      <c r="B22" s="557"/>
      <c r="C22" s="1814" t="s">
        <v>3422</v>
      </c>
      <c r="D22" s="387"/>
      <c r="E22" s="1814" t="s">
        <v>3422</v>
      </c>
      <c r="F22" s="387"/>
      <c r="G22" s="1814" t="s">
        <v>3422</v>
      </c>
      <c r="H22" s="387"/>
      <c r="I22" s="1814" t="s">
        <v>3422</v>
      </c>
      <c r="J22" s="387"/>
      <c r="K22" s="1064"/>
      <c r="L22" s="2490"/>
      <c r="M22" s="2485"/>
      <c r="N22" s="2485"/>
      <c r="O22" s="2485"/>
      <c r="P22" s="3357"/>
      <c r="Q22" s="1263"/>
      <c r="R22" s="666"/>
      <c r="S22" s="667"/>
      <c r="T22" s="666"/>
      <c r="U22" s="667"/>
      <c r="V22" s="666"/>
      <c r="W22" s="667"/>
      <c r="X22" s="1265"/>
      <c r="Y22" s="3359"/>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3</v>
      </c>
      <c r="L23" s="2490"/>
      <c r="M23" s="2485"/>
      <c r="N23" s="2485"/>
      <c r="O23" s="2485"/>
      <c r="P23" s="3357"/>
      <c r="Q23" s="1263" t="str">
        <f>B23</f>
        <v>环境质量</v>
      </c>
      <c r="R23" s="666" t="s">
        <v>14</v>
      </c>
      <c r="S23" s="667">
        <f>F23</f>
        <v>100</v>
      </c>
      <c r="T23" s="666" t="s">
        <v>14</v>
      </c>
      <c r="U23" s="667">
        <f>H23</f>
        <v>100</v>
      </c>
      <c r="V23" s="666" t="s">
        <v>14</v>
      </c>
      <c r="W23" s="667">
        <f>J23</f>
        <v>100</v>
      </c>
      <c r="X23" s="1265"/>
      <c r="Y23" s="3359"/>
      <c r="Z23" s="1264" t="str">
        <f>Q23</f>
        <v>环境质量</v>
      </c>
      <c r="AA23" s="1264">
        <f t="shared" si="3"/>
        <v>1</v>
      </c>
      <c r="AB23" s="1264">
        <f t="shared" si="4"/>
        <v>1</v>
      </c>
      <c r="AC23" s="1812">
        <f t="shared" si="5"/>
        <v>1</v>
      </c>
    </row>
    <row r="24" spans="1:29" ht="15">
      <c r="A24" s="367"/>
      <c r="B24" s="557"/>
      <c r="C24" s="1758" t="s">
        <v>3435</v>
      </c>
      <c r="D24" s="387"/>
      <c r="E24" s="1758" t="s">
        <v>3435</v>
      </c>
      <c r="F24" s="387"/>
      <c r="G24" s="1758" t="s">
        <v>3435</v>
      </c>
      <c r="H24" s="387"/>
      <c r="I24" s="1758" t="s">
        <v>3435</v>
      </c>
      <c r="J24" s="387"/>
      <c r="K24" s="541"/>
      <c r="L24" s="2490"/>
      <c r="M24" s="2485"/>
      <c r="N24" s="2485"/>
      <c r="O24" s="2485"/>
      <c r="P24" s="3357"/>
      <c r="Q24" s="1263"/>
      <c r="R24" s="666"/>
      <c r="S24" s="667"/>
      <c r="T24" s="666"/>
      <c r="U24" s="667"/>
      <c r="V24" s="666"/>
      <c r="W24" s="667"/>
      <c r="X24" s="1265"/>
      <c r="Y24" s="335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57"/>
      <c r="Q25" s="1263" t="str">
        <f>B25</f>
        <v>毗邻道路的类型与等级</v>
      </c>
      <c r="R25" s="666" t="s">
        <v>14</v>
      </c>
      <c r="S25" s="667">
        <f>F25</f>
        <v>100</v>
      </c>
      <c r="T25" s="666" t="s">
        <v>14</v>
      </c>
      <c r="U25" s="667">
        <f>H25</f>
        <v>100</v>
      </c>
      <c r="V25" s="666" t="s">
        <v>14</v>
      </c>
      <c r="W25" s="667">
        <f>J25</f>
        <v>100</v>
      </c>
      <c r="X25" s="1265"/>
      <c r="Y25" s="335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57"/>
      <c r="Q26" s="1263"/>
      <c r="R26" s="666"/>
      <c r="S26" s="667"/>
      <c r="T26" s="666"/>
      <c r="U26" s="667"/>
      <c r="V26" s="666"/>
      <c r="W26" s="667"/>
      <c r="X26" s="1265"/>
      <c r="Y26" s="3359"/>
      <c r="Z26" s="1264"/>
      <c r="AA26" s="1264">
        <v>1</v>
      </c>
      <c r="AB26" s="1264">
        <v>1</v>
      </c>
      <c r="AC26" s="1812">
        <v>1</v>
      </c>
    </row>
    <row r="27" spans="1:29" ht="15">
      <c r="A27" s="367"/>
      <c r="B27" s="401" t="s">
        <v>1783</v>
      </c>
      <c r="C27" s="558" t="s">
        <v>3408</v>
      </c>
      <c r="D27" s="374">
        <v>100</v>
      </c>
      <c r="E27" s="542" t="s">
        <v>3439</v>
      </c>
      <c r="F27" s="374">
        <f>SUMIF(89:89,E27,90:90)-SUMIF(89:89,C27,90:90)+100</f>
        <v>100</v>
      </c>
      <c r="G27" s="558" t="s">
        <v>3408</v>
      </c>
      <c r="H27" s="374">
        <f>SUMIF(89:89,G27,90:90)-SUMIF(89:89,C27,90:90)+100</f>
        <v>100</v>
      </c>
      <c r="I27" s="542" t="s">
        <v>3408</v>
      </c>
      <c r="J27" s="374">
        <f>SUMIF(89:89,I27,90:90)-SUMIF(89:89,C27,90:90)+100</f>
        <v>100</v>
      </c>
      <c r="K27" s="538">
        <v>0</v>
      </c>
      <c r="L27" s="2490"/>
      <c r="M27" s="2485"/>
      <c r="N27" s="2485"/>
      <c r="O27" s="2485"/>
      <c r="P27" s="3357"/>
      <c r="Q27" s="1263" t="str">
        <f t="shared" ref="Q27:Q47" si="11">B27</f>
        <v>楼层</v>
      </c>
      <c r="R27" s="666" t="s">
        <v>14</v>
      </c>
      <c r="S27" s="667">
        <f>F27</f>
        <v>100</v>
      </c>
      <c r="T27" s="666" t="s">
        <v>14</v>
      </c>
      <c r="U27" s="667">
        <f>H27</f>
        <v>100</v>
      </c>
      <c r="V27" s="666" t="s">
        <v>14</v>
      </c>
      <c r="W27" s="667">
        <f>J27</f>
        <v>100</v>
      </c>
      <c r="X27" s="1265"/>
      <c r="Y27" s="335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57"/>
      <c r="Q28" s="530" t="str">
        <f t="shared" si="11"/>
        <v>朝向</v>
      </c>
      <c r="R28" s="663" t="s">
        <v>14</v>
      </c>
      <c r="S28" s="664">
        <f>F28</f>
        <v>100</v>
      </c>
      <c r="T28" s="663" t="s">
        <v>14</v>
      </c>
      <c r="U28" s="664">
        <f>H28</f>
        <v>100</v>
      </c>
      <c r="V28" s="663" t="s">
        <v>14</v>
      </c>
      <c r="W28" s="664">
        <f>J28</f>
        <v>100</v>
      </c>
      <c r="X28" s="665"/>
      <c r="Y28" s="335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57"/>
      <c r="Q29" s="1263">
        <f t="shared" si="11"/>
        <v>111</v>
      </c>
      <c r="R29" s="666" t="s">
        <v>14</v>
      </c>
      <c r="S29" s="667">
        <f t="shared" ref="S29:S47" si="12">F29</f>
        <v>100</v>
      </c>
      <c r="T29" s="666" t="s">
        <v>14</v>
      </c>
      <c r="U29" s="667">
        <f t="shared" ref="U29:U47" si="13">H29</f>
        <v>100</v>
      </c>
      <c r="V29" s="666" t="s">
        <v>14</v>
      </c>
      <c r="W29" s="667">
        <f t="shared" ref="W29:W47" si="14">J29</f>
        <v>100</v>
      </c>
      <c r="X29" s="1265"/>
      <c r="Y29" s="335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57"/>
      <c r="Q30" s="1263">
        <f t="shared" si="11"/>
        <v>111</v>
      </c>
      <c r="R30" s="666" t="s">
        <v>14</v>
      </c>
      <c r="S30" s="667">
        <f t="shared" si="12"/>
        <v>100</v>
      </c>
      <c r="T30" s="666" t="s">
        <v>14</v>
      </c>
      <c r="U30" s="667">
        <f t="shared" si="13"/>
        <v>100</v>
      </c>
      <c r="V30" s="666" t="s">
        <v>14</v>
      </c>
      <c r="W30" s="667">
        <f t="shared" si="14"/>
        <v>100</v>
      </c>
      <c r="X30" s="1265"/>
      <c r="Y30" s="335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57"/>
      <c r="Q31" s="1263">
        <f t="shared" si="11"/>
        <v>111</v>
      </c>
      <c r="R31" s="666" t="s">
        <v>14</v>
      </c>
      <c r="S31" s="667">
        <f t="shared" si="12"/>
        <v>100</v>
      </c>
      <c r="T31" s="666" t="s">
        <v>14</v>
      </c>
      <c r="U31" s="667">
        <f t="shared" si="13"/>
        <v>100</v>
      </c>
      <c r="V31" s="666" t="s">
        <v>14</v>
      </c>
      <c r="W31" s="667">
        <f t="shared" si="14"/>
        <v>100</v>
      </c>
      <c r="X31" s="1265"/>
      <c r="Y31" s="335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57"/>
      <c r="Q32" s="1263">
        <f t="shared" si="11"/>
        <v>111</v>
      </c>
      <c r="R32" s="666" t="s">
        <v>14</v>
      </c>
      <c r="S32" s="667">
        <f t="shared" si="12"/>
        <v>100</v>
      </c>
      <c r="T32" s="666" t="s">
        <v>14</v>
      </c>
      <c r="U32" s="667">
        <f t="shared" si="13"/>
        <v>100</v>
      </c>
      <c r="V32" s="666" t="s">
        <v>14</v>
      </c>
      <c r="W32" s="667">
        <f t="shared" si="14"/>
        <v>100</v>
      </c>
      <c r="X32" s="1265"/>
      <c r="Y32" s="3359"/>
      <c r="Z32" s="1264">
        <f t="shared" si="15"/>
        <v>111</v>
      </c>
      <c r="AA32" s="1264">
        <f t="shared" si="3"/>
        <v>1</v>
      </c>
      <c r="AB32" s="1264">
        <f t="shared" si="4"/>
        <v>1</v>
      </c>
      <c r="AC32" s="1812">
        <f t="shared" si="5"/>
        <v>1</v>
      </c>
    </row>
    <row r="33" spans="1:29" ht="15">
      <c r="A33" s="379" t="s">
        <v>1694</v>
      </c>
      <c r="B33" s="60" t="s">
        <v>1817</v>
      </c>
      <c r="C33" s="1764" t="s">
        <v>3410</v>
      </c>
      <c r="D33" s="405">
        <v>100</v>
      </c>
      <c r="E33" s="1764" t="s">
        <v>3410</v>
      </c>
      <c r="F33" s="400">
        <f>SUMIF(101:101,E33,102:102)-SUMIF(101:101,C33,102:102)+100</f>
        <v>100</v>
      </c>
      <c r="G33" s="1764" t="s">
        <v>3410</v>
      </c>
      <c r="H33" s="374">
        <f>SUMIF(101:101,G33,102:102)-SUMIF(101:101,C33,102:102)+100</f>
        <v>100</v>
      </c>
      <c r="I33" s="1764" t="s">
        <v>3410</v>
      </c>
      <c r="J33" s="405">
        <f>SUMIF(101:101,I33,102:102)-SUMIF(101:101,C33,102:102)+100</f>
        <v>100</v>
      </c>
      <c r="K33" s="538">
        <v>3</v>
      </c>
      <c r="L33" s="2490"/>
      <c r="M33" s="2485"/>
      <c r="N33" s="2485"/>
      <c r="O33" s="2485"/>
      <c r="P33" s="3360" t="s">
        <v>1696</v>
      </c>
      <c r="Q33" s="1263" t="str">
        <f t="shared" si="11"/>
        <v>建筑类型</v>
      </c>
      <c r="R33" s="666" t="s">
        <v>14</v>
      </c>
      <c r="S33" s="667">
        <f t="shared" si="12"/>
        <v>100</v>
      </c>
      <c r="T33" s="666" t="s">
        <v>14</v>
      </c>
      <c r="U33" s="667">
        <f t="shared" si="13"/>
        <v>100</v>
      </c>
      <c r="V33" s="666" t="s">
        <v>14</v>
      </c>
      <c r="W33" s="667">
        <f t="shared" si="14"/>
        <v>100</v>
      </c>
      <c r="X33" s="1265"/>
      <c r="Y33" s="3363"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94.12</v>
      </c>
      <c r="D34" s="119">
        <v>100</v>
      </c>
      <c r="E34" s="369">
        <v>101.88</v>
      </c>
      <c r="F34" s="364">
        <f>LOOKUP(E34,104:104,105:105)-LOOKUP(C34,104:104,105:105)+100</f>
        <v>100</v>
      </c>
      <c r="G34" s="368">
        <v>55.9</v>
      </c>
      <c r="H34" s="119">
        <f>LOOKUP(G34,104:104,105:105)-LOOKUP(C34,104:104,105:105)+100</f>
        <v>100</v>
      </c>
      <c r="I34" s="368">
        <v>110</v>
      </c>
      <c r="J34" s="119">
        <f>LOOKUP(I34,104:104,105:105)-LOOKUP(C34,104:104,105:105)+100</f>
        <v>100</v>
      </c>
      <c r="K34" s="539"/>
      <c r="L34" s="2489"/>
      <c r="M34" s="2491"/>
      <c r="N34" s="2491"/>
      <c r="O34" s="2491"/>
      <c r="P34" s="3361"/>
      <c r="Q34" s="531" t="str">
        <f t="shared" si="11"/>
        <v>项目建筑规模</v>
      </c>
      <c r="R34" s="668" t="s">
        <v>14</v>
      </c>
      <c r="S34" s="669">
        <f t="shared" si="12"/>
        <v>100</v>
      </c>
      <c r="T34" s="668" t="s">
        <v>14</v>
      </c>
      <c r="U34" s="669">
        <f t="shared" si="13"/>
        <v>100</v>
      </c>
      <c r="V34" s="668" t="s">
        <v>14</v>
      </c>
      <c r="W34" s="669">
        <f t="shared" si="14"/>
        <v>100</v>
      </c>
      <c r="X34" s="670"/>
      <c r="Y34" s="3363"/>
      <c r="Z34" s="671" t="str">
        <f t="shared" si="15"/>
        <v>项目建筑规模</v>
      </c>
      <c r="AA34" s="1264">
        <f t="shared" si="3"/>
        <v>1</v>
      </c>
      <c r="AB34" s="1264">
        <f t="shared" si="4"/>
        <v>1</v>
      </c>
      <c r="AC34" s="1812">
        <f t="shared" si="5"/>
        <v>1</v>
      </c>
    </row>
    <row r="35" spans="1:29" ht="15">
      <c r="A35" s="409"/>
      <c r="B35" s="364" t="s">
        <v>1698</v>
      </c>
      <c r="C35" s="399" t="s">
        <v>3395</v>
      </c>
      <c r="D35" s="374">
        <v>100</v>
      </c>
      <c r="E35" s="399" t="s">
        <v>3395</v>
      </c>
      <c r="F35" s="400">
        <f>SUMIF(106:106,E35,107:107)-SUMIF(106:106,C35,107:107)+100</f>
        <v>100</v>
      </c>
      <c r="G35" s="399" t="s">
        <v>3395</v>
      </c>
      <c r="H35" s="374">
        <f>SUMIF(106:106,G35,107:107)-SUMIF(106:106,C35,107:107)+100</f>
        <v>100</v>
      </c>
      <c r="I35" s="399" t="s">
        <v>3395</v>
      </c>
      <c r="J35" s="374">
        <f>SUMIF(106:106,I35,107:107)-SUMIF(106:106,C35,107:107)+100</f>
        <v>100</v>
      </c>
      <c r="K35" s="538">
        <v>1</v>
      </c>
      <c r="L35" s="2490"/>
      <c r="M35" s="2485"/>
      <c r="N35" s="2485"/>
      <c r="O35" s="2485"/>
      <c r="P35" s="3361"/>
      <c r="Q35" s="1263" t="str">
        <f t="shared" si="11"/>
        <v>建筑结构</v>
      </c>
      <c r="R35" s="666" t="s">
        <v>14</v>
      </c>
      <c r="S35" s="667">
        <f t="shared" si="12"/>
        <v>100</v>
      </c>
      <c r="T35" s="666" t="s">
        <v>14</v>
      </c>
      <c r="U35" s="667">
        <f t="shared" si="13"/>
        <v>100</v>
      </c>
      <c r="V35" s="666" t="s">
        <v>14</v>
      </c>
      <c r="W35" s="667">
        <f t="shared" si="14"/>
        <v>100</v>
      </c>
      <c r="X35" s="1265"/>
      <c r="Y35" s="3363"/>
      <c r="Z35" s="1264" t="str">
        <f t="shared" si="15"/>
        <v>建筑结构</v>
      </c>
      <c r="AA35" s="1264">
        <f t="shared" si="3"/>
        <v>1</v>
      </c>
      <c r="AB35" s="1264">
        <f t="shared" si="4"/>
        <v>1</v>
      </c>
      <c r="AC35" s="1812">
        <f t="shared" si="5"/>
        <v>1</v>
      </c>
    </row>
    <row r="36" spans="1:29" ht="15">
      <c r="A36" s="409"/>
      <c r="B36" s="364" t="s">
        <v>1785</v>
      </c>
      <c r="C36" s="399" t="s">
        <v>3413</v>
      </c>
      <c r="D36" s="374">
        <v>100</v>
      </c>
      <c r="E36" s="399" t="s">
        <v>3413</v>
      </c>
      <c r="F36" s="400">
        <f>SUMIF(108:108,E36,109:109)-SUMIF(108:108,C36,109:109)+100</f>
        <v>100</v>
      </c>
      <c r="G36" s="399" t="s">
        <v>3413</v>
      </c>
      <c r="H36" s="374">
        <f>SUMIF(108:108,G36,109:109)-SUMIF(108:108,C36,109:109)+100</f>
        <v>100</v>
      </c>
      <c r="I36" s="399" t="s">
        <v>3413</v>
      </c>
      <c r="J36" s="374">
        <f>SUMIF(108:108,I36,109:109)-SUMIF(108:108,C36,109:109)+100</f>
        <v>100</v>
      </c>
      <c r="K36" s="538">
        <v>2</v>
      </c>
      <c r="L36" s="2490"/>
      <c r="M36" s="2485"/>
      <c r="N36" s="2485"/>
      <c r="O36" s="2485"/>
      <c r="P36" s="3361"/>
      <c r="Q36" s="1263" t="str">
        <f t="shared" si="11"/>
        <v>公共部分装修</v>
      </c>
      <c r="R36" s="666" t="s">
        <v>14</v>
      </c>
      <c r="S36" s="667">
        <f t="shared" si="12"/>
        <v>100</v>
      </c>
      <c r="T36" s="666" t="s">
        <v>14</v>
      </c>
      <c r="U36" s="667">
        <f t="shared" si="13"/>
        <v>100</v>
      </c>
      <c r="V36" s="666" t="s">
        <v>14</v>
      </c>
      <c r="W36" s="667">
        <f t="shared" si="14"/>
        <v>100</v>
      </c>
      <c r="X36" s="1265"/>
      <c r="Y36" s="3363"/>
      <c r="Z36" s="1264" t="str">
        <f t="shared" si="15"/>
        <v>公共部分装修</v>
      </c>
      <c r="AA36" s="1264">
        <f t="shared" si="3"/>
        <v>1</v>
      </c>
      <c r="AB36" s="1264">
        <f t="shared" si="4"/>
        <v>1</v>
      </c>
      <c r="AC36" s="1812">
        <f t="shared" si="5"/>
        <v>1</v>
      </c>
    </row>
    <row r="37" spans="1:29" ht="15">
      <c r="A37" s="409"/>
      <c r="B37" s="364" t="s">
        <v>1786</v>
      </c>
      <c r="C37" s="411">
        <f>'数据-取费表'!N6</f>
        <v>0.72</v>
      </c>
      <c r="D37" s="374">
        <v>100</v>
      </c>
      <c r="E37" s="411">
        <f>C37</f>
        <v>0.72</v>
      </c>
      <c r="F37" s="400">
        <f>LOOKUP(E37,111:111,112:112)-LOOKUP(C37,111:111,112:112)+100</f>
        <v>100</v>
      </c>
      <c r="G37" s="411">
        <f>C37</f>
        <v>0.72</v>
      </c>
      <c r="H37" s="400">
        <f>LOOKUP(G37,111:111,112:112)-LOOKUP(C37,111:111,112:112)+100</f>
        <v>100</v>
      </c>
      <c r="I37" s="411">
        <f>C37</f>
        <v>0.72</v>
      </c>
      <c r="J37" s="374">
        <f>LOOKUP(I37,111:111,112:112)-LOOKUP(C37,111:111,112:112)+100</f>
        <v>100</v>
      </c>
      <c r="K37" s="538">
        <v>2</v>
      </c>
      <c r="L37" s="2490"/>
      <c r="M37" s="2485"/>
      <c r="N37" s="2485"/>
      <c r="O37" s="2485"/>
      <c r="P37" s="3361"/>
      <c r="Q37" s="1263" t="str">
        <f t="shared" si="11"/>
        <v>成新度</v>
      </c>
      <c r="R37" s="666" t="s">
        <v>14</v>
      </c>
      <c r="S37" s="667">
        <f t="shared" si="12"/>
        <v>100</v>
      </c>
      <c r="T37" s="666" t="s">
        <v>14</v>
      </c>
      <c r="U37" s="667">
        <f t="shared" si="13"/>
        <v>100</v>
      </c>
      <c r="V37" s="666" t="s">
        <v>14</v>
      </c>
      <c r="W37" s="667">
        <f t="shared" si="14"/>
        <v>100</v>
      </c>
      <c r="X37" s="1265"/>
      <c r="Y37" s="3363"/>
      <c r="Z37" s="1264" t="str">
        <f t="shared" si="15"/>
        <v>成新度</v>
      </c>
      <c r="AA37" s="1264">
        <f t="shared" si="3"/>
        <v>1</v>
      </c>
      <c r="AB37" s="1264">
        <f t="shared" si="4"/>
        <v>1</v>
      </c>
      <c r="AC37" s="1812">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61"/>
      <c r="Q38" s="530" t="str">
        <f t="shared" si="11"/>
        <v>写字楼等级</v>
      </c>
      <c r="R38" s="663" t="s">
        <v>14</v>
      </c>
      <c r="S38" s="664">
        <f t="shared" si="12"/>
        <v>100</v>
      </c>
      <c r="T38" s="663" t="s">
        <v>14</v>
      </c>
      <c r="U38" s="664">
        <f t="shared" si="13"/>
        <v>100</v>
      </c>
      <c r="V38" s="663" t="s">
        <v>14</v>
      </c>
      <c r="W38" s="664">
        <f t="shared" si="14"/>
        <v>100</v>
      </c>
      <c r="X38" s="665"/>
      <c r="Y38" s="3363"/>
      <c r="Z38" s="50" t="str">
        <f t="shared" si="15"/>
        <v>写字楼等级</v>
      </c>
      <c r="AA38" s="50">
        <f t="shared" si="3"/>
        <v>1</v>
      </c>
      <c r="AB38" s="50">
        <f t="shared" si="4"/>
        <v>1</v>
      </c>
      <c r="AC38" s="801">
        <f t="shared" si="5"/>
        <v>1</v>
      </c>
    </row>
    <row r="39" spans="1:29" ht="15" hidden="1">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61" t="s">
        <v>1696</v>
      </c>
      <c r="Q39" s="1263" t="str">
        <f t="shared" si="11"/>
        <v>物业管理</v>
      </c>
      <c r="R39" s="666" t="s">
        <v>14</v>
      </c>
      <c r="S39" s="667">
        <f t="shared" si="12"/>
        <v>100</v>
      </c>
      <c r="T39" s="666" t="s">
        <v>14</v>
      </c>
      <c r="U39" s="667">
        <f t="shared" si="13"/>
        <v>100</v>
      </c>
      <c r="V39" s="666" t="s">
        <v>14</v>
      </c>
      <c r="W39" s="667">
        <f t="shared" si="14"/>
        <v>100</v>
      </c>
      <c r="X39" s="1265"/>
      <c r="Y39" s="3363" t="s">
        <v>1696</v>
      </c>
      <c r="Z39" s="1264" t="str">
        <f t="shared" si="15"/>
        <v>物业管理</v>
      </c>
      <c r="AA39" s="1264">
        <f t="shared" si="3"/>
        <v>1</v>
      </c>
      <c r="AB39" s="1264">
        <f t="shared" si="4"/>
        <v>1</v>
      </c>
      <c r="AC39" s="1812">
        <f t="shared" si="5"/>
        <v>1</v>
      </c>
    </row>
    <row r="40" spans="1:29" ht="15" hidden="1">
      <c r="A40" s="409"/>
      <c r="B40" s="364" t="s">
        <v>1787</v>
      </c>
      <c r="C40" s="399" t="s">
        <v>3433</v>
      </c>
      <c r="D40" s="374">
        <v>100</v>
      </c>
      <c r="E40" s="399" t="s">
        <v>3433</v>
      </c>
      <c r="F40" s="400">
        <f>SUMIF(117:117,E40,118:118)-SUMIF(117:117,C40,118:118)+100</f>
        <v>100</v>
      </c>
      <c r="G40" s="399" t="s">
        <v>3433</v>
      </c>
      <c r="H40" s="374">
        <f>SUMIF(117:117,G40,118:118)-SUMIF(117:117,C40,118:118)+100</f>
        <v>100</v>
      </c>
      <c r="I40" s="399" t="s">
        <v>3433</v>
      </c>
      <c r="J40" s="374">
        <f>SUMIF(117:117,I40,118:118)-SUMIF(117:117,C40,118:118)+100</f>
        <v>100</v>
      </c>
      <c r="K40" s="538">
        <v>0</v>
      </c>
      <c r="L40" s="2490"/>
      <c r="M40" s="2485"/>
      <c r="N40" s="2485"/>
      <c r="O40" s="2485"/>
      <c r="P40" s="3361"/>
      <c r="Q40" s="1263" t="str">
        <f t="shared" si="11"/>
        <v>市政基础设施</v>
      </c>
      <c r="R40" s="666" t="s">
        <v>14</v>
      </c>
      <c r="S40" s="667">
        <f t="shared" si="12"/>
        <v>100</v>
      </c>
      <c r="T40" s="666" t="s">
        <v>14</v>
      </c>
      <c r="U40" s="667">
        <f t="shared" si="13"/>
        <v>100</v>
      </c>
      <c r="V40" s="666" t="s">
        <v>14</v>
      </c>
      <c r="W40" s="667">
        <f t="shared" si="14"/>
        <v>100</v>
      </c>
      <c r="X40" s="1265"/>
      <c r="Y40" s="3363"/>
      <c r="Z40" s="1264" t="str">
        <f t="shared" si="15"/>
        <v>市政基础设施</v>
      </c>
      <c r="AA40" s="1264">
        <f t="shared" si="3"/>
        <v>1</v>
      </c>
      <c r="AB40" s="1264">
        <f t="shared" si="4"/>
        <v>1</v>
      </c>
      <c r="AC40" s="1812">
        <f t="shared" si="5"/>
        <v>1</v>
      </c>
    </row>
    <row r="41" spans="1:29" ht="15">
      <c r="A41" s="409"/>
      <c r="B41" s="364" t="s">
        <v>1789</v>
      </c>
      <c r="C41" s="542" t="s">
        <v>3429</v>
      </c>
      <c r="D41" s="374">
        <v>100</v>
      </c>
      <c r="E41" s="542" t="s">
        <v>3429</v>
      </c>
      <c r="F41" s="400">
        <f>SUMIF(119:119,E41,120:120)-SUMIF(119:119,C41,120:120)+100</f>
        <v>100</v>
      </c>
      <c r="G41" s="542" t="s">
        <v>3429</v>
      </c>
      <c r="H41" s="374">
        <f>SUMIF(119:119,G41,120:120)-SUMIF(119:119,C41,120:120)+100</f>
        <v>100</v>
      </c>
      <c r="I41" s="542" t="s">
        <v>3429</v>
      </c>
      <c r="J41" s="374">
        <f>SUMIF(119:119,I41,120:120)-SUMIF(119:119,C41,120:120)+100</f>
        <v>100</v>
      </c>
      <c r="K41" s="538">
        <v>2</v>
      </c>
      <c r="L41" s="2490"/>
      <c r="M41" s="2485"/>
      <c r="N41" s="2485"/>
      <c r="O41" s="2485"/>
      <c r="P41" s="3361"/>
      <c r="Q41" s="1263" t="str">
        <f t="shared" si="11"/>
        <v>层高</v>
      </c>
      <c r="R41" s="666" t="s">
        <v>14</v>
      </c>
      <c r="S41" s="667">
        <f t="shared" si="12"/>
        <v>100</v>
      </c>
      <c r="T41" s="666" t="s">
        <v>14</v>
      </c>
      <c r="U41" s="667">
        <f t="shared" si="13"/>
        <v>100</v>
      </c>
      <c r="V41" s="666" t="s">
        <v>14</v>
      </c>
      <c r="W41" s="667">
        <f t="shared" si="14"/>
        <v>100</v>
      </c>
      <c r="X41" s="1265"/>
      <c r="Y41" s="3363"/>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61"/>
      <c r="Q42" s="531" t="str">
        <f t="shared" si="11"/>
        <v>单套建筑面积</v>
      </c>
      <c r="R42" s="668" t="s">
        <v>14</v>
      </c>
      <c r="S42" s="669">
        <f t="shared" si="12"/>
        <v>100</v>
      </c>
      <c r="T42" s="668" t="s">
        <v>14</v>
      </c>
      <c r="U42" s="669">
        <f t="shared" si="13"/>
        <v>100</v>
      </c>
      <c r="V42" s="668" t="s">
        <v>14</v>
      </c>
      <c r="W42" s="669">
        <f t="shared" si="14"/>
        <v>100</v>
      </c>
      <c r="X42" s="670"/>
      <c r="Y42" s="3363"/>
      <c r="Z42" s="671" t="str">
        <f t="shared" si="15"/>
        <v>单套建筑面积</v>
      </c>
      <c r="AA42" s="1264">
        <f t="shared" si="3"/>
        <v>1</v>
      </c>
      <c r="AB42" s="1264">
        <f t="shared" si="4"/>
        <v>1</v>
      </c>
      <c r="AC42" s="1812">
        <f t="shared" si="5"/>
        <v>1</v>
      </c>
    </row>
    <row r="43" spans="1:29" ht="15">
      <c r="A43" s="409"/>
      <c r="B43" s="364" t="s">
        <v>1792</v>
      </c>
      <c r="C43" s="399" t="s">
        <v>3413</v>
      </c>
      <c r="D43" s="374">
        <v>100</v>
      </c>
      <c r="E43" s="399" t="s">
        <v>3413</v>
      </c>
      <c r="F43" s="400">
        <f>SUMIF(123:123,E43,124:124)-SUMIF(123:123,C43,124:124)+100</f>
        <v>100</v>
      </c>
      <c r="G43" s="399" t="s">
        <v>3413</v>
      </c>
      <c r="H43" s="374">
        <f>SUMIF(123:123,G43,124:124)-SUMIF(123:123,C43,124:124)+100</f>
        <v>100</v>
      </c>
      <c r="I43" s="399" t="s">
        <v>3413</v>
      </c>
      <c r="J43" s="374">
        <f>SUMIF(123:123,I43,124:124)-SUMIF(123:123,C43,124:124)+100</f>
        <v>100</v>
      </c>
      <c r="K43" s="538">
        <v>2</v>
      </c>
      <c r="L43" s="2490"/>
      <c r="M43" s="2485"/>
      <c r="N43" s="2485"/>
      <c r="O43" s="2485"/>
      <c r="P43" s="3361"/>
      <c r="Q43" s="1263" t="str">
        <f t="shared" si="11"/>
        <v>内部装修</v>
      </c>
      <c r="R43" s="666" t="s">
        <v>14</v>
      </c>
      <c r="S43" s="667">
        <f t="shared" si="12"/>
        <v>100</v>
      </c>
      <c r="T43" s="666" t="s">
        <v>14</v>
      </c>
      <c r="U43" s="667">
        <f t="shared" si="13"/>
        <v>100</v>
      </c>
      <c r="V43" s="666" t="s">
        <v>14</v>
      </c>
      <c r="W43" s="667">
        <f t="shared" si="14"/>
        <v>100</v>
      </c>
      <c r="X43" s="1265"/>
      <c r="Y43" s="3363"/>
      <c r="Z43" s="1264" t="str">
        <f t="shared" si="15"/>
        <v>内部装修</v>
      </c>
      <c r="AA43" s="1264">
        <f t="shared" si="3"/>
        <v>1</v>
      </c>
      <c r="AB43" s="1264">
        <f t="shared" si="4"/>
        <v>1</v>
      </c>
      <c r="AC43" s="1812">
        <f t="shared" si="5"/>
        <v>1</v>
      </c>
    </row>
    <row r="44" spans="1:29" ht="15">
      <c r="A44" s="409"/>
      <c r="B44" s="364" t="s">
        <v>1707</v>
      </c>
      <c r="C44" s="399" t="s">
        <v>3431</v>
      </c>
      <c r="D44" s="374">
        <v>100</v>
      </c>
      <c r="E44" s="399" t="s">
        <v>3431</v>
      </c>
      <c r="F44" s="400">
        <f>SUMIF(125:125,E44,126:126)-SUMIF(125:125,C44,126:126)+100</f>
        <v>100</v>
      </c>
      <c r="G44" s="399" t="s">
        <v>3431</v>
      </c>
      <c r="H44" s="374">
        <f>SUMIF(125:125,G44,126:126)-SUMIF(125:125,C44,126:126)+100</f>
        <v>100</v>
      </c>
      <c r="I44" s="399" t="s">
        <v>3431</v>
      </c>
      <c r="J44" s="374">
        <f>SUMIF(125:125,I44,126:126)-SUMIF(125:125,C44,126:126)+100</f>
        <v>100</v>
      </c>
      <c r="K44" s="538">
        <v>1</v>
      </c>
      <c r="L44" s="2490"/>
      <c r="M44" s="2485"/>
      <c r="N44" s="2485"/>
      <c r="O44" s="2485"/>
      <c r="P44" s="3361"/>
      <c r="Q44" s="1263" t="str">
        <f t="shared" si="11"/>
        <v>内部装修维护情况</v>
      </c>
      <c r="R44" s="666" t="s">
        <v>14</v>
      </c>
      <c r="S44" s="667">
        <f t="shared" si="12"/>
        <v>100</v>
      </c>
      <c r="T44" s="666" t="s">
        <v>14</v>
      </c>
      <c r="U44" s="667">
        <f t="shared" si="13"/>
        <v>100</v>
      </c>
      <c r="V44" s="666" t="s">
        <v>14</v>
      </c>
      <c r="W44" s="667">
        <f t="shared" si="14"/>
        <v>100</v>
      </c>
      <c r="X44" s="1265"/>
      <c r="Y44" s="336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61"/>
      <c r="Q45" s="530">
        <f t="shared" si="11"/>
        <v>111</v>
      </c>
      <c r="R45" s="663" t="s">
        <v>14</v>
      </c>
      <c r="S45" s="664">
        <f t="shared" si="12"/>
        <v>100</v>
      </c>
      <c r="T45" s="663" t="s">
        <v>14</v>
      </c>
      <c r="U45" s="664">
        <f t="shared" si="13"/>
        <v>100</v>
      </c>
      <c r="V45" s="663" t="s">
        <v>14</v>
      </c>
      <c r="W45" s="664">
        <f t="shared" si="14"/>
        <v>100</v>
      </c>
      <c r="X45" s="665"/>
      <c r="Y45" s="3363"/>
      <c r="Z45" s="50">
        <f t="shared" si="15"/>
        <v>111</v>
      </c>
      <c r="AA45" s="50">
        <f t="shared" si="3"/>
        <v>1</v>
      </c>
      <c r="AB45" s="50">
        <f t="shared" si="4"/>
        <v>1</v>
      </c>
      <c r="AC45" s="801">
        <f t="shared" si="5"/>
        <v>1</v>
      </c>
    </row>
    <row r="46" spans="1:29" ht="15">
      <c r="A46" s="409"/>
      <c r="B46" s="3155" t="s">
        <v>3473</v>
      </c>
      <c r="C46" s="373">
        <v>2002</v>
      </c>
      <c r="D46" s="374">
        <v>100</v>
      </c>
      <c r="E46" s="371">
        <v>2002</v>
      </c>
      <c r="F46" s="400">
        <f>SUMIF(129:129,E46,130:130)-SUMIF(129:129,C46,130:130)+100</f>
        <v>100</v>
      </c>
      <c r="G46" s="371">
        <v>2002</v>
      </c>
      <c r="H46" s="374">
        <f>SUMIF(129:129,G46,130:130)-SUMIF(129:129,C46,130:130)+100</f>
        <v>100</v>
      </c>
      <c r="I46" s="371">
        <v>2003</v>
      </c>
      <c r="J46" s="374">
        <f>SUMIF(129:129,I46,130:130)-SUMIF(129:129,C46,130:130)+100</f>
        <v>100</v>
      </c>
      <c r="K46" s="539"/>
      <c r="L46" s="2490"/>
      <c r="M46" s="2485"/>
      <c r="N46" s="2485"/>
      <c r="O46" s="2485"/>
      <c r="P46" s="3361"/>
      <c r="Q46" s="1263" t="str">
        <f t="shared" si="11"/>
        <v>建成年代</v>
      </c>
      <c r="R46" s="666" t="s">
        <v>14</v>
      </c>
      <c r="S46" s="667">
        <f t="shared" si="12"/>
        <v>100</v>
      </c>
      <c r="T46" s="666" t="s">
        <v>14</v>
      </c>
      <c r="U46" s="667">
        <f t="shared" si="13"/>
        <v>100</v>
      </c>
      <c r="V46" s="666" t="s">
        <v>14</v>
      </c>
      <c r="W46" s="667">
        <f t="shared" si="14"/>
        <v>100</v>
      </c>
      <c r="X46" s="1265"/>
      <c r="Y46" s="3363"/>
      <c r="Z46" s="1264" t="str">
        <f t="shared" si="15"/>
        <v>建成年代</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62"/>
      <c r="Q47" s="1263">
        <f t="shared" si="11"/>
        <v>111</v>
      </c>
      <c r="R47" s="666" t="s">
        <v>14</v>
      </c>
      <c r="S47" s="667">
        <f t="shared" si="12"/>
        <v>100</v>
      </c>
      <c r="T47" s="666" t="s">
        <v>14</v>
      </c>
      <c r="U47" s="667">
        <f t="shared" si="13"/>
        <v>100</v>
      </c>
      <c r="V47" s="666" t="s">
        <v>14</v>
      </c>
      <c r="W47" s="667">
        <f t="shared" si="14"/>
        <v>100</v>
      </c>
      <c r="X47" s="1265"/>
      <c r="Y47" s="3364"/>
      <c r="Z47" s="1264">
        <f t="shared" si="15"/>
        <v>111</v>
      </c>
      <c r="AA47" s="1264">
        <f t="shared" si="3"/>
        <v>1</v>
      </c>
      <c r="AB47" s="1264">
        <f t="shared" si="4"/>
        <v>1</v>
      </c>
      <c r="AC47" s="1812">
        <f t="shared" si="5"/>
        <v>1</v>
      </c>
    </row>
    <row r="48" spans="1:29" ht="15">
      <c r="A48" s="416" t="s">
        <v>1708</v>
      </c>
      <c r="B48" s="417"/>
      <c r="C48" s="1081" t="s">
        <v>0</v>
      </c>
      <c r="D48" s="418"/>
      <c r="E48" s="419">
        <v>19631</v>
      </c>
      <c r="F48" s="420"/>
      <c r="G48" s="419">
        <v>22898</v>
      </c>
      <c r="H48" s="422"/>
      <c r="I48" s="419">
        <v>21000</v>
      </c>
      <c r="J48" s="422"/>
      <c r="K48" s="673"/>
      <c r="L48" s="2492"/>
      <c r="M48" s="2485"/>
      <c r="N48" s="2485"/>
      <c r="O48" s="2485"/>
      <c r="P48" s="3350" t="str">
        <f>A48</f>
        <v>成交单价（元/平方米）</v>
      </c>
      <c r="Q48" s="3351"/>
      <c r="R48" s="3352">
        <f>E48</f>
        <v>19631</v>
      </c>
      <c r="S48" s="3352"/>
      <c r="T48" s="3352">
        <f>G48</f>
        <v>22898</v>
      </c>
      <c r="U48" s="3352"/>
      <c r="V48" s="3352">
        <f>I48</f>
        <v>21000</v>
      </c>
      <c r="W48" s="3352"/>
      <c r="X48" s="385"/>
      <c r="Y48" s="672"/>
      <c r="Z48" s="385"/>
      <c r="AA48" s="385"/>
      <c r="AB48" s="385"/>
      <c r="AC48" s="555"/>
    </row>
    <row r="49" spans="1:29" ht="15.75" thickBot="1">
      <c r="A49" s="423" t="s">
        <v>1793</v>
      </c>
      <c r="B49" s="424"/>
      <c r="C49" s="1082">
        <f>R50</f>
        <v>20761</v>
      </c>
      <c r="D49" s="2141" t="s">
        <v>2137</v>
      </c>
      <c r="E49" s="1083">
        <f>R49</f>
        <v>19246</v>
      </c>
      <c r="F49" s="2142"/>
      <c r="G49" s="1082">
        <f>T49</f>
        <v>22449</v>
      </c>
      <c r="H49" s="2142"/>
      <c r="I49" s="1083">
        <f>V49</f>
        <v>20588</v>
      </c>
      <c r="J49" s="2142"/>
      <c r="K49" s="2144">
        <f>F49+H49+J49</f>
        <v>0</v>
      </c>
      <c r="L49" s="2492"/>
      <c r="M49" s="2485"/>
      <c r="N49" s="2485"/>
      <c r="O49" s="2485"/>
      <c r="P49" s="3350" t="str">
        <f>A49</f>
        <v>比较价值（元/平方米）</v>
      </c>
      <c r="Q49" s="3351"/>
      <c r="R49" s="3352">
        <f>IF(F1="售价",ROUND(PRODUCT(R48,AA7:AA47),0),ROUND(PRODUCT(R48,AA7:AA47),1))</f>
        <v>19246</v>
      </c>
      <c r="S49" s="3352"/>
      <c r="T49" s="3352">
        <f>IF(F1="售价",ROUND(PRODUCT(T48,AB7:AB47),0),ROUND(PRODUCT(T48,AB7:AB47),1))</f>
        <v>22449</v>
      </c>
      <c r="U49" s="3352"/>
      <c r="V49" s="3352">
        <f>IF(F1="售价",ROUND(PRODUCT(V48,AC7:AC47),0),ROUND(PRODUCT(V48,AC7:AC47),1))</f>
        <v>20588</v>
      </c>
      <c r="W49" s="3352"/>
      <c r="X49" s="385"/>
      <c r="Y49" s="385"/>
      <c r="Z49" s="385"/>
      <c r="AA49" s="385"/>
      <c r="AB49" s="385"/>
      <c r="AC49" s="555"/>
    </row>
    <row r="50" spans="1:29" ht="15.75" thickBot="1">
      <c r="A50" s="427" t="s">
        <v>1794</v>
      </c>
      <c r="B50" s="428"/>
      <c r="C50" s="351">
        <f>R50</f>
        <v>20761</v>
      </c>
      <c r="D50" s="351"/>
      <c r="E50" s="351"/>
      <c r="F50" s="351"/>
      <c r="G50" s="351"/>
      <c r="H50" s="351"/>
      <c r="I50" s="351"/>
      <c r="J50" s="429"/>
      <c r="K50" s="674"/>
      <c r="L50" s="2492"/>
      <c r="M50" s="2485"/>
      <c r="N50" s="2485"/>
      <c r="O50" s="2485"/>
      <c r="P50" s="3353" t="str">
        <f>A50</f>
        <v>估价对象XX用房的比较价值（楼面单价，元/平方米）</v>
      </c>
      <c r="Q50" s="3354"/>
      <c r="R50" s="3355">
        <f>IF(F1="售价",ROUND(IF(D49="简单平均",AVERAGE(R49:V49),R49*F49+T49*H49+V49*J49),0),ROUND(IF(D49="简单平均",AVERAGE(R49:V49),R49*F49+T49*H49+V49*J49),1))</f>
        <v>20761</v>
      </c>
      <c r="S50" s="3355"/>
      <c r="T50" s="3355"/>
      <c r="U50" s="3355"/>
      <c r="V50" s="3355"/>
      <c r="W50" s="3355"/>
      <c r="X50" s="1798"/>
      <c r="Y50" s="1798"/>
      <c r="Z50" s="1798"/>
      <c r="AA50" s="1798"/>
      <c r="AB50" s="1798"/>
      <c r="AC50" s="1799"/>
    </row>
    <row r="51" spans="1:29">
      <c r="A51" s="2485"/>
      <c r="B51" s="3149" t="s">
        <v>3440</v>
      </c>
      <c r="C51" s="2485">
        <v>26607</v>
      </c>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2.0004156707887244E-2</v>
      </c>
      <c r="F53" s="435" t="str">
        <f>IF(OR(E53&gt;=0.3,E53&lt;=-0.3),"超过30%","")</f>
        <v/>
      </c>
      <c r="G53" s="434">
        <f>IF(G48&lt;G49,G49/G48-1,G48/G49-1)</f>
        <v>2.0000890908280944E-2</v>
      </c>
      <c r="H53" s="435" t="str">
        <f>IF(OR(G53&gt;=0.3,G53&lt;=-0.3),"超过30%","")</f>
        <v/>
      </c>
      <c r="I53" s="434">
        <f>IF(I48&lt;I49,I49/I48-1,I48/I49-1)</f>
        <v>2.0011657276083117E-2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0.16642419203990433</v>
      </c>
      <c r="F54" s="435" t="str">
        <f>IF(OR(E54&gt;=0.2,E54&lt;=-0.2),"超过20%","")</f>
        <v/>
      </c>
      <c r="G54" s="434">
        <f>IF(G49&lt;I49,I49/G49-1,G49/I49-1)</f>
        <v>9.0392461628132859E-2</v>
      </c>
      <c r="H54" s="435" t="str">
        <f>IF(OR(G54&gt;=0.2,G54&lt;=-0.2),"超过20%","")</f>
        <v/>
      </c>
      <c r="I54" s="434">
        <f>IF(I49&lt;E49,E49/I49-1,I49/E49-1)</f>
        <v>6.9728774810350114E-2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0.16642045743976364</v>
      </c>
      <c r="F55" s="435" t="str">
        <f>IF(OR(E55&gt;=0.3,E55&lt;=-0.3),"超过30%","")</f>
        <v/>
      </c>
      <c r="G55" s="434">
        <f>IF(G48&lt;I48,I48/G48-1,G48/I48-1)</f>
        <v>9.0380952380952451E-2</v>
      </c>
      <c r="H55" s="435" t="str">
        <f>IF(OR(G55&gt;=0.3,G55&lt;=-0.3),"超过30%","")</f>
        <v/>
      </c>
      <c r="I55" s="434">
        <f>IF(I48&lt;E48,E48/I48-1,I48/E48-1)</f>
        <v>6.9736641026947099E-2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7" t="s">
        <v>1798</v>
      </c>
      <c r="B58" s="385"/>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2024-6</v>
      </c>
      <c r="D59" s="1104">
        <f>EDATE(C59,-1)</f>
        <v>45413</v>
      </c>
      <c r="E59" s="1104">
        <f>EDATE(D59,-1)</f>
        <v>45383</v>
      </c>
      <c r="F59" s="1104">
        <f t="shared" ref="F59:O59" si="16">EDATE(E59,-1)</f>
        <v>45352</v>
      </c>
      <c r="G59" s="1104">
        <f t="shared" si="16"/>
        <v>45323</v>
      </c>
      <c r="H59" s="1104">
        <f t="shared" si="16"/>
        <v>45292</v>
      </c>
      <c r="I59" s="1104">
        <f t="shared" si="16"/>
        <v>45261</v>
      </c>
      <c r="J59" s="1104">
        <f t="shared" si="16"/>
        <v>45231</v>
      </c>
      <c r="K59" s="1104">
        <f t="shared" si="16"/>
        <v>45200</v>
      </c>
      <c r="L59" s="1104">
        <f t="shared" si="16"/>
        <v>45170</v>
      </c>
      <c r="M59" s="1104">
        <f t="shared" si="16"/>
        <v>45139</v>
      </c>
      <c r="N59" s="1104">
        <f t="shared" si="16"/>
        <v>45108</v>
      </c>
      <c r="O59" s="1104">
        <f t="shared" si="16"/>
        <v>45078</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45" t="s">
        <v>3471</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0（含）-1</v>
      </c>
      <c r="D68" s="478" t="str">
        <f t="shared" ref="D68:L68" si="17">D69&amp;"（含）"&amp;"-"&amp;E69</f>
        <v>1（含）-2</v>
      </c>
      <c r="E68" s="478" t="str">
        <f t="shared" si="17"/>
        <v>2（含）-3</v>
      </c>
      <c r="F68" s="478" t="str">
        <f t="shared" si="17"/>
        <v>3（含）-4</v>
      </c>
      <c r="G68" s="478" t="str">
        <f t="shared" si="17"/>
        <v>4（含）-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1</v>
      </c>
      <c r="E69" s="480">
        <v>2</v>
      </c>
      <c r="F69" s="480">
        <v>3</v>
      </c>
      <c r="G69" s="480">
        <v>4</v>
      </c>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98</v>
      </c>
      <c r="E84" s="475">
        <f>D84-$K21</f>
        <v>96</v>
      </c>
      <c r="F84" s="475">
        <f>E84-$K21</f>
        <v>94</v>
      </c>
      <c r="G84" s="475">
        <f>F84-$K21</f>
        <v>92</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97</v>
      </c>
      <c r="E86" s="475">
        <f>D86-$K23</f>
        <v>94</v>
      </c>
      <c r="F86" s="475">
        <f>E86-$K23</f>
        <v>91</v>
      </c>
      <c r="G86" s="475">
        <f>F86-$K23</f>
        <v>88</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3146" t="s">
        <v>3405</v>
      </c>
      <c r="D89" s="3146" t="s">
        <v>3407</v>
      </c>
      <c r="E89" s="3146" t="s">
        <v>3409</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47" t="s">
        <v>3411</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0(含)-200</v>
      </c>
      <c r="D103" s="509" t="str">
        <f t="shared" ref="D103:L103" si="23">D104&amp;"(含)"&amp;"-"&amp;E104</f>
        <v>200(含)-400</v>
      </c>
      <c r="E103" s="509" t="str">
        <f t="shared" si="23"/>
        <v>400(含)-600</v>
      </c>
      <c r="F103" s="509" t="str">
        <f t="shared" si="23"/>
        <v>600(含)-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200</v>
      </c>
      <c r="E104" s="6">
        <v>400</v>
      </c>
      <c r="F104" s="6">
        <v>600</v>
      </c>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v>100</v>
      </c>
      <c r="D105" s="467">
        <v>99</v>
      </c>
      <c r="E105" s="467">
        <v>98</v>
      </c>
      <c r="F105" s="467">
        <v>97</v>
      </c>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46" t="s">
        <v>3412</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46" t="s">
        <v>3414</v>
      </c>
      <c r="D108" s="3146" t="s">
        <v>3415</v>
      </c>
      <c r="E108" s="3146" t="s">
        <v>3416</v>
      </c>
      <c r="F108" s="3148" t="s">
        <v>3417</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46" t="s">
        <v>3418</v>
      </c>
      <c r="D113" s="3146" t="s">
        <v>3419</v>
      </c>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46" t="s">
        <v>3420</v>
      </c>
      <c r="D115" s="3146" t="s">
        <v>3421</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46" t="s">
        <v>3423</v>
      </c>
      <c r="D117" s="3146" t="s">
        <v>3425</v>
      </c>
      <c r="E117" s="3146" t="s">
        <v>3426</v>
      </c>
      <c r="F117" s="3146" t="s">
        <v>3427</v>
      </c>
      <c r="G117" s="3146" t="s">
        <v>3428</v>
      </c>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48" t="s">
        <v>3430</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46" t="s">
        <v>3414</v>
      </c>
      <c r="D123" s="3146" t="s">
        <v>3415</v>
      </c>
      <c r="E123" s="3146" t="s">
        <v>3416</v>
      </c>
      <c r="F123" s="3148" t="s">
        <v>3417</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t="str">
        <f>B46</f>
        <v>建成年代</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1" priority="16" stopIfTrue="1">
      <formula>$F$53="超过30%"</formula>
    </cfRule>
  </conditionalFormatting>
  <conditionalFormatting sqref="E54">
    <cfRule type="expression" dxfId="120" priority="15" stopIfTrue="1">
      <formula>$F$54="超过20%"</formula>
    </cfRule>
  </conditionalFormatting>
  <conditionalFormatting sqref="E55">
    <cfRule type="expression" dxfId="119" priority="14" stopIfTrue="1">
      <formula>$F$55="超过30%"</formula>
    </cfRule>
  </conditionalFormatting>
  <conditionalFormatting sqref="F7:F47 H7:H47 J7:J47">
    <cfRule type="cellIs" dxfId="118" priority="1" operator="notEqual">
      <formula>100</formula>
    </cfRule>
  </conditionalFormatting>
  <conditionalFormatting sqref="F49">
    <cfRule type="expression" dxfId="117" priority="4">
      <formula>$D$49="简单平均"</formula>
    </cfRule>
  </conditionalFormatting>
  <conditionalFormatting sqref="F53:F55 H53:H55">
    <cfRule type="containsText" dxfId="116" priority="17" stopIfTrue="1" operator="containsText" text="超过">
      <formula>NOT(ISERROR(SEARCH("超过",F53)))</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G55">
    <cfRule type="expression" dxfId="113" priority="13" stopIfTrue="1">
      <formula>$H$55="超过30%"</formula>
    </cfRule>
  </conditionalFormatting>
  <conditionalFormatting sqref="H49">
    <cfRule type="expression" dxfId="112" priority="3">
      <formula>$D$49="简单平均"</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J49">
    <cfRule type="expression" dxfId="108" priority="2">
      <formula>$D$49="简单平均"</formula>
    </cfRule>
  </conditionalFormatting>
  <conditionalFormatting sqref="J53:J55">
    <cfRule type="containsText" dxfId="107"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10" sqref="C10"/>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248.7655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26431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1518784.8</v>
      </c>
      <c r="D5" s="203" t="s">
        <v>1469</v>
      </c>
      <c r="E5" s="204" t="s">
        <v>1470</v>
      </c>
      <c r="F5" s="204" t="s">
        <v>1471</v>
      </c>
      <c r="G5" s="205"/>
    </row>
    <row r="6" spans="1:8" s="206" customFormat="1" ht="13.5" customHeight="1">
      <c r="A6" s="731" t="s">
        <v>1472</v>
      </c>
      <c r="B6" s="207" t="s">
        <v>1473</v>
      </c>
      <c r="C6" s="208">
        <f>基准地价修正!C33*基准地价修正!D33</f>
        <v>1455565.8</v>
      </c>
      <c r="D6" s="209"/>
      <c r="E6" s="210"/>
      <c r="F6" s="210"/>
      <c r="G6" s="211"/>
    </row>
    <row r="7" spans="1:8" s="206" customFormat="1" ht="13.5" customHeight="1">
      <c r="A7" s="731" t="s">
        <v>1474</v>
      </c>
      <c r="B7" s="207" t="s">
        <v>1475</v>
      </c>
      <c r="C7" s="212">
        <f>ROUND(C6*F7,0)</f>
        <v>44395</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18824</v>
      </c>
      <c r="D8" s="214"/>
      <c r="E8" s="212"/>
      <c r="F8" s="213"/>
      <c r="G8" s="1714" t="s">
        <v>3462</v>
      </c>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18824</v>
      </c>
      <c r="D10" s="794">
        <f ca="1">IF(B1="",'数据-汇总表'!E6,IF(INDIRECT("'数据-取费表'!c"&amp;$G$1)="住宅",INDIRECT("'数据-取费表'!s"&amp;$G$1),INDIRECT("'数据-取费表'!k"&amp;$G$1)+INDIRECT("'数据-取费表'!s"&amp;$G$1)))</f>
        <v>94.12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94.12</v>
      </c>
      <c r="E19" s="203">
        <f>'数据-取费表'!B31</f>
        <v>200</v>
      </c>
      <c r="F19" s="223"/>
      <c r="G19" s="1714" t="s">
        <v>3463</v>
      </c>
    </row>
    <row r="20" spans="1:7" s="206" customFormat="1" ht="13.5" customHeight="1">
      <c r="A20" s="247" t="s">
        <v>1574</v>
      </c>
      <c r="B20" s="202" t="s">
        <v>1575</v>
      </c>
      <c r="C20" s="224">
        <f ca="1">ROUND((C5+C19)*F20,0)</f>
        <v>30376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107652</v>
      </c>
      <c r="D22" s="227">
        <f ca="1">C26</f>
        <v>6.9999999999999999E-4</v>
      </c>
      <c r="E22" s="228" t="s">
        <v>1579</v>
      </c>
      <c r="F22" s="229">
        <f ca="1">'数据-取费表'!B40</f>
        <v>3.4500000000000003E-2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106604</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1048</v>
      </c>
      <c r="D25" s="230"/>
      <c r="E25" s="233"/>
      <c r="F25" s="231"/>
      <c r="G25" s="234" t="s">
        <v>1588</v>
      </c>
    </row>
    <row r="26" spans="1:7" s="206" customFormat="1">
      <c r="A26" s="733"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232374</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ROUND((C5+C19+C20)*F27,0)</f>
        <v>232374</v>
      </c>
      <c r="D28" s="227"/>
      <c r="E28" s="228"/>
      <c r="F28" s="238"/>
      <c r="G28" s="239"/>
    </row>
    <row r="29" spans="1:7" s="206" customFormat="1" ht="13.5" customHeight="1">
      <c r="A29" s="733"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2046790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467777</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423540</v>
      </c>
      <c r="D34" s="209"/>
      <c r="E34" s="212"/>
      <c r="F34" s="249"/>
      <c r="G34" s="211"/>
    </row>
    <row r="35" spans="1:7" ht="13.5" customHeight="1">
      <c r="A35" s="733" t="s">
        <v>351</v>
      </c>
      <c r="B35" s="207" t="s">
        <v>1527</v>
      </c>
      <c r="C35" s="212">
        <f ca="1">ROUND(C34*F35,0)</f>
        <v>16942</v>
      </c>
      <c r="D35" s="212"/>
      <c r="E35" s="212"/>
      <c r="F35" s="251">
        <f>'数据-取费表'!B33</f>
        <v>0.04</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18824</v>
      </c>
      <c r="D37" s="209">
        <f ca="1">D19</f>
        <v>94.12</v>
      </c>
      <c r="E37" s="241">
        <f>'数据-取费表'!B35</f>
        <v>200</v>
      </c>
      <c r="F37" s="251"/>
      <c r="G37" s="253"/>
    </row>
    <row r="38" spans="1:7" ht="13.5" customHeight="1">
      <c r="A38" s="733" t="s">
        <v>354</v>
      </c>
      <c r="B38" s="207" t="s">
        <v>1533</v>
      </c>
      <c r="C38" s="212">
        <f ca="1">ROUND(C34*F38,0)</f>
        <v>8471</v>
      </c>
      <c r="D38" s="212"/>
      <c r="E38" s="212"/>
      <c r="F38" s="251">
        <f>'数据-取费表'!B36</f>
        <v>0.02</v>
      </c>
      <c r="G38" s="211" t="s">
        <v>1528</v>
      </c>
    </row>
    <row r="39" spans="1:7" s="206" customFormat="1" ht="13.5" customHeight="1">
      <c r="A39" s="247" t="s">
        <v>1534</v>
      </c>
      <c r="B39" s="202" t="s">
        <v>1535</v>
      </c>
      <c r="C39" s="224">
        <f ca="1">ROUND(C33*F20,0)</f>
        <v>9356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16461</v>
      </c>
      <c r="D41" s="227">
        <f ca="1">C44</f>
        <v>6.9999999999999999E-4</v>
      </c>
      <c r="E41" s="228" t="s">
        <v>1539</v>
      </c>
      <c r="F41" s="229">
        <f ca="1">F22</f>
        <v>3.4500000000000003E-2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16138</v>
      </c>
      <c r="D42" s="230"/>
      <c r="E42" s="230"/>
      <c r="F42" s="231"/>
      <c r="G42" s="3342" t="s">
        <v>1591</v>
      </c>
    </row>
    <row r="43" spans="1:7" ht="13.5" customHeight="1">
      <c r="A43" s="733" t="s">
        <v>347</v>
      </c>
      <c r="B43" s="207" t="s">
        <v>1545</v>
      </c>
      <c r="C43" s="230">
        <f ca="1">ROUND(IF('数据-取费表'!B22&lt;=1,C39*F22*'数据-取费表'!B20/2,C39*(POWER((1+F22),'数据-取费表'!B20/2)-1)),0)</f>
        <v>323</v>
      </c>
      <c r="D43" s="230"/>
      <c r="E43" s="230"/>
      <c r="F43" s="231"/>
      <c r="G43" s="3343"/>
    </row>
    <row r="44" spans="1:7" ht="13.5" customHeight="1">
      <c r="A44" s="733" t="s">
        <v>348</v>
      </c>
      <c r="B44" s="207" t="s">
        <v>1546</v>
      </c>
      <c r="C44" s="230">
        <f ca="1">ROUND(IF('数据-取费表'!B22&lt;=1,C40*F22*'数据-取费表'!B20/2,C40*(POWER((1+F22),'数据-取费表'!B20/2)-1)),4)</f>
        <v>6.9999999999999999E-4</v>
      </c>
      <c r="D44" s="230"/>
      <c r="E44" s="230"/>
      <c r="F44" s="231"/>
      <c r="G44" s="3344"/>
    </row>
    <row r="45" spans="1:7" s="206" customFormat="1" ht="13.5" customHeight="1">
      <c r="A45" s="247" t="s">
        <v>1547</v>
      </c>
      <c r="B45" s="236" t="s">
        <v>1513</v>
      </c>
      <c r="C45" s="237">
        <f ca="1">C46</f>
        <v>71570</v>
      </c>
      <c r="D45" s="227">
        <f ca="1">C47</f>
        <v>3.0000000000000001E-3</v>
      </c>
      <c r="E45" s="228" t="s">
        <v>1539</v>
      </c>
      <c r="F45" s="238">
        <f ca="1">F27</f>
        <v>0.15</v>
      </c>
      <c r="G45" s="239" t="s">
        <v>1548</v>
      </c>
    </row>
    <row r="46" spans="1:7" s="206" customFormat="1" ht="13.5" customHeight="1">
      <c r="A46" s="733" t="s">
        <v>346</v>
      </c>
      <c r="B46" s="240" t="s">
        <v>1549</v>
      </c>
      <c r="C46" s="241">
        <f ca="1">ROUND((C33+C39)*F27,0)</f>
        <v>71570</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612312</v>
      </c>
      <c r="D49" s="224"/>
      <c r="E49" s="224"/>
      <c r="F49" s="256"/>
      <c r="G49" s="226" t="s">
        <v>1554</v>
      </c>
    </row>
    <row r="50" spans="1:7" s="250" customFormat="1">
      <c r="A50" s="247" t="s">
        <v>1555</v>
      </c>
      <c r="B50" s="202" t="s">
        <v>1556</v>
      </c>
      <c r="C50" s="224"/>
      <c r="D50" s="224"/>
      <c r="E50" s="224"/>
      <c r="F50" s="256">
        <f>IF('数据-取费表'!B24=0,'数据-取费表'!N16,1)</f>
        <v>0.72</v>
      </c>
      <c r="G50" s="239"/>
    </row>
    <row r="51" spans="1:7" ht="16.5" customHeight="1">
      <c r="A51" s="247" t="s">
        <v>1558</v>
      </c>
      <c r="B51" s="202" t="s">
        <v>1593</v>
      </c>
      <c r="C51" s="224">
        <f ca="1">ROUND(C49*F50,0)</f>
        <v>440865</v>
      </c>
      <c r="D51" s="224"/>
      <c r="E51" s="224"/>
      <c r="F51" s="256"/>
      <c r="G51" s="226" t="s">
        <v>1560</v>
      </c>
    </row>
    <row r="52" spans="1:7" s="200" customFormat="1" ht="16.5" thickBot="1">
      <c r="A52" s="257" t="s">
        <v>1561</v>
      </c>
      <c r="B52" s="258"/>
      <c r="C52" s="259">
        <f ca="1">C31+C51</f>
        <v>2487655</v>
      </c>
      <c r="D52" s="258"/>
      <c r="E52" s="258"/>
      <c r="F52" s="258"/>
      <c r="G52" s="260"/>
    </row>
    <row r="55" spans="1:7" ht="15">
      <c r="B55" s="262" t="s">
        <v>1562</v>
      </c>
      <c r="C55" s="263"/>
    </row>
    <row r="56" spans="1:7">
      <c r="B56" s="265" t="s">
        <v>802</v>
      </c>
      <c r="C56" s="267">
        <f ca="1">1-C57</f>
        <v>0.82299999999999995</v>
      </c>
    </row>
    <row r="57" spans="1:7">
      <c r="B57" s="265" t="s">
        <v>803</v>
      </c>
      <c r="C57" s="266">
        <f ca="1">ROUND(C51/C52,3)</f>
        <v>0.17699999999999999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zoomScaleSheetLayoutView="100" workbookViewId="0">
      <selection activeCell="C69" sqref="C69"/>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94.12</v>
      </c>
      <c r="E1" s="1842"/>
      <c r="F1" s="1842"/>
      <c r="G1" s="1842"/>
      <c r="H1" s="1842"/>
      <c r="I1" s="1842"/>
      <c r="J1" s="1842"/>
      <c r="K1" s="1056"/>
      <c r="L1" s="1843" t="s">
        <v>1928</v>
      </c>
      <c r="M1" s="809">
        <f>SUMPRODUCT((区片价!B5:B9=I2)*(区片价!C3:G3=E2)*(区片价!C5:G9))</f>
        <v>0</v>
      </c>
      <c r="N1" s="812">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146</v>
      </c>
      <c r="C2" s="1846" t="s">
        <v>1935</v>
      </c>
      <c r="D2" s="162" t="s">
        <v>1936</v>
      </c>
      <c r="E2" s="3118" t="s">
        <v>21</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Ⅲ—17</v>
      </c>
      <c r="J2" s="1842"/>
      <c r="K2" s="1056"/>
      <c r="L2" s="1847" t="s">
        <v>1939</v>
      </c>
      <c r="M2" s="810">
        <f>SUMPRODUCT((区片价!B10:B29=I2)*(区片价!C3:G3=E2)*(区片价!C10:G29))</f>
        <v>0</v>
      </c>
      <c r="N2" s="812">
        <f>SUMPRODUCT((因素修正幅度!B10:B29=I2)*(因素修正幅度!C3:G3=E2)*(因素修正幅度!C10:G29))</f>
        <v>0</v>
      </c>
      <c r="O2" s="1056"/>
      <c r="P2" s="1056"/>
      <c r="Q2" s="1056"/>
      <c r="R2" s="1129">
        <v>1</v>
      </c>
      <c r="S2" s="3061">
        <f>ROUND(SUMPRODUCT((B106:B110=R2)*(C105:N105=G2)*(C106:N110)),4)</f>
        <v>1.5019</v>
      </c>
      <c r="T2" s="3061">
        <f t="shared" ref="T2:T16" si="0">ROUND($C$5*$C$22*$C$23*$C$24*S2*$C$28,0)</f>
        <v>25402</v>
      </c>
      <c r="U2" s="1130"/>
      <c r="V2" s="3061">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15512</v>
      </c>
      <c r="C3" s="1846" t="s">
        <v>1941</v>
      </c>
      <c r="D3" s="162" t="s">
        <v>1942</v>
      </c>
      <c r="E3" s="3116" t="s">
        <v>3451</v>
      </c>
      <c r="F3" s="1848" t="s">
        <v>3452</v>
      </c>
      <c r="G3" s="707">
        <f>IF(F3="宗地容积率",'数据-汇总表'!I4,IF(F3="估价对象容积率",'数据-汇总表'!I6,'数据-汇总表'!I7))</f>
        <v>4.1399999999999997</v>
      </c>
      <c r="H3" s="162" t="s">
        <v>1943</v>
      </c>
      <c r="I3" s="728"/>
      <c r="J3" s="1842" t="s">
        <v>1944</v>
      </c>
      <c r="K3" s="1056"/>
      <c r="L3" s="1847" t="s">
        <v>1945</v>
      </c>
      <c r="M3" s="810">
        <f>SUMPRODUCT((区片价!B30:B54=I2)*(区片价!C3:G3=E2)*(区片价!C30:G54))</f>
        <v>23000</v>
      </c>
      <c r="N3" s="812">
        <f>SUMPRODUCT((因素修正幅度!B30:B54=I2)*(因素修正幅度!C3:G3=E2)*(因素修正幅度!C30:G54))</f>
        <v>9.9000000000000005E-2</v>
      </c>
      <c r="O3" s="1056"/>
      <c r="P3" s="1056"/>
      <c r="Q3" s="1056"/>
      <c r="R3" s="1129">
        <v>2</v>
      </c>
      <c r="S3" s="3061">
        <f>ROUND(SUMPRODUCT((B106:B110=R3)*(C105:N105=G2)*(C106:N110)),4)</f>
        <v>1.1838</v>
      </c>
      <c r="T3" s="3061">
        <f t="shared" si="0"/>
        <v>20022</v>
      </c>
      <c r="U3" s="1130"/>
      <c r="V3" s="3061">
        <f t="shared" ref="V3:V16" si="1">ROUND(T3*U3/10000,0)</f>
        <v>0</v>
      </c>
      <c r="W3" s="1133"/>
      <c r="X3" s="1133"/>
      <c r="Y3" s="1133"/>
      <c r="Z3" s="1133"/>
      <c r="AA3" s="1133"/>
      <c r="AB3" s="1133"/>
      <c r="AC3" s="1134"/>
      <c r="AD3" s="1135"/>
      <c r="AE3" s="1135"/>
      <c r="AF3" s="1135"/>
      <c r="AG3" s="1135"/>
      <c r="AH3" s="1135"/>
      <c r="AI3" s="1135"/>
      <c r="AJ3" s="1136"/>
    </row>
    <row r="4" spans="1:36" ht="15.75">
      <c r="A4" s="3407"/>
      <c r="B4" s="3408"/>
      <c r="C4" s="3408"/>
      <c r="D4" s="3409"/>
      <c r="E4" s="3409"/>
      <c r="F4" s="3409"/>
      <c r="G4" s="3409"/>
      <c r="H4" s="3409"/>
      <c r="I4" s="3409"/>
      <c r="J4" s="3410"/>
      <c r="K4" s="1056"/>
      <c r="L4" s="1847" t="s">
        <v>1946</v>
      </c>
      <c r="M4" s="810">
        <f>SUMPRODUCT((区片价!B55:B86=I2)*(区片价!C3:G3=E2)*(区片价!C55:G86))</f>
        <v>0</v>
      </c>
      <c r="N4" s="812">
        <f>SUMPRODUCT((因素修正幅度!B55:B86=I2)*(因素修正幅度!C3:G3=E2)*(因素修正幅度!C55:G86))</f>
        <v>0</v>
      </c>
      <c r="O4" s="1056"/>
      <c r="P4" s="1056"/>
      <c r="Q4" s="1056"/>
      <c r="R4" s="1129">
        <v>3</v>
      </c>
      <c r="S4" s="3061">
        <f>ROUND(SUMPRODUCT((B106:B110=R4)*(C105:N105=G2)*(C106:N110)),4)</f>
        <v>1.0004999999999999</v>
      </c>
      <c r="T4" s="3061">
        <f t="shared" si="0"/>
        <v>16921</v>
      </c>
      <c r="U4" s="1130"/>
      <c r="V4" s="3061">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8">
        <f>ROUND(IF(E2="商业",C6*C7*C17+C20,(IF(E2="住宅",C6*C13*C17+C20,IF(E2="办公",C6*C12*C17+C20,C6+C20)))),0)</f>
        <v>22984</v>
      </c>
      <c r="D5" s="1252">
        <f>ROUND(C6*C17+C20,0)</f>
        <v>22984</v>
      </c>
      <c r="E5" s="1252"/>
      <c r="F5" s="1851"/>
      <c r="G5" s="1852"/>
      <c r="H5" s="1852"/>
      <c r="I5" s="1852"/>
      <c r="J5" s="1853"/>
      <c r="K5" s="1854"/>
      <c r="L5" s="1847" t="s">
        <v>1948</v>
      </c>
      <c r="M5" s="810">
        <f>SUMPRODUCT((区片价!B87:B126=I2)*(区片价!C3:G3=E2)*(区片价!C87:G126))</f>
        <v>0</v>
      </c>
      <c r="N5" s="812">
        <f>SUMPRODUCT((因素修正幅度!B87:B126=I2)*(因素修正幅度!C3:G3=E2)*(因素修正幅度!C87:G126))</f>
        <v>0</v>
      </c>
      <c r="O5" s="1056"/>
      <c r="P5" s="1056"/>
      <c r="Q5" s="1056"/>
      <c r="R5" s="1129">
        <v>4</v>
      </c>
      <c r="S5" s="3061">
        <f>ROUND(SUMPRODUCT((B106:B110=R5)*(C105:N105=G2)*(C106:N110)),4)</f>
        <v>0.88239999999999996</v>
      </c>
      <c r="T5" s="3061">
        <f t="shared" si="0"/>
        <v>14924</v>
      </c>
      <c r="U5" s="1130"/>
      <c r="V5" s="3061">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09">
        <f>SUMIF(L1:L12,G2,M1:M12)</f>
        <v>23000</v>
      </c>
      <c r="D6" s="1861"/>
      <c r="E6" s="1862"/>
      <c r="F6" s="1862"/>
      <c r="G6" s="1863"/>
      <c r="H6" s="1863"/>
      <c r="I6" s="1863"/>
      <c r="J6" s="1864"/>
      <c r="K6" s="1292"/>
      <c r="L6" s="1847" t="s">
        <v>1951</v>
      </c>
      <c r="M6" s="810">
        <f>SUMPRODUCT((区片价!B127:B189=I2)*(区片价!C3:G3=E2)*(区片价!C127:G189))</f>
        <v>0</v>
      </c>
      <c r="N6" s="812">
        <f>SUMPRODUCT((因素修正幅度!B127:B189=I2)*(因素修正幅度!C3:G3=E2)*(因素修正幅度!C127:G189))</f>
        <v>0</v>
      </c>
      <c r="O6" s="1056"/>
      <c r="P6" s="1056"/>
      <c r="Q6" s="1056"/>
      <c r="R6" s="1129">
        <v>5</v>
      </c>
      <c r="S6" s="3061">
        <f>ROUND(SUMPRODUCT((B106:B110=R6)*(C105:N105=G2)*(C106:N110)),4)</f>
        <v>0.84799999999999998</v>
      </c>
      <c r="T6" s="3061">
        <f t="shared" si="0"/>
        <v>14342</v>
      </c>
      <c r="U6" s="1130"/>
      <c r="V6" s="3061">
        <f t="shared" si="1"/>
        <v>0</v>
      </c>
      <c r="W6" s="1133"/>
      <c r="X6" s="1133"/>
      <c r="Y6" s="1133"/>
      <c r="Z6" s="1133"/>
      <c r="AA6" s="1133"/>
      <c r="AB6" s="1133"/>
      <c r="AC6" s="1855"/>
      <c r="AD6" s="1856"/>
      <c r="AE6" s="1856"/>
      <c r="AF6" s="1856"/>
      <c r="AG6" s="1856"/>
      <c r="AH6" s="1856"/>
      <c r="AI6" s="1856"/>
      <c r="AJ6" s="1857"/>
    </row>
    <row r="7" spans="1:36" ht="24.75" thickBot="1">
      <c r="A7" s="3010" t="s">
        <v>3239</v>
      </c>
      <c r="B7" s="1865" t="s">
        <v>1952</v>
      </c>
      <c r="C7" s="710">
        <f>IF(C8="不临65条商业街",1,ROUND(1+(1.6*E8+1.2*E9+0.8*E10+0.4*E11)*C9,4))</f>
        <v>1</v>
      </c>
      <c r="D7" s="1866" t="s">
        <v>1953</v>
      </c>
      <c r="E7" s="729"/>
      <c r="F7" s="1867"/>
      <c r="G7" s="1868"/>
      <c r="H7" s="1868"/>
      <c r="I7" s="1868"/>
      <c r="J7" s="1869"/>
      <c r="K7" s="1292"/>
      <c r="L7" s="1847" t="s">
        <v>1954</v>
      </c>
      <c r="M7" s="810">
        <f>SUMPRODUCT((区片价!B190:B233=I2)*(区片价!C3:G3=E2)*(区片价!C190:G233))</f>
        <v>0</v>
      </c>
      <c r="N7" s="812">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三级</v>
      </c>
      <c r="Y7" s="1131" t="s">
        <v>1956</v>
      </c>
      <c r="Z7" s="1132">
        <f>G3</f>
        <v>4.1399999999999997</v>
      </c>
      <c r="AA7" s="1133"/>
      <c r="AB7" s="1133"/>
      <c r="AC7" s="1134"/>
      <c r="AD7" s="1135"/>
      <c r="AE7" s="1135"/>
      <c r="AF7" s="1135"/>
      <c r="AG7" s="1135"/>
      <c r="AH7" s="1135"/>
      <c r="AI7" s="1135"/>
      <c r="AJ7" s="1136"/>
    </row>
    <row r="8" spans="1:36" ht="25.5">
      <c r="A8" s="3007"/>
      <c r="B8" s="162" t="s">
        <v>1957</v>
      </c>
      <c r="C8" s="1870" t="s">
        <v>3453</v>
      </c>
      <c r="D8" s="711" t="s">
        <v>112</v>
      </c>
      <c r="E8" s="712" t="e">
        <f>ROUND(C11/E7,4)</f>
        <v>#DIV/0!</v>
      </c>
      <c r="F8" s="1871" t="s">
        <v>1958</v>
      </c>
      <c r="G8" s="1872"/>
      <c r="H8" s="1872"/>
      <c r="I8" s="1872"/>
      <c r="J8" s="1873"/>
      <c r="K8" s="1056"/>
      <c r="L8" s="1847" t="s">
        <v>1959</v>
      </c>
      <c r="M8" s="810">
        <f>SUMPRODUCT((区片价!B234:B276=I2)*(区片价!C3:G3=E2)*(区片价!C234:G276))</f>
        <v>0</v>
      </c>
      <c r="N8" s="812">
        <f>SUMPRODUCT((因素修正幅度!B234:B276=I2)*(因素修正幅度!C3:G3=E2)*(因素修正幅度!C234:G276))</f>
        <v>0</v>
      </c>
      <c r="O8" s="1056"/>
      <c r="P8" s="1056"/>
      <c r="Q8" s="1056"/>
      <c r="R8" s="1129">
        <v>7</v>
      </c>
      <c r="S8" s="1130"/>
      <c r="T8" s="3061">
        <f t="shared" si="0"/>
        <v>0</v>
      </c>
      <c r="U8" s="1130"/>
      <c r="V8" s="3061">
        <f t="shared" si="1"/>
        <v>0</v>
      </c>
      <c r="W8" s="3404" t="s">
        <v>1960</v>
      </c>
      <c r="X8" s="340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3">
        <f>SUMIF(修正!C71:C138,C8,修正!E71:E138)</f>
        <v>0</v>
      </c>
      <c r="D9" s="163" t="s">
        <v>113</v>
      </c>
      <c r="E9" s="163" t="e">
        <f>ROUND(C11/E7,4)</f>
        <v>#DIV/0!</v>
      </c>
      <c r="F9" s="1871" t="s">
        <v>1974</v>
      </c>
      <c r="G9" s="1872"/>
      <c r="H9" s="1872"/>
      <c r="I9" s="1872"/>
      <c r="J9" s="1873"/>
      <c r="K9" s="1056"/>
      <c r="L9" s="1847" t="s">
        <v>1975</v>
      </c>
      <c r="M9" s="810">
        <f>SUMPRODUCT((区片价!B277:B326=I2)*(区片价!C3:G3=E2)*(区片价!C277:G326))</f>
        <v>0</v>
      </c>
      <c r="N9" s="812">
        <f>SUMPRODUCT((因素修正幅度!B277:B326=I2)*(因素修正幅度!C3:G3=E2)*(因素修正幅度!C277:G326))</f>
        <v>0</v>
      </c>
      <c r="O9" s="1056"/>
      <c r="P9" s="1056"/>
      <c r="Q9" s="1056"/>
      <c r="R9" s="1129">
        <v>8</v>
      </c>
      <c r="S9" s="1130"/>
      <c r="T9" s="3061">
        <f t="shared" si="0"/>
        <v>0</v>
      </c>
      <c r="U9" s="1130"/>
      <c r="V9" s="3061">
        <f t="shared" si="1"/>
        <v>0</v>
      </c>
      <c r="W9" s="3406"/>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0">
        <f>SUMPRODUCT((区片价!B327:B357=I2)*(区片价!C3:G3=E2)*(区片价!C327:G357))</f>
        <v>0</v>
      </c>
      <c r="N10" s="812">
        <f>SUMPRODUCT((因素修正幅度!B327:B357=I2)*(因素修正幅度!C3:G3=E2)*(因素修正幅度!C327:G357))</f>
        <v>0</v>
      </c>
      <c r="O10" s="1056"/>
      <c r="P10" s="1056"/>
      <c r="Q10" s="1056"/>
      <c r="R10" s="1129">
        <v>9</v>
      </c>
      <c r="S10" s="1130"/>
      <c r="T10" s="3061">
        <f t="shared" si="0"/>
        <v>0</v>
      </c>
      <c r="U10" s="1130"/>
      <c r="V10" s="3061">
        <f t="shared" si="1"/>
        <v>0</v>
      </c>
      <c r="W10" s="3406"/>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4">
        <f>C10/4</f>
        <v>0</v>
      </c>
      <c r="D11" s="714" t="s">
        <v>115</v>
      </c>
      <c r="E11" s="714" t="e">
        <f>ROUND(C11/E7,4)</f>
        <v>#DIV/0!</v>
      </c>
      <c r="F11" s="1875" t="s">
        <v>1980</v>
      </c>
      <c r="G11" s="1876"/>
      <c r="H11" s="1876"/>
      <c r="I11" s="1876"/>
      <c r="J11" s="1877"/>
      <c r="K11" s="1056"/>
      <c r="L11" s="1847" t="s">
        <v>1981</v>
      </c>
      <c r="M11" s="810">
        <f>SUMPRODUCT((区片价!B358:B377=I2)*(区片价!C3:G3=E2)*(区片价!C358:G377))</f>
        <v>0</v>
      </c>
      <c r="N11" s="812">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5" thickBot="1">
      <c r="A12" s="3010" t="s">
        <v>3240</v>
      </c>
      <c r="B12" s="3011" t="s">
        <v>3241</v>
      </c>
      <c r="C12" s="3012">
        <v>1</v>
      </c>
      <c r="D12" s="3013" t="s">
        <v>3242</v>
      </c>
      <c r="E12" s="3014" t="s">
        <v>3243</v>
      </c>
      <c r="F12" s="3015"/>
      <c r="G12" s="3016"/>
      <c r="H12" s="3016"/>
      <c r="I12" s="3016"/>
      <c r="J12" s="3017"/>
      <c r="K12" s="1056"/>
      <c r="L12" s="1796" t="s">
        <v>1984</v>
      </c>
      <c r="M12" s="811">
        <f>SUMPRODUCT((区片价!B378:B384=I2)*(区片价!C3:G3=E2)*(区片价!C378:G384))</f>
        <v>0</v>
      </c>
      <c r="N12" s="812">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15.75" thickBot="1">
      <c r="A13" s="3010" t="s">
        <v>3244</v>
      </c>
      <c r="B13" s="1878" t="s">
        <v>1982</v>
      </c>
      <c r="C13" s="710">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3245</v>
      </c>
      <c r="G14" s="3018" t="s">
        <v>3245</v>
      </c>
      <c r="H14" s="3018" t="s">
        <v>3245</v>
      </c>
      <c r="I14" s="3018" t="s">
        <v>3245</v>
      </c>
      <c r="J14" s="3018" t="s">
        <v>3245</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3246</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c r="A17" s="3033" t="s">
        <v>3247</v>
      </c>
      <c r="B17" s="3025" t="s">
        <v>3248</v>
      </c>
      <c r="C17" s="3034">
        <f>ROUND(IF(OR(E2="工业",E2="公共服务"),1,IF(AND(E18=0,E19=0),1,IF(AND(E18=J24,E19=G19),0.8,IF(E19=0,1+E17*(-0.2),1+E17*G17*(-0.2))))),4)</f>
        <v>1</v>
      </c>
      <c r="D17" s="3026" t="s">
        <v>3249</v>
      </c>
      <c r="E17" s="3034">
        <f>ROUND(G18/I18,2)</f>
        <v>0</v>
      </c>
      <c r="F17" s="3026" t="s">
        <v>3252</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3250</v>
      </c>
      <c r="E18" s="2355"/>
      <c r="F18" s="3028" t="s">
        <v>3253</v>
      </c>
      <c r="G18" s="3032">
        <f>ROUND(1-(1/(POWER(1+G24,E18))),4)</f>
        <v>0</v>
      </c>
      <c r="H18" s="3028" t="s">
        <v>3255</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3251</v>
      </c>
      <c r="E19" s="3041"/>
      <c r="F19" s="3042" t="s">
        <v>3254</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411" t="s">
        <v>3256</v>
      </c>
      <c r="B20" s="159" t="s">
        <v>1994</v>
      </c>
      <c r="C20" s="3029">
        <f>ROUND(IF(F21="与级别开发程度一致",0,(G21-E21)/C21),0)</f>
        <v>-16</v>
      </c>
      <c r="D20" s="3044" t="s">
        <v>1998</v>
      </c>
      <c r="E20" s="3045"/>
      <c r="F20" s="3417" t="s">
        <v>1995</v>
      </c>
      <c r="G20" s="3418"/>
      <c r="H20" s="3030" t="s">
        <v>3455</v>
      </c>
      <c r="I20" s="3030" t="s">
        <v>3456</v>
      </c>
      <c r="J20" s="3031" t="s">
        <v>3457</v>
      </c>
      <c r="K20" s="1889" t="s">
        <v>3458</v>
      </c>
      <c r="L20" s="1889" t="s">
        <v>3459</v>
      </c>
      <c r="M20" s="1889" t="s">
        <v>3460</v>
      </c>
      <c r="N20" s="1889" t="s">
        <v>3461</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6.25" thickBot="1">
      <c r="A21" s="3412"/>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3454</v>
      </c>
      <c r="G21" s="1995">
        <f>SUM(H21:O21)</f>
        <v>275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15</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896" t="s">
        <v>2002</v>
      </c>
      <c r="E23" s="716">
        <v>44197</v>
      </c>
      <c r="F23" s="1896" t="s">
        <v>2003</v>
      </c>
      <c r="G23" s="717">
        <f>'数据-取费表'!B2</f>
        <v>45450</v>
      </c>
      <c r="H23" s="3046" t="s">
        <v>3258</v>
      </c>
      <c r="I23" s="3047" t="str">
        <f>IF(H23="季度增幅（自定义）",SUMIF(N25:N28,E2,O25:O28),"")</f>
        <v/>
      </c>
      <c r="J23" s="3139" t="s">
        <v>3257</v>
      </c>
      <c r="K23" s="1061"/>
      <c r="L23" s="1897" t="s">
        <v>2004</v>
      </c>
      <c r="M23" s="1241">
        <f>ROUND(SUMIF(地价!B2:G2,E2,地价!B16:G16),0)</f>
        <v>350</v>
      </c>
      <c r="N23" s="1898" t="s">
        <v>2005</v>
      </c>
      <c r="O23" s="718">
        <f>ROUNDDOWN(DATEDIF(E23,G23,"M")/3,0)</f>
        <v>13</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19">
        <f>ROUND(POWER(1+G24,J24-I24)*(POWER(1+G24,I24)-1)/(POWER(1+G24,J24)-1),4)</f>
        <v>0.68559999999999999</v>
      </c>
      <c r="D24" s="1902" t="s">
        <v>2007</v>
      </c>
      <c r="E24" s="1248">
        <f>存贷款利率!E24/100</f>
        <v>4.3499999999999997E-2</v>
      </c>
      <c r="F24" s="1902" t="s">
        <v>1999</v>
      </c>
      <c r="G24" s="723">
        <f>SUMIF(M30:Q30,E2,M33:Q33)</f>
        <v>5.5E-2</v>
      </c>
      <c r="H24" s="1902" t="s">
        <v>2008</v>
      </c>
      <c r="I24" s="724">
        <f>SUMIF('数据-取费表'!C6:C15,E2,'数据-取费表'!F6:F15)/COUNTIF('数据-取费表'!C6:C15,E2)</f>
        <v>19</v>
      </c>
      <c r="J24" s="725">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3337</v>
      </c>
      <c r="C25" s="461">
        <f>IF(B25="容积率修正",IF(G3&lt;10,D26,J26),C27)</f>
        <v>0.91439999999999999</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0.91439999999999999</v>
      </c>
      <c r="E26" s="707">
        <f>ROUNDDOWN(G3,1)</f>
        <v>4.0999999999999996</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0.91559999999999997</v>
      </c>
      <c r="G26" s="707">
        <f>ROUNDUP(G3,1)</f>
        <v>4.1999999999999993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0.91269999999999996</v>
      </c>
      <c r="I26" s="1912" t="s">
        <v>3260</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0">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5">
        <f>SUMIF(A47:A101,E2,B47:B101)</f>
        <v>1.0455000000000001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0"/>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146</v>
      </c>
      <c r="D30" s="1925"/>
      <c r="E30" s="1842"/>
      <c r="F30" s="1926"/>
      <c r="G30" s="1842"/>
      <c r="H30" s="1842"/>
      <c r="I30" s="1842"/>
      <c r="J30" s="1927"/>
      <c r="K30" s="1056"/>
      <c r="L30" s="3053" t="s">
        <v>1936</v>
      </c>
      <c r="M30" s="3054" t="s">
        <v>1990</v>
      </c>
      <c r="N30" s="3054" t="s">
        <v>1991</v>
      </c>
      <c r="O30" s="3054" t="s">
        <v>1992</v>
      </c>
      <c r="P30" s="3054" t="s">
        <v>1993</v>
      </c>
      <c r="Q30" s="3057"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1">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15465</v>
      </c>
      <c r="D33" s="1940">
        <f>'数据-汇总表'!E3</f>
        <v>94.12</v>
      </c>
      <c r="E33" s="726">
        <f>ROUND(C33*D33/10000,0)</f>
        <v>146</v>
      </c>
      <c r="F33" s="3048" t="s">
        <v>3262</v>
      </c>
      <c r="G33" s="1941"/>
      <c r="H33" s="1941"/>
      <c r="I33" s="1941"/>
      <c r="J33" s="1942"/>
      <c r="K33" s="1056"/>
      <c r="L33" s="3051" t="s">
        <v>3265</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3866</v>
      </c>
      <c r="D34" s="1945"/>
      <c r="E34" s="726">
        <f>ROUND(IF(B25="楼层修正",SUM(V2:V16)*M40,C34*D34/10000),0)</f>
        <v>0</v>
      </c>
      <c r="F34" s="1946" t="s">
        <v>2032</v>
      </c>
      <c r="G34" s="1947"/>
      <c r="H34" s="1947"/>
      <c r="I34" s="1947"/>
      <c r="J34" s="1948"/>
      <c r="K34" s="1056"/>
      <c r="L34" s="3051" t="s">
        <v>3266</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40">
        <f ca="1">'数据-取费表'!B40</f>
        <v>3.4500000000000003E-2</v>
      </c>
      <c r="M36" s="2364">
        <f ca="1">ROUND($L$36*(1+M31),3)</f>
        <v>4.2999999999999997E-2</v>
      </c>
      <c r="N36" s="2364">
        <f ca="1">ROUND($L$36*(1+N31),3)</f>
        <v>4.1000000000000002E-2</v>
      </c>
      <c r="O36" s="2364">
        <f ca="1">ROUND($L$36*(1+O31),3)</f>
        <v>0.04</v>
      </c>
      <c r="P36" s="2364">
        <f ca="1">ROUND($L$36*(1+P31),3)</f>
        <v>3.7999999999999999E-2</v>
      </c>
      <c r="Q36" s="2364">
        <f ca="1">ROUND($L$36*(1+Q31),3)</f>
        <v>0.04</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15"/>
      <c r="B37" s="1955" t="s">
        <v>2036</v>
      </c>
      <c r="C37" s="167">
        <f>ROUND(D5*C22*C23*C24*C28*F37,0)</f>
        <v>10148</v>
      </c>
      <c r="D37" s="1940"/>
      <c r="E37" s="163">
        <f>ROUND(C37*D37/10000,0)</f>
        <v>0</v>
      </c>
      <c r="F37" s="163">
        <f>SUMIF(修正!A57:A68,G2,修正!B57:B68)</f>
        <v>0.6</v>
      </c>
      <c r="G37" s="163">
        <f>ROUND(IF(E2="工业",C37*$M$42,C37*$M$41),0)</f>
        <v>2537</v>
      </c>
      <c r="H37" s="163">
        <f>D37</f>
        <v>0</v>
      </c>
      <c r="I37" s="163">
        <f>ROUND(G37*H37/10000,0)</f>
        <v>0</v>
      </c>
      <c r="J37" s="2752"/>
      <c r="K37" s="3059" t="s">
        <v>3268</v>
      </c>
      <c r="L37" s="1964">
        <f ca="1">L36+K38</f>
        <v>3.95E-2</v>
      </c>
      <c r="M37" s="2364">
        <f ca="1">ROUND($L$37*(1+M31),3)</f>
        <v>4.9000000000000002E-2</v>
      </c>
      <c r="N37" s="2364">
        <f t="shared" ref="N37:Q37" ca="1" si="3">ROUND($L$37*(1+N31),3)</f>
        <v>4.7E-2</v>
      </c>
      <c r="O37" s="2364">
        <f t="shared" ca="1" si="3"/>
        <v>4.4999999999999998E-2</v>
      </c>
      <c r="P37" s="2364">
        <f t="shared" ca="1" si="3"/>
        <v>4.2999999999999997E-2</v>
      </c>
      <c r="Q37" s="2364">
        <f t="shared" ca="1" si="3"/>
        <v>4.4999999999999998E-2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16"/>
      <c r="B38" s="1884" t="s">
        <v>2037</v>
      </c>
      <c r="C38" s="167">
        <f>ROUND(D5*C22*C23*C24*C28*F38,0)</f>
        <v>5074</v>
      </c>
      <c r="D38" s="1940"/>
      <c r="E38" s="163">
        <f t="shared" ref="E38:E42" si="4">ROUND(C38*D38/10000,0)</f>
        <v>0</v>
      </c>
      <c r="F38" s="163">
        <f>SUMIF(修正!A57:A68,G2,修正!C57:C68)</f>
        <v>0.3</v>
      </c>
      <c r="G38" s="163">
        <f>ROUND(IF(E2="工业",C38*$M$42,C38*$M$41),0)</f>
        <v>1269</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16"/>
      <c r="B39" s="1884" t="s">
        <v>3261</v>
      </c>
      <c r="C39" s="167">
        <f>ROUND(D5*C22*C23*C24*C28*F39,0)</f>
        <v>4228</v>
      </c>
      <c r="D39" s="1940"/>
      <c r="E39" s="163">
        <f t="shared" si="4"/>
        <v>0</v>
      </c>
      <c r="F39" s="163">
        <f>SUMIF(修正!A57:A68,G2,修正!D57:D68)</f>
        <v>0.25</v>
      </c>
      <c r="G39" s="163">
        <f>ROUND(IF(E2="工业",C39*$M$42,C39*$M$41),0)</f>
        <v>1057</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4228</v>
      </c>
      <c r="D40" s="1940"/>
      <c r="E40" s="163">
        <f t="shared" si="4"/>
        <v>0</v>
      </c>
      <c r="F40" s="167">
        <f>SUMIF(修正!A57:A68,G2,修正!E57:E68)</f>
        <v>0.25</v>
      </c>
      <c r="G40" s="163">
        <f>ROUND(IF(E2="工业",C40*$M$42,C40*$M$41),0)</f>
        <v>1057</v>
      </c>
      <c r="H40" s="163">
        <f t="shared" si="5"/>
        <v>0</v>
      </c>
      <c r="I40" s="163">
        <f t="shared" si="6"/>
        <v>0</v>
      </c>
      <c r="J40" s="938"/>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4228</v>
      </c>
      <c r="D41" s="1940"/>
      <c r="E41" s="163">
        <f t="shared" si="4"/>
        <v>0</v>
      </c>
      <c r="F41" s="167">
        <f>SUMIF(修正!A57:A68,G2,修正!F57:F68)</f>
        <v>0.25</v>
      </c>
      <c r="G41" s="163">
        <f>ROUND(IF(E2="工业",C41*$M$42,C41*$M$41),0)</f>
        <v>1057</v>
      </c>
      <c r="H41" s="163">
        <f t="shared" si="5"/>
        <v>0</v>
      </c>
      <c r="I41" s="163">
        <f t="shared" si="6"/>
        <v>0</v>
      </c>
      <c r="J41" s="938"/>
      <c r="L41" s="3060"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2537</v>
      </c>
      <c r="D42" s="1945"/>
      <c r="E42" s="179">
        <f t="shared" si="4"/>
        <v>0</v>
      </c>
      <c r="F42" s="722">
        <f>SUMIF(修正!A57:A68,G2,修正!G57:G68)</f>
        <v>0.15</v>
      </c>
      <c r="G42" s="179">
        <f>ROUND(IF(E2="工业",C42*$M$42,C42*$M$41),0)</f>
        <v>634</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f>ROUND(POWER(1+E44,H44-G44)*(POWER(1+E44,G44)-1)/(POWER(1+E44,H44)-1),4)</f>
        <v>0.68559999999999999</v>
      </c>
      <c r="D44" s="163" t="s">
        <v>1999</v>
      </c>
      <c r="E44" s="1991">
        <f>G24</f>
        <v>5.5E-2</v>
      </c>
      <c r="F44" s="163" t="s">
        <v>2008</v>
      </c>
      <c r="G44" s="175">
        <f>项目基本情况!E15</f>
        <v>19</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8"/>
      <c r="E48" s="699"/>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0"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1">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2"/>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3271</v>
      </c>
      <c r="B52" s="1262">
        <f>估价对象房地状况!C19</f>
        <v>0</v>
      </c>
      <c r="C52" s="1887"/>
      <c r="D52" s="1002">
        <f t="shared" si="7"/>
        <v>0</v>
      </c>
      <c r="E52" s="702"/>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2"/>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2"/>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2"/>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2"/>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2"/>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3"/>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1.0455000000000001</v>
      </c>
      <c r="C59" s="698"/>
      <c r="D59" s="698"/>
      <c r="E59" s="699"/>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0"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3431</v>
      </c>
      <c r="D61" s="1002">
        <f t="shared" ref="D61:D69" si="12">SUMIF($J$60:$N$60,C61,J61:N61)</f>
        <v>1.23E-2</v>
      </c>
      <c r="E61" s="701">
        <f>ROUND(SUM(D61:D69),4)</f>
        <v>4.5499999999999999E-2</v>
      </c>
      <c r="F61" s="1675">
        <f>IF(E2="办公",SUMIF(L1:L12,G2,N1:N12),"——")</f>
        <v>9.9000000000000005E-2</v>
      </c>
      <c r="G61" s="1000">
        <f>H61</f>
        <v>1.23E-2</v>
      </c>
      <c r="H61" s="1003">
        <f t="shared" ref="H61:H69" si="13">IFERROR(ROUNDDOWN($F$61*I61/2,4),"——")</f>
        <v>1.23E-2</v>
      </c>
      <c r="I61" s="3066">
        <v>0.25</v>
      </c>
      <c r="J61" s="1001">
        <f t="shared" ref="J61:J69" si="14">K61+$G61</f>
        <v>2.46E-2</v>
      </c>
      <c r="K61" s="1001">
        <f t="shared" ref="K61:K69" si="15">$L61+$G61</f>
        <v>1.23E-2</v>
      </c>
      <c r="L61" s="1001">
        <v>0</v>
      </c>
      <c r="M61" s="1001">
        <f t="shared" ref="M61:N69" si="16">L61-$G61</f>
        <v>-1.23E-2</v>
      </c>
      <c r="N61" s="1001">
        <f t="shared" si="16"/>
        <v>-2.46E-2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3431</v>
      </c>
      <c r="D62" s="1002">
        <f t="shared" si="12"/>
        <v>1.2800000000000001E-2</v>
      </c>
      <c r="E62" s="702"/>
      <c r="F62" s="1675"/>
      <c r="G62" s="1000">
        <f t="shared" ref="G62:G69" si="17">H62</f>
        <v>1.2800000000000001E-2</v>
      </c>
      <c r="H62" s="1003">
        <f t="shared" si="13"/>
        <v>1.2800000000000001E-2</v>
      </c>
      <c r="I62" s="3066">
        <v>0.26</v>
      </c>
      <c r="J62" s="1001">
        <f t="shared" si="14"/>
        <v>2.5600000000000001E-2</v>
      </c>
      <c r="K62" s="1001">
        <f t="shared" si="15"/>
        <v>1.2800000000000001E-2</v>
      </c>
      <c r="L62" s="1001">
        <v>0</v>
      </c>
      <c r="M62" s="1001">
        <f t="shared" si="16"/>
        <v>-1.2800000000000001E-2</v>
      </c>
      <c r="N62" s="1001">
        <f t="shared" si="16"/>
        <v>-2.5600000000000001E-2</v>
      </c>
      <c r="AA62" s="1057"/>
      <c r="AB62" s="1057"/>
      <c r="AC62" s="1057"/>
      <c r="AD62" s="1057"/>
      <c r="AE62" s="1057"/>
      <c r="AF62" s="1057"/>
      <c r="AG62" s="1057"/>
      <c r="AH62" s="1057"/>
      <c r="AI62" s="1057"/>
      <c r="AJ62" s="1057"/>
      <c r="AK62" s="1057"/>
    </row>
    <row r="63" spans="1:37" s="1056" customFormat="1" ht="36">
      <c r="A63" s="3068" t="s">
        <v>3271</v>
      </c>
      <c r="B63" s="1262">
        <f>估价对象房地状况!C19</f>
        <v>0</v>
      </c>
      <c r="C63" s="1887" t="s">
        <v>3431</v>
      </c>
      <c r="D63" s="1002">
        <f t="shared" si="12"/>
        <v>5.4000000000000003E-3</v>
      </c>
      <c r="E63" s="702"/>
      <c r="F63" s="1675"/>
      <c r="G63" s="1000">
        <f t="shared" si="17"/>
        <v>5.4000000000000003E-3</v>
      </c>
      <c r="H63" s="1003">
        <f t="shared" si="13"/>
        <v>5.4000000000000003E-3</v>
      </c>
      <c r="I63" s="3066">
        <v>0.11</v>
      </c>
      <c r="J63" s="1001">
        <f t="shared" si="14"/>
        <v>1.0800000000000001E-2</v>
      </c>
      <c r="K63" s="1001">
        <f t="shared" si="15"/>
        <v>5.4000000000000003E-3</v>
      </c>
      <c r="L63" s="1001">
        <v>0</v>
      </c>
      <c r="M63" s="1001">
        <f t="shared" si="16"/>
        <v>-5.4000000000000003E-3</v>
      </c>
      <c r="N63" s="1001">
        <f t="shared" si="16"/>
        <v>-1.0800000000000001E-2</v>
      </c>
      <c r="AA63" s="1057"/>
      <c r="AB63" s="1057"/>
      <c r="AC63" s="1057"/>
      <c r="AD63" s="1057"/>
      <c r="AE63" s="1057"/>
      <c r="AF63" s="1057"/>
      <c r="AG63" s="1057"/>
      <c r="AH63" s="1057"/>
      <c r="AI63" s="1057"/>
      <c r="AJ63" s="1057"/>
      <c r="AK63" s="1057"/>
    </row>
    <row r="64" spans="1:37" s="1056" customFormat="1" ht="36.75">
      <c r="A64" s="1970" t="s">
        <v>2054</v>
      </c>
      <c r="B64" s="1974" t="s">
        <v>2055</v>
      </c>
      <c r="C64" s="1887" t="s">
        <v>3431</v>
      </c>
      <c r="D64" s="1002">
        <f t="shared" si="12"/>
        <v>2.3999999999999998E-3</v>
      </c>
      <c r="E64" s="702"/>
      <c r="F64" s="1675"/>
      <c r="G64" s="1000">
        <f t="shared" si="17"/>
        <v>2.3999999999999998E-3</v>
      </c>
      <c r="H64" s="1003">
        <f t="shared" si="13"/>
        <v>2.3999999999999998E-3</v>
      </c>
      <c r="I64" s="3066">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3431</v>
      </c>
      <c r="D65" s="1002">
        <f t="shared" si="12"/>
        <v>2.3999999999999998E-3</v>
      </c>
      <c r="E65" s="702"/>
      <c r="F65" s="1675"/>
      <c r="G65" s="1000">
        <f t="shared" si="17"/>
        <v>2.3999999999999998E-3</v>
      </c>
      <c r="H65" s="1003">
        <f t="shared" si="13"/>
        <v>2.3999999999999998E-3</v>
      </c>
      <c r="I65" s="3066">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24">
      <c r="A66" s="1970" t="s">
        <v>2057</v>
      </c>
      <c r="B66" s="1975" t="s">
        <v>2058</v>
      </c>
      <c r="C66" s="1887" t="s">
        <v>3431</v>
      </c>
      <c r="D66" s="1002">
        <f t="shared" si="12"/>
        <v>2.8999999999999998E-3</v>
      </c>
      <c r="E66" s="702"/>
      <c r="F66" s="1675"/>
      <c r="G66" s="1000">
        <f t="shared" si="17"/>
        <v>2.8999999999999998E-3</v>
      </c>
      <c r="H66" s="1003">
        <f t="shared" si="13"/>
        <v>2.8999999999999998E-3</v>
      </c>
      <c r="I66" s="3066">
        <v>0.06</v>
      </c>
      <c r="J66" s="1001">
        <f t="shared" si="14"/>
        <v>5.7999999999999996E-3</v>
      </c>
      <c r="K66" s="1001">
        <f t="shared" si="15"/>
        <v>2.8999999999999998E-3</v>
      </c>
      <c r="L66" s="1001">
        <v>0</v>
      </c>
      <c r="M66" s="1001">
        <f t="shared" si="16"/>
        <v>-2.8999999999999998E-3</v>
      </c>
      <c r="N66" s="1001">
        <f t="shared" si="16"/>
        <v>-5.7999999999999996E-3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3431</v>
      </c>
      <c r="D67" s="1002">
        <f t="shared" si="12"/>
        <v>2.8999999999999998E-3</v>
      </c>
      <c r="E67" s="702"/>
      <c r="F67" s="1675"/>
      <c r="G67" s="1000">
        <f t="shared" si="17"/>
        <v>2.8999999999999998E-3</v>
      </c>
      <c r="H67" s="1003">
        <f t="shared" si="13"/>
        <v>2.8999999999999998E-3</v>
      </c>
      <c r="I67" s="3066">
        <v>0.06</v>
      </c>
      <c r="J67" s="1001">
        <f t="shared" si="14"/>
        <v>5.7999999999999996E-3</v>
      </c>
      <c r="K67" s="1001">
        <f t="shared" si="15"/>
        <v>2.8999999999999998E-3</v>
      </c>
      <c r="L67" s="1001">
        <v>0</v>
      </c>
      <c r="M67" s="1001">
        <f t="shared" si="16"/>
        <v>-2.8999999999999998E-3</v>
      </c>
      <c r="N67" s="1001">
        <f t="shared" si="16"/>
        <v>-5.7999999999999996E-3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3431</v>
      </c>
      <c r="D68" s="1002">
        <f t="shared" si="12"/>
        <v>4.4000000000000003E-3</v>
      </c>
      <c r="E68" s="702"/>
      <c r="F68" s="1675"/>
      <c r="G68" s="1000">
        <f t="shared" si="17"/>
        <v>4.4000000000000003E-3</v>
      </c>
      <c r="H68" s="1003">
        <f t="shared" si="13"/>
        <v>4.4000000000000003E-3</v>
      </c>
      <c r="I68" s="3066">
        <v>0.09</v>
      </c>
      <c r="J68" s="1001">
        <f t="shared" si="14"/>
        <v>8.8000000000000005E-3</v>
      </c>
      <c r="K68" s="1001">
        <f t="shared" si="15"/>
        <v>4.4000000000000003E-3</v>
      </c>
      <c r="L68" s="1001">
        <v>0</v>
      </c>
      <c r="M68" s="1001">
        <f t="shared" si="16"/>
        <v>-4.4000000000000003E-3</v>
      </c>
      <c r="N68" s="1001">
        <f t="shared" si="16"/>
        <v>-8.8000000000000005E-3</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3435</v>
      </c>
      <c r="D69" s="1002">
        <f t="shared" si="12"/>
        <v>0</v>
      </c>
      <c r="E69" s="703"/>
      <c r="F69" s="1675"/>
      <c r="G69" s="1000">
        <f t="shared" si="17"/>
        <v>3.3999999999999998E-3</v>
      </c>
      <c r="H69" s="1003">
        <f t="shared" si="13"/>
        <v>3.3999999999999998E-3</v>
      </c>
      <c r="I69" s="3067">
        <v>7.0000000000000007E-2</v>
      </c>
      <c r="J69" s="1001">
        <f t="shared" si="14"/>
        <v>6.7999999999999996E-3</v>
      </c>
      <c r="K69" s="1001">
        <f t="shared" si="15"/>
        <v>3.3999999999999998E-3</v>
      </c>
      <c r="L69" s="1001">
        <v>0</v>
      </c>
      <c r="M69" s="1001">
        <f t="shared" si="16"/>
        <v>-3.3999999999999998E-3</v>
      </c>
      <c r="N69" s="1001">
        <f t="shared" si="16"/>
        <v>-6.7999999999999996E-3</v>
      </c>
      <c r="AA69" s="1057"/>
      <c r="AB69" s="1057"/>
      <c r="AC69" s="1057"/>
      <c r="AD69" s="1057"/>
      <c r="AE69" s="1057"/>
      <c r="AF69" s="1057"/>
      <c r="AG69" s="1057"/>
      <c r="AH69" s="1057"/>
      <c r="AI69" s="1057"/>
      <c r="AJ69" s="1057"/>
      <c r="AK69" s="1057"/>
    </row>
    <row r="70" spans="1:37" s="1056" customFormat="1" ht="15">
      <c r="A70" s="1967" t="s">
        <v>2065</v>
      </c>
      <c r="B70" s="1968">
        <f>1+E72</f>
        <v>1</v>
      </c>
      <c r="C70" s="698"/>
      <c r="D70" s="698"/>
      <c r="E70" s="699"/>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0"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1">
        <f>ROUND(SUM(D72:D80),4)</f>
        <v>0</v>
      </c>
      <c r="F72" s="1675" t="str">
        <f>IF(E2="住宅",SUMIF(L1:L12,G2,N1:N12),"——")</f>
        <v>——</v>
      </c>
      <c r="G72" s="1000"/>
      <c r="H72" s="1003" t="str">
        <f t="shared" ref="H72:H80" si="19">IFERROR(ROUNDDOWN($F$72*I72/2,4),"——")</f>
        <v>——</v>
      </c>
      <c r="I72" s="3066">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4"/>
      <c r="F73" s="1675"/>
      <c r="G73" s="1000"/>
      <c r="H73" s="1003" t="str">
        <f t="shared" si="19"/>
        <v>——</v>
      </c>
      <c r="I73" s="3066">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68" t="s">
        <v>3271</v>
      </c>
      <c r="B74" s="1262">
        <f>估价对象房地状况!C19</f>
        <v>0</v>
      </c>
      <c r="C74" s="1887"/>
      <c r="D74" s="1002">
        <f t="shared" si="18"/>
        <v>0</v>
      </c>
      <c r="E74" s="704"/>
      <c r="F74" s="1675"/>
      <c r="G74" s="1000"/>
      <c r="H74" s="1003" t="str">
        <f t="shared" si="19"/>
        <v>——</v>
      </c>
      <c r="I74" s="3066">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4"/>
      <c r="F75" s="1675"/>
      <c r="G75" s="1000"/>
      <c r="H75" s="1003" t="str">
        <f t="shared" si="19"/>
        <v>——</v>
      </c>
      <c r="I75" s="3066">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4"/>
      <c r="F76" s="1675"/>
      <c r="G76" s="1000"/>
      <c r="H76" s="1003" t="str">
        <f t="shared" si="19"/>
        <v>——</v>
      </c>
      <c r="I76" s="3066">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4"/>
      <c r="F77" s="1675"/>
      <c r="G77" s="1000"/>
      <c r="H77" s="1003" t="str">
        <f t="shared" si="19"/>
        <v>——</v>
      </c>
      <c r="I77" s="3066">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4"/>
      <c r="F78" s="1675"/>
      <c r="G78" s="1000"/>
      <c r="H78" s="1003" t="str">
        <f t="shared" si="19"/>
        <v>——</v>
      </c>
      <c r="I78" s="3066">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4"/>
      <c r="F79" s="1675"/>
      <c r="G79" s="1000"/>
      <c r="H79" s="1003" t="str">
        <f t="shared" si="19"/>
        <v>——</v>
      </c>
      <c r="I79" s="3066">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5"/>
      <c r="F80" s="1675"/>
      <c r="G80" s="1000"/>
      <c r="H80" s="1003" t="str">
        <f t="shared" si="19"/>
        <v>——</v>
      </c>
      <c r="I80" s="3067">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8"/>
      <c r="D81" s="698"/>
      <c r="E81" s="699"/>
      <c r="F81" s="1969"/>
      <c r="G81" s="3"/>
      <c r="H81" s="3"/>
      <c r="I81" s="3"/>
      <c r="J81" s="4"/>
      <c r="K81" s="4"/>
      <c r="L81" s="4"/>
      <c r="M81" s="4"/>
      <c r="N81" s="4"/>
      <c r="Z81" s="1845"/>
      <c r="AA81" s="1895"/>
      <c r="AG81" s="1058"/>
      <c r="AK81" s="1895"/>
    </row>
    <row r="82" spans="1:37" ht="24.75">
      <c r="A82" s="1970" t="s">
        <v>2044</v>
      </c>
      <c r="B82" s="1262"/>
      <c r="C82" s="1262" t="s">
        <v>2046</v>
      </c>
      <c r="D82" s="1262" t="s">
        <v>2047</v>
      </c>
      <c r="E82" s="700"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1">
        <f>ROUND(SUM(D83:D90),4)</f>
        <v>0</v>
      </c>
      <c r="F83" s="1675" t="str">
        <f>IF(E2="工业",SUMIF(L1:L12,G2,N1:N12),"——")</f>
        <v>——</v>
      </c>
      <c r="G83" s="1000"/>
      <c r="H83" s="1003" t="str">
        <f t="shared" ref="H83:H90" si="24">IFERROR(ROUNDDOWN($F$83*I83/2,4),"——")</f>
        <v>——</v>
      </c>
      <c r="I83" s="3066">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4"/>
      <c r="F84" s="1675"/>
      <c r="G84" s="1000"/>
      <c r="H84" s="1003" t="str">
        <f t="shared" si="24"/>
        <v>——</v>
      </c>
      <c r="I84" s="3066">
        <v>0.3</v>
      </c>
      <c r="J84" s="1001">
        <f t="shared" si="25"/>
        <v>0</v>
      </c>
      <c r="K84" s="1001">
        <f t="shared" si="26"/>
        <v>0</v>
      </c>
      <c r="L84" s="1001">
        <v>0</v>
      </c>
      <c r="M84" s="1001">
        <f t="shared" si="27"/>
        <v>0</v>
      </c>
      <c r="N84" s="1001">
        <f t="shared" si="27"/>
        <v>0</v>
      </c>
      <c r="Z84" s="1845"/>
      <c r="AA84" s="1895"/>
      <c r="AG84" s="1058"/>
      <c r="AK84" s="1895"/>
    </row>
    <row r="85" spans="1:37" ht="36">
      <c r="A85" s="3068" t="s">
        <v>3272</v>
      </c>
      <c r="B85" s="1262">
        <f>估价对象房地状况!G17</f>
        <v>0</v>
      </c>
      <c r="C85" s="1887"/>
      <c r="D85" s="1002">
        <f t="shared" si="23"/>
        <v>0</v>
      </c>
      <c r="E85" s="704"/>
      <c r="F85" s="1675"/>
      <c r="G85" s="1000"/>
      <c r="H85" s="1003" t="str">
        <f t="shared" si="24"/>
        <v>——</v>
      </c>
      <c r="I85" s="3066">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4"/>
      <c r="F86" s="1675"/>
      <c r="G86" s="1000"/>
      <c r="H86" s="1003" t="str">
        <f t="shared" si="24"/>
        <v>——</v>
      </c>
      <c r="I86" s="3066">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4"/>
      <c r="F87" s="1675"/>
      <c r="G87" s="1000"/>
      <c r="H87" s="1003" t="str">
        <f t="shared" si="24"/>
        <v>——</v>
      </c>
      <c r="I87" s="3066">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4"/>
      <c r="F88" s="1675"/>
      <c r="G88" s="1000"/>
      <c r="H88" s="1003" t="str">
        <f t="shared" si="24"/>
        <v>——</v>
      </c>
      <c r="I88" s="3066">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4"/>
      <c r="F89" s="1675"/>
      <c r="G89" s="1000"/>
      <c r="H89" s="1003" t="str">
        <f t="shared" si="24"/>
        <v>——</v>
      </c>
      <c r="I89" s="3066">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5"/>
      <c r="F90" s="1675"/>
      <c r="G90" s="1000"/>
      <c r="H90" s="1003" t="str">
        <f t="shared" si="24"/>
        <v>——</v>
      </c>
      <c r="I90" s="3067">
        <v>0.05</v>
      </c>
      <c r="J90" s="1001">
        <f t="shared" si="25"/>
        <v>0</v>
      </c>
      <c r="K90" s="1001">
        <f t="shared" si="26"/>
        <v>0</v>
      </c>
      <c r="L90" s="1001">
        <v>0</v>
      </c>
      <c r="M90" s="1001">
        <f t="shared" si="27"/>
        <v>0</v>
      </c>
      <c r="N90" s="1001">
        <f t="shared" si="27"/>
        <v>0</v>
      </c>
    </row>
    <row r="91" spans="1:37" ht="15">
      <c r="A91" s="3076" t="s">
        <v>2614</v>
      </c>
      <c r="B91" s="3077">
        <f>1+E93</f>
        <v>1</v>
      </c>
      <c r="C91" s="3070"/>
      <c r="D91" s="3071"/>
      <c r="E91" s="1675"/>
      <c r="F91" s="1675"/>
      <c r="G91" s="3072"/>
      <c r="H91" s="3073"/>
      <c r="I91" s="3074"/>
      <c r="J91" s="3075"/>
      <c r="K91" s="3075"/>
      <c r="L91" s="3075"/>
      <c r="M91" s="3075"/>
      <c r="N91" s="3075"/>
    </row>
    <row r="92" spans="1:37" ht="24.75">
      <c r="A92" s="3078" t="s">
        <v>3273</v>
      </c>
      <c r="B92" s="2308"/>
      <c r="C92" s="2308" t="s">
        <v>3282</v>
      </c>
      <c r="D92" s="2308" t="s">
        <v>3283</v>
      </c>
      <c r="E92" s="3050" t="s">
        <v>3284</v>
      </c>
      <c r="F92" s="3080" t="s">
        <v>3285</v>
      </c>
      <c r="G92" s="2308" t="s">
        <v>3286</v>
      </c>
      <c r="H92" s="3087" t="s">
        <v>3289</v>
      </c>
      <c r="I92" s="2308" t="s">
        <v>3290</v>
      </c>
      <c r="J92" s="2150" t="s">
        <v>3291</v>
      </c>
      <c r="K92" s="2150" t="s">
        <v>3292</v>
      </c>
      <c r="L92" s="2150" t="s">
        <v>3293</v>
      </c>
      <c r="M92" s="2150" t="s">
        <v>3294</v>
      </c>
      <c r="N92" s="2150" t="s">
        <v>3295</v>
      </c>
    </row>
    <row r="93" spans="1:37" ht="24">
      <c r="A93" s="3068" t="s">
        <v>3274</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8">K93+$G93</f>
        <v>0</v>
      </c>
      <c r="K93" s="1912">
        <f t="shared" ref="K93:K101" si="29">$L93+$G93</f>
        <v>0</v>
      </c>
      <c r="L93" s="1912">
        <v>0</v>
      </c>
      <c r="M93" s="1912">
        <f t="shared" ref="M93:N101" si="30">L93-$G93</f>
        <v>0</v>
      </c>
      <c r="N93" s="1912">
        <f t="shared" si="30"/>
        <v>0</v>
      </c>
    </row>
    <row r="94" spans="1:37" ht="38.25">
      <c r="A94" s="3078" t="s">
        <v>3275</v>
      </c>
      <c r="B94" s="3069" t="str">
        <f>估价对象房地状况!C18</f>
        <v>估价对象周边道路状况、公共交通通达情况、停车便捷程度，综合评价交通便捷度较好</v>
      </c>
      <c r="C94" s="1887"/>
      <c r="D94" s="2308">
        <f t="shared" ref="D94:D101" si="31">SUMIF($J$60:$N$60,C94,J94:N94)</f>
        <v>0</v>
      </c>
      <c r="E94" s="3082"/>
      <c r="F94" s="1675"/>
      <c r="G94" s="3072"/>
      <c r="H94" s="3117" t="str">
        <f>IFERROR(ROUNDDOWN($F$93*I94/2,4),"——")</f>
        <v>——</v>
      </c>
      <c r="I94" s="3066">
        <v>0.26</v>
      </c>
      <c r="J94" s="1912">
        <f t="shared" si="28"/>
        <v>0</v>
      </c>
      <c r="K94" s="1912">
        <f t="shared" si="29"/>
        <v>0</v>
      </c>
      <c r="L94" s="1912">
        <v>0</v>
      </c>
      <c r="M94" s="1912">
        <f t="shared" si="30"/>
        <v>0</v>
      </c>
      <c r="N94" s="1912">
        <f t="shared" si="30"/>
        <v>0</v>
      </c>
    </row>
    <row r="95" spans="1:37" ht="36">
      <c r="A95" s="3068" t="s">
        <v>3271</v>
      </c>
      <c r="B95" s="3069">
        <f>估价对象房地状况!C19</f>
        <v>0</v>
      </c>
      <c r="C95" s="1887"/>
      <c r="D95" s="2308">
        <f t="shared" si="31"/>
        <v>0</v>
      </c>
      <c r="E95" s="3082"/>
      <c r="F95" s="1675"/>
      <c r="G95" s="3072"/>
      <c r="H95" s="3117" t="str">
        <f t="shared" ref="H95:H101" si="32">IFERROR(ROUNDDOWN($F$93*I95/2,4),"——")</f>
        <v>——</v>
      </c>
      <c r="I95" s="3066">
        <v>0.11</v>
      </c>
      <c r="J95" s="1912">
        <f t="shared" si="28"/>
        <v>0</v>
      </c>
      <c r="K95" s="1912">
        <f t="shared" si="29"/>
        <v>0</v>
      </c>
      <c r="L95" s="1912">
        <v>0</v>
      </c>
      <c r="M95" s="1912">
        <f t="shared" si="30"/>
        <v>0</v>
      </c>
      <c r="N95" s="1912">
        <f t="shared" si="30"/>
        <v>0</v>
      </c>
    </row>
    <row r="96" spans="1:37" ht="36.75">
      <c r="A96" s="3078" t="s">
        <v>3276</v>
      </c>
      <c r="B96" s="3084" t="s">
        <v>3287</v>
      </c>
      <c r="C96" s="1887"/>
      <c r="D96" s="2308">
        <f t="shared" si="31"/>
        <v>0</v>
      </c>
      <c r="E96" s="3082"/>
      <c r="F96" s="1675"/>
      <c r="G96" s="3072"/>
      <c r="H96" s="3117" t="str">
        <f t="shared" si="32"/>
        <v>——</v>
      </c>
      <c r="I96" s="3066">
        <v>0.05</v>
      </c>
      <c r="J96" s="1912">
        <f t="shared" si="28"/>
        <v>0</v>
      </c>
      <c r="K96" s="1912">
        <f t="shared" si="29"/>
        <v>0</v>
      </c>
      <c r="L96" s="1912">
        <v>0</v>
      </c>
      <c r="M96" s="1912">
        <f t="shared" si="30"/>
        <v>0</v>
      </c>
      <c r="N96" s="1912">
        <f t="shared" si="30"/>
        <v>0</v>
      </c>
    </row>
    <row r="97" spans="1:14" ht="24">
      <c r="A97" s="3078" t="s">
        <v>3277</v>
      </c>
      <c r="B97" s="3069">
        <f>估价对象房地状况!C24</f>
        <v>0</v>
      </c>
      <c r="C97" s="1887"/>
      <c r="D97" s="2308">
        <f t="shared" si="31"/>
        <v>0</v>
      </c>
      <c r="E97" s="3082"/>
      <c r="F97" s="1675"/>
      <c r="G97" s="3072"/>
      <c r="H97" s="3117" t="str">
        <f t="shared" si="32"/>
        <v>——</v>
      </c>
      <c r="I97" s="3066">
        <v>0.05</v>
      </c>
      <c r="J97" s="1912">
        <f t="shared" si="28"/>
        <v>0</v>
      </c>
      <c r="K97" s="1912">
        <f t="shared" si="29"/>
        <v>0</v>
      </c>
      <c r="L97" s="1912">
        <v>0</v>
      </c>
      <c r="M97" s="1912">
        <f t="shared" si="30"/>
        <v>0</v>
      </c>
      <c r="N97" s="1912">
        <f t="shared" si="30"/>
        <v>0</v>
      </c>
    </row>
    <row r="98" spans="1:14" ht="24">
      <c r="A98" s="3078" t="s">
        <v>3278</v>
      </c>
      <c r="B98" s="3085" t="s">
        <v>3288</v>
      </c>
      <c r="C98" s="1887"/>
      <c r="D98" s="2308">
        <f t="shared" si="31"/>
        <v>0</v>
      </c>
      <c r="E98" s="3082"/>
      <c r="F98" s="1675"/>
      <c r="G98" s="3072"/>
      <c r="H98" s="3117" t="str">
        <f t="shared" si="32"/>
        <v>——</v>
      </c>
      <c r="I98" s="3066">
        <v>0.06</v>
      </c>
      <c r="J98" s="1912">
        <f t="shared" si="28"/>
        <v>0</v>
      </c>
      <c r="K98" s="1912">
        <f t="shared" si="29"/>
        <v>0</v>
      </c>
      <c r="L98" s="1912">
        <v>0</v>
      </c>
      <c r="M98" s="1912">
        <f t="shared" si="30"/>
        <v>0</v>
      </c>
      <c r="N98" s="1912">
        <f t="shared" si="30"/>
        <v>0</v>
      </c>
    </row>
    <row r="99" spans="1:14" ht="25.5">
      <c r="A99" s="3078" t="s">
        <v>3279</v>
      </c>
      <c r="B99" s="3069" t="str">
        <f>估价对象房地状况!C21</f>
        <v>估价对象所在区域公共配套设施齐备情况</v>
      </c>
      <c r="C99" s="1887"/>
      <c r="D99" s="2308">
        <f t="shared" si="31"/>
        <v>0</v>
      </c>
      <c r="E99" s="3082"/>
      <c r="F99" s="1675"/>
      <c r="G99" s="3072"/>
      <c r="H99" s="3117" t="str">
        <f t="shared" si="32"/>
        <v>——</v>
      </c>
      <c r="I99" s="3066">
        <v>0.06</v>
      </c>
      <c r="J99" s="1912">
        <f t="shared" si="28"/>
        <v>0</v>
      </c>
      <c r="K99" s="1912">
        <f t="shared" si="29"/>
        <v>0</v>
      </c>
      <c r="L99" s="1912">
        <v>0</v>
      </c>
      <c r="M99" s="1912">
        <f t="shared" si="30"/>
        <v>0</v>
      </c>
      <c r="N99" s="1912">
        <f t="shared" si="30"/>
        <v>0</v>
      </c>
    </row>
    <row r="100" spans="1:14" ht="25.5">
      <c r="A100" s="3078" t="s">
        <v>3280</v>
      </c>
      <c r="B100" s="3069" t="str">
        <f>估价对象房地状况!C22</f>
        <v>估价对象所在区域基础设施水平</v>
      </c>
      <c r="C100" s="1887"/>
      <c r="D100" s="2308">
        <f t="shared" si="31"/>
        <v>0</v>
      </c>
      <c r="E100" s="3082"/>
      <c r="F100" s="1675"/>
      <c r="G100" s="3072"/>
      <c r="H100" s="3117" t="str">
        <f t="shared" si="32"/>
        <v>——</v>
      </c>
      <c r="I100" s="3066">
        <v>0.09</v>
      </c>
      <c r="J100" s="1912">
        <f t="shared" si="28"/>
        <v>0</v>
      </c>
      <c r="K100" s="1912">
        <f t="shared" si="29"/>
        <v>0</v>
      </c>
      <c r="L100" s="1912">
        <v>0</v>
      </c>
      <c r="M100" s="1912">
        <f t="shared" si="30"/>
        <v>0</v>
      </c>
      <c r="N100" s="1912">
        <f t="shared" si="30"/>
        <v>0</v>
      </c>
    </row>
    <row r="101" spans="1:14" ht="26.25" thickBot="1">
      <c r="A101" s="3079" t="s">
        <v>3281</v>
      </c>
      <c r="B101" s="3086" t="str">
        <f>估价对象房地状况!C20</f>
        <v>区域自然环境：；人文环境；综合评价环境状况一般</v>
      </c>
      <c r="C101" s="1887"/>
      <c r="D101" s="2308">
        <f t="shared" si="31"/>
        <v>0</v>
      </c>
      <c r="E101" s="3083"/>
      <c r="F101" s="1675"/>
      <c r="G101" s="3072"/>
      <c r="H101" s="3117" t="str">
        <f t="shared" si="32"/>
        <v>——</v>
      </c>
      <c r="I101" s="3067">
        <v>7.0000000000000007E-2</v>
      </c>
      <c r="J101" s="1912">
        <f t="shared" si="28"/>
        <v>0</v>
      </c>
      <c r="K101" s="1912">
        <f t="shared" si="29"/>
        <v>0</v>
      </c>
      <c r="L101" s="1912">
        <v>0</v>
      </c>
      <c r="M101" s="1912">
        <f t="shared" si="30"/>
        <v>0</v>
      </c>
      <c r="N101" s="1912">
        <f t="shared" si="30"/>
        <v>0</v>
      </c>
    </row>
    <row r="103" spans="1:14">
      <c r="A103" s="3413" t="s">
        <v>3296</v>
      </c>
      <c r="B103" s="3413"/>
      <c r="C103" s="3413"/>
      <c r="D103" s="3413"/>
      <c r="E103" s="3413"/>
      <c r="F103" s="3413"/>
      <c r="G103" s="3413"/>
      <c r="H103" s="3413"/>
      <c r="I103" s="3413"/>
      <c r="J103" s="3413"/>
      <c r="K103" s="1667"/>
      <c r="L103" s="1667"/>
      <c r="M103" s="1667"/>
      <c r="N103" s="1667"/>
    </row>
    <row r="104" spans="1:14">
      <c r="A104" s="3414" t="s">
        <v>3297</v>
      </c>
      <c r="B104" s="3414" t="s">
        <v>3298</v>
      </c>
      <c r="C104" s="3088" t="s">
        <v>3299</v>
      </c>
      <c r="D104" s="3089"/>
      <c r="E104" s="3089"/>
      <c r="F104" s="3089"/>
      <c r="G104" s="3089"/>
      <c r="H104" s="3089"/>
      <c r="I104" s="3089"/>
      <c r="J104" s="3090"/>
      <c r="K104" s="3091"/>
      <c r="L104" s="3091"/>
      <c r="M104" s="3091"/>
      <c r="N104" s="3091"/>
    </row>
    <row r="105" spans="1:14">
      <c r="A105" s="3414"/>
      <c r="B105" s="3414"/>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400"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01"/>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01"/>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01"/>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01"/>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01"/>
      <c r="B111" s="3092" t="s">
        <v>3270</v>
      </c>
      <c r="C111" s="3093">
        <f>$I$3</f>
        <v>0</v>
      </c>
      <c r="D111" s="3093">
        <f t="shared" ref="D111:M111" si="33">$I$3</f>
        <v>0</v>
      </c>
      <c r="E111" s="3093">
        <f t="shared" si="33"/>
        <v>0</v>
      </c>
      <c r="F111" s="3093">
        <f t="shared" si="33"/>
        <v>0</v>
      </c>
      <c r="G111" s="3093">
        <f t="shared" si="33"/>
        <v>0</v>
      </c>
      <c r="H111" s="3093">
        <f t="shared" si="33"/>
        <v>0</v>
      </c>
      <c r="I111" s="3093">
        <f t="shared" si="33"/>
        <v>0</v>
      </c>
      <c r="J111" s="3093">
        <f t="shared" si="33"/>
        <v>0</v>
      </c>
      <c r="K111" s="3093">
        <f t="shared" si="33"/>
        <v>0</v>
      </c>
      <c r="L111" s="3093">
        <f t="shared" si="33"/>
        <v>0</v>
      </c>
      <c r="M111" s="3093">
        <f t="shared" si="33"/>
        <v>0</v>
      </c>
      <c r="N111" s="3093">
        <f>$I$3</f>
        <v>0</v>
      </c>
    </row>
    <row r="112" spans="1:14">
      <c r="A112" s="3402"/>
      <c r="B112" s="3092">
        <v>6</v>
      </c>
      <c r="C112" s="3087">
        <f>(-0.5556*(C111^2)-0.2719*C111+8944)*(10^(-4))</f>
        <v>0.89440000000000008</v>
      </c>
      <c r="D112" s="3087">
        <f>(-0.5556*(D111^2)-0.2719*D111+8944)*(10^(-4))</f>
        <v>0.89440000000000008</v>
      </c>
      <c r="E112" s="3087">
        <f>(-0.7912*(E111^2)-11.3794*E111+8482)*(10^(-4))</f>
        <v>0.84820000000000007</v>
      </c>
      <c r="F112" s="3087">
        <f t="shared" ref="F112:I112" si="34">(-0.7912*(F111^2)-11.3794*F111+8482)*(10^(-4))</f>
        <v>0.84820000000000007</v>
      </c>
      <c r="G112" s="3087">
        <f t="shared" si="34"/>
        <v>0.84820000000000007</v>
      </c>
      <c r="H112" s="3087">
        <f t="shared" si="34"/>
        <v>0.84820000000000007</v>
      </c>
      <c r="I112" s="3087">
        <f t="shared" si="34"/>
        <v>0.84820000000000007</v>
      </c>
      <c r="J112" s="3087">
        <f>(-0.989*(J111^2)-63.78*J111+7771)*(10^(-4))</f>
        <v>0.77710000000000001</v>
      </c>
      <c r="K112" s="3087">
        <f t="shared" ref="K112:N112" si="35">(-0.989*(K111^2)-63.78*K111+7771)*(10^(-4))</f>
        <v>0.77710000000000001</v>
      </c>
      <c r="L112" s="3087">
        <f t="shared" si="35"/>
        <v>0.77710000000000001</v>
      </c>
      <c r="M112" s="3087">
        <f t="shared" si="35"/>
        <v>0.77710000000000001</v>
      </c>
      <c r="N112" s="3087">
        <f t="shared" si="35"/>
        <v>0.77710000000000001</v>
      </c>
    </row>
    <row r="113" spans="1:14">
      <c r="A113" s="3403" t="s">
        <v>3313</v>
      </c>
      <c r="B113" s="3403"/>
      <c r="C113" s="3403"/>
      <c r="D113" s="3403"/>
      <c r="E113" s="3403"/>
      <c r="F113" s="3403"/>
      <c r="G113" s="3403"/>
      <c r="H113" s="3403"/>
      <c r="I113" s="3403"/>
      <c r="J113" s="3403"/>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3314</v>
      </c>
      <c r="B116" s="3112">
        <f>G3</f>
        <v>4.1399999999999997</v>
      </c>
      <c r="C116" s="3097" t="s">
        <v>3315</v>
      </c>
      <c r="D116" s="3098">
        <f>SUMPRODUCT((A118:A122=F116)*(B117:M117=H116)*B118:M122)</f>
        <v>0.88270000000000004</v>
      </c>
      <c r="E116" s="162" t="s">
        <v>3316</v>
      </c>
      <c r="F116" s="3099" t="str">
        <f>E2</f>
        <v>办公</v>
      </c>
      <c r="G116" s="162" t="s">
        <v>3317</v>
      </c>
      <c r="H116" s="3099" t="str">
        <f>G2</f>
        <v>三级</v>
      </c>
      <c r="I116" s="162"/>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0.95130000000000003</v>
      </c>
      <c r="C118" s="3087">
        <f>B118</f>
        <v>0.95130000000000003</v>
      </c>
      <c r="D118" s="3087">
        <f>ROUND(0.949-0.014*B116,4)</f>
        <v>0.89100000000000001</v>
      </c>
      <c r="E118" s="3087">
        <f>D118</f>
        <v>0.89100000000000001</v>
      </c>
      <c r="F118" s="3087">
        <f>E118</f>
        <v>0.89100000000000001</v>
      </c>
      <c r="G118" s="3087">
        <f>F118</f>
        <v>0.89100000000000001</v>
      </c>
      <c r="H118" s="3087">
        <f>G118</f>
        <v>0.89100000000000001</v>
      </c>
      <c r="I118" s="3087">
        <f>ROUND(0.8486-0.018*B116,4)</f>
        <v>0.77410000000000001</v>
      </c>
      <c r="J118" s="3087">
        <f t="shared" ref="J118:M122" si="36">I118</f>
        <v>0.77410000000000001</v>
      </c>
      <c r="K118" s="3087">
        <f t="shared" si="36"/>
        <v>0.77410000000000001</v>
      </c>
      <c r="L118" s="3087">
        <f t="shared" si="36"/>
        <v>0.77410000000000001</v>
      </c>
      <c r="M118" s="3107">
        <f t="shared" si="36"/>
        <v>0.77410000000000001</v>
      </c>
      <c r="N118" s="3095"/>
    </row>
    <row r="119" spans="1:14">
      <c r="A119" s="3055" t="s">
        <v>3331</v>
      </c>
      <c r="B119" s="3087">
        <f>ROUND(0.993-0.0112*B116,4)</f>
        <v>0.9466</v>
      </c>
      <c r="C119" s="3087">
        <f>B119</f>
        <v>0.9466</v>
      </c>
      <c r="D119" s="3087">
        <f>ROUND(0.9415-0.0142*B116,4)</f>
        <v>0.88270000000000004</v>
      </c>
      <c r="E119" s="3087">
        <f t="shared" ref="E119:H120" si="37">D119</f>
        <v>0.88270000000000004</v>
      </c>
      <c r="F119" s="3087">
        <f t="shared" si="37"/>
        <v>0.88270000000000004</v>
      </c>
      <c r="G119" s="3087">
        <f t="shared" si="37"/>
        <v>0.88270000000000004</v>
      </c>
      <c r="H119" s="3087">
        <f t="shared" si="37"/>
        <v>0.88270000000000004</v>
      </c>
      <c r="I119" s="3087">
        <f>ROUND(0.838-0.0182*B116,4)</f>
        <v>0.76270000000000004</v>
      </c>
      <c r="J119" s="3087">
        <f t="shared" si="36"/>
        <v>0.76270000000000004</v>
      </c>
      <c r="K119" s="3087">
        <f t="shared" si="36"/>
        <v>0.76270000000000004</v>
      </c>
      <c r="L119" s="3087">
        <f t="shared" si="36"/>
        <v>0.76270000000000004</v>
      </c>
      <c r="M119" s="3107">
        <f t="shared" si="36"/>
        <v>0.76270000000000004</v>
      </c>
      <c r="N119" s="3095"/>
    </row>
    <row r="120" spans="1:14">
      <c r="A120" s="3055" t="s">
        <v>3332</v>
      </c>
      <c r="B120" s="3087">
        <f>ROUND(0.9448-0.0115*B116,4)</f>
        <v>0.8972</v>
      </c>
      <c r="C120" s="3087">
        <f>B120</f>
        <v>0.8972</v>
      </c>
      <c r="D120" s="3087">
        <f>ROUND(0.937-0.0145*B116,4)</f>
        <v>0.877</v>
      </c>
      <c r="E120" s="3087">
        <f t="shared" si="37"/>
        <v>0.877</v>
      </c>
      <c r="F120" s="3087">
        <f t="shared" si="37"/>
        <v>0.877</v>
      </c>
      <c r="G120" s="3087">
        <f t="shared" si="37"/>
        <v>0.877</v>
      </c>
      <c r="H120" s="3087">
        <f t="shared" si="37"/>
        <v>0.877</v>
      </c>
      <c r="I120" s="3087">
        <f>ROUND(0.7965-0.0185*B116,4)</f>
        <v>0.71989999999999998</v>
      </c>
      <c r="J120" s="3087">
        <f t="shared" si="36"/>
        <v>0.71989999999999998</v>
      </c>
      <c r="K120" s="3087">
        <f t="shared" si="36"/>
        <v>0.71989999999999998</v>
      </c>
      <c r="L120" s="3087">
        <f t="shared" si="36"/>
        <v>0.71989999999999998</v>
      </c>
      <c r="M120" s="3107">
        <f t="shared" si="36"/>
        <v>0.71989999999999998</v>
      </c>
      <c r="N120" s="3095"/>
    </row>
    <row r="121" spans="1:14" ht="13.5" thickBot="1">
      <c r="A121" s="3108" t="s">
        <v>3333</v>
      </c>
      <c r="B121" s="3109">
        <f>ROUND(0.7836-0.012*B116,4)</f>
        <v>0.7339</v>
      </c>
      <c r="C121" s="3109">
        <f>B121</f>
        <v>0.7339</v>
      </c>
      <c r="D121" s="3109">
        <f>ROUND(0.753-0.015*B116,4)</f>
        <v>0.69089999999999996</v>
      </c>
      <c r="E121" s="3109">
        <f>D121</f>
        <v>0.69089999999999996</v>
      </c>
      <c r="F121" s="3109">
        <f>E121</f>
        <v>0.69089999999999996</v>
      </c>
      <c r="G121" s="3109">
        <f>ROUND(0.6612-0.018*B116,4)</f>
        <v>0.5867</v>
      </c>
      <c r="H121" s="3109">
        <f>G121</f>
        <v>0.5867</v>
      </c>
      <c r="I121" s="3109">
        <f>ROUND(0.5905-0.019*B116,4)</f>
        <v>0.51180000000000003</v>
      </c>
      <c r="J121" s="3109">
        <f t="shared" si="36"/>
        <v>0.51180000000000003</v>
      </c>
      <c r="K121" s="3109">
        <f t="shared" si="36"/>
        <v>0.51180000000000003</v>
      </c>
      <c r="L121" s="3109">
        <f t="shared" si="36"/>
        <v>0.51180000000000003</v>
      </c>
      <c r="M121" s="3110">
        <f t="shared" si="36"/>
        <v>0.51180000000000003</v>
      </c>
      <c r="N121" s="3095"/>
    </row>
    <row r="122" spans="1:14">
      <c r="A122" s="3111" t="s">
        <v>2614</v>
      </c>
      <c r="B122" s="3087">
        <f>ROUND(0.9404-0.0106*B116,4)</f>
        <v>0.89649999999999996</v>
      </c>
      <c r="C122" s="3087">
        <f>B122</f>
        <v>0.89649999999999996</v>
      </c>
      <c r="D122" s="3087">
        <f>ROUND(0.8955-0.0135*B116,4)</f>
        <v>0.83960000000000001</v>
      </c>
      <c r="E122" s="3087">
        <f t="shared" ref="E122:H122" si="38">D122</f>
        <v>0.83960000000000001</v>
      </c>
      <c r="F122" s="3087">
        <f t="shared" si="38"/>
        <v>0.83960000000000001</v>
      </c>
      <c r="G122" s="3087">
        <f t="shared" si="38"/>
        <v>0.83960000000000001</v>
      </c>
      <c r="H122" s="3087">
        <f t="shared" si="38"/>
        <v>0.83960000000000001</v>
      </c>
      <c r="I122" s="3087">
        <f>ROUND(0.7632-0.0166*B116,4)</f>
        <v>0.69450000000000001</v>
      </c>
      <c r="J122" s="3087">
        <f t="shared" si="36"/>
        <v>0.69450000000000001</v>
      </c>
      <c r="K122" s="3087">
        <f t="shared" si="36"/>
        <v>0.69450000000000001</v>
      </c>
      <c r="L122" s="3087">
        <f t="shared" si="36"/>
        <v>0.69450000000000001</v>
      </c>
      <c r="M122" s="3107">
        <f t="shared" si="36"/>
        <v>0.69450000000000001</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6" priority="6" stopIfTrue="1" operator="notEqual">
      <formula>"——"</formula>
    </cfRule>
  </conditionalFormatting>
  <conditionalFormatting sqref="F61">
    <cfRule type="cellIs" dxfId="105" priority="5" stopIfTrue="1" operator="notEqual">
      <formula>"——"</formula>
    </cfRule>
  </conditionalFormatting>
  <conditionalFormatting sqref="F72">
    <cfRule type="cellIs" dxfId="104" priority="4" stopIfTrue="1" operator="notEqual">
      <formula>"——"</formula>
    </cfRule>
  </conditionalFormatting>
  <conditionalFormatting sqref="F83">
    <cfRule type="cellIs" dxfId="103" priority="3" stopIfTrue="1" operator="notEqual">
      <formula>"——"</formula>
    </cfRule>
  </conditionalFormatting>
  <conditionalFormatting sqref="H50:H58 H61:H69 H72:H80 H83:H91">
    <cfRule type="cellIs" dxfId="102" priority="2" operator="notEqual">
      <formula>"——"</formula>
    </cfRule>
  </conditionalFormatting>
  <conditionalFormatting sqref="H93:H101">
    <cfRule type="cellIs" dxfId="10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15" customHeight="1">
      <c r="A2" s="1293" t="s">
        <v>2317</v>
      </c>
      <c r="B2" s="2592" t="e">
        <f>IF(D2="——",C40,C40+E2)</f>
        <v>#DIV/0!</v>
      </c>
      <c r="C2" s="2593" t="s">
        <v>2318</v>
      </c>
      <c r="D2" s="3136" t="s">
        <v>3361</v>
      </c>
      <c r="E2" s="3137"/>
      <c r="F2" s="2595"/>
      <c r="G2" s="2596"/>
      <c r="H2" s="2597"/>
      <c r="I2" s="2598"/>
      <c r="J2" s="3425" t="s">
        <v>2319</v>
      </c>
      <c r="K2" s="3426"/>
      <c r="L2" s="2599" t="s">
        <v>2320</v>
      </c>
      <c r="M2" s="2599" t="s">
        <v>2321</v>
      </c>
      <c r="N2" s="2599" t="s">
        <v>2322</v>
      </c>
      <c r="O2" s="2599" t="s">
        <v>2323</v>
      </c>
      <c r="P2" s="2599" t="s">
        <v>2324</v>
      </c>
      <c r="Q2" s="2600" t="s">
        <v>2325</v>
      </c>
      <c r="R2" s="2601" t="s">
        <v>2326</v>
      </c>
      <c r="S2" s="2590"/>
      <c r="T2" s="2590"/>
      <c r="U2" s="2590"/>
      <c r="V2" s="2598"/>
    </row>
    <row r="3" spans="1:22" s="2602" customFormat="1" ht="13.15" customHeight="1">
      <c r="A3" s="2603" t="s">
        <v>2327</v>
      </c>
      <c r="B3" s="2604" t="e">
        <f>ROUND(B2*10000/B4,0)</f>
        <v>#DIV/0!</v>
      </c>
      <c r="C3" s="2593" t="s">
        <v>2328</v>
      </c>
      <c r="D3" s="2593"/>
      <c r="E3" s="2594"/>
      <c r="F3" s="2595"/>
      <c r="G3" s="2596"/>
      <c r="H3" s="2597"/>
      <c r="I3" s="2598"/>
      <c r="J3" s="3427" t="s">
        <v>2329</v>
      </c>
      <c r="K3" s="3428"/>
      <c r="L3" s="2605"/>
      <c r="M3" s="2605"/>
      <c r="N3" s="2605"/>
      <c r="O3" s="2605"/>
      <c r="P3" s="2605"/>
      <c r="Q3" s="2606"/>
      <c r="R3" s="2607">
        <f>SUM(L3:Q3)</f>
        <v>0</v>
      </c>
      <c r="S3" s="2590"/>
      <c r="T3" s="2590"/>
      <c r="U3" s="2590"/>
      <c r="V3" s="2598"/>
    </row>
    <row r="4" spans="1:22" s="2602" customFormat="1" ht="13.15" customHeight="1">
      <c r="A4" s="2608" t="s">
        <v>2330</v>
      </c>
      <c r="B4" s="2609"/>
      <c r="C4" s="2593"/>
      <c r="D4" s="2593"/>
      <c r="E4" s="2594"/>
      <c r="F4" s="2595"/>
      <c r="G4" s="2596"/>
      <c r="H4" s="2597"/>
      <c r="I4" s="2598"/>
      <c r="J4" s="3427" t="s">
        <v>2331</v>
      </c>
      <c r="K4" s="3428"/>
      <c r="L4" s="2610"/>
      <c r="M4" s="2610"/>
      <c r="N4" s="2610"/>
      <c r="O4" s="2610"/>
      <c r="P4" s="2610"/>
      <c r="Q4" s="2611"/>
      <c r="R4" s="2612">
        <f>SUM(L4:Q4)</f>
        <v>0</v>
      </c>
      <c r="S4" s="2590"/>
      <c r="T4" s="2590"/>
      <c r="U4" s="2590"/>
      <c r="V4" s="2598"/>
    </row>
    <row r="5" spans="1:22" s="2602" customFormat="1" ht="13.15"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15" customHeight="1" thickBot="1">
      <c r="A6" s="3433" t="s">
        <v>2335</v>
      </c>
      <c r="B6" s="3434"/>
      <c r="C6" s="3435"/>
      <c r="D6" s="2619"/>
      <c r="E6" s="2620"/>
      <c r="F6" s="2621"/>
      <c r="G6" s="2622"/>
      <c r="H6" s="2597"/>
      <c r="I6" s="2598"/>
      <c r="J6" s="3419">
        <v>1</v>
      </c>
      <c r="K6" s="3420"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15" customHeight="1">
      <c r="A7" s="2625" t="s">
        <v>2345</v>
      </c>
      <c r="B7" s="2626"/>
      <c r="C7" s="2627"/>
      <c r="D7" s="2628">
        <f>SUM(D9,D10,D11,D17,0)</f>
        <v>0</v>
      </c>
      <c r="E7" s="2629" t="e">
        <f>E9+E10+E11+E17</f>
        <v>#DIV/0!</v>
      </c>
      <c r="F7" s="2630"/>
      <c r="G7" s="2631"/>
      <c r="H7" s="2597"/>
      <c r="I7" s="2598"/>
      <c r="J7" s="3419"/>
      <c r="K7" s="3421"/>
      <c r="L7" s="2632" t="s">
        <v>2346</v>
      </c>
      <c r="M7" s="2633"/>
      <c r="N7" s="2609"/>
      <c r="O7" s="2634"/>
      <c r="P7" s="2634"/>
      <c r="Q7" s="2635">
        <v>365</v>
      </c>
      <c r="R7" s="2636">
        <f>ROUND(M7*N7*O7*P7*Q7/10000,0)</f>
        <v>0</v>
      </c>
      <c r="S7" s="2590"/>
      <c r="T7" s="2590" t="s">
        <v>2347</v>
      </c>
      <c r="U7" s="2590"/>
      <c r="V7" s="2598"/>
    </row>
    <row r="8" spans="1:22" s="2602" customFormat="1" ht="13.15" customHeight="1">
      <c r="A8" s="2637" t="s">
        <v>2348</v>
      </c>
      <c r="B8" s="3436" t="s">
        <v>2349</v>
      </c>
      <c r="C8" s="3437"/>
      <c r="D8" s="2638" t="s">
        <v>2350</v>
      </c>
      <c r="E8" s="2639" t="s">
        <v>2351</v>
      </c>
      <c r="F8" s="2640" t="s">
        <v>2352</v>
      </c>
      <c r="G8" s="2641"/>
      <c r="H8" s="2597"/>
      <c r="I8" s="2598"/>
      <c r="J8" s="3419"/>
      <c r="K8" s="3421"/>
      <c r="L8" s="2632" t="s">
        <v>2353</v>
      </c>
      <c r="M8" s="2633"/>
      <c r="N8" s="2609"/>
      <c r="O8" s="2634"/>
      <c r="P8" s="2634"/>
      <c r="Q8" s="2635">
        <v>365</v>
      </c>
      <c r="R8" s="2636">
        <f t="shared" ref="R8:R13" si="0">ROUND(M8*N8*O8*P8*Q8/10000,0)</f>
        <v>0</v>
      </c>
      <c r="S8" s="2590"/>
      <c r="T8" s="2590" t="s">
        <v>2354</v>
      </c>
      <c r="U8" s="2590"/>
      <c r="V8" s="2598"/>
    </row>
    <row r="9" spans="1:22" s="2602" customFormat="1" ht="13.15" customHeight="1">
      <c r="A9" s="2637">
        <v>1</v>
      </c>
      <c r="B9" s="3436" t="s">
        <v>2355</v>
      </c>
      <c r="C9" s="3437"/>
      <c r="D9" s="2638">
        <f>ROUND(D6*E9,0)</f>
        <v>0</v>
      </c>
      <c r="E9" s="2642"/>
      <c r="F9" s="2643" t="s">
        <v>2356</v>
      </c>
      <c r="G9" s="2622"/>
      <c r="H9" s="2597"/>
      <c r="I9" s="2598"/>
      <c r="J9" s="3419"/>
      <c r="K9" s="3421"/>
      <c r="L9" s="2632" t="s">
        <v>2357</v>
      </c>
      <c r="M9" s="2633"/>
      <c r="N9" s="2609"/>
      <c r="O9" s="2634"/>
      <c r="P9" s="2634"/>
      <c r="Q9" s="2635">
        <v>365</v>
      </c>
      <c r="R9" s="2636">
        <f t="shared" si="0"/>
        <v>0</v>
      </c>
      <c r="S9" s="2590"/>
      <c r="T9" s="2590"/>
      <c r="U9" s="2590"/>
      <c r="V9" s="2598"/>
    </row>
    <row r="10" spans="1:22" s="2602" customFormat="1" ht="13.15" customHeight="1">
      <c r="A10" s="2637">
        <v>2</v>
      </c>
      <c r="B10" s="3436" t="s">
        <v>2358</v>
      </c>
      <c r="C10" s="3437"/>
      <c r="D10" s="2638">
        <f>ROUND(D6*E10,0)</f>
        <v>0</v>
      </c>
      <c r="E10" s="2642"/>
      <c r="F10" s="2643" t="s">
        <v>2359</v>
      </c>
      <c r="G10" s="2622"/>
      <c r="H10" s="2597"/>
      <c r="I10" s="2598"/>
      <c r="J10" s="3419"/>
      <c r="K10" s="3421"/>
      <c r="L10" s="2632" t="s">
        <v>2360</v>
      </c>
      <c r="M10" s="2633"/>
      <c r="N10" s="2609"/>
      <c r="O10" s="2634"/>
      <c r="P10" s="2634"/>
      <c r="Q10" s="2635">
        <v>365</v>
      </c>
      <c r="R10" s="2636">
        <f t="shared" si="0"/>
        <v>0</v>
      </c>
      <c r="S10" s="2590"/>
      <c r="T10" s="2590"/>
      <c r="U10" s="2590"/>
      <c r="V10" s="2598"/>
    </row>
    <row r="11" spans="1:22" s="2602" customFormat="1" ht="13.15" customHeight="1">
      <c r="A11" s="2637">
        <v>3</v>
      </c>
      <c r="B11" s="3436" t="s">
        <v>2361</v>
      </c>
      <c r="C11" s="3437"/>
      <c r="D11" s="2638">
        <f>D12+D14+D15+D16</f>
        <v>0</v>
      </c>
      <c r="E11" s="2644" t="e">
        <f>D11/D6</f>
        <v>#DIV/0!</v>
      </c>
      <c r="F11" s="2640"/>
      <c r="G11" s="2641"/>
      <c r="H11" s="2597"/>
      <c r="I11" s="2598"/>
      <c r="J11" s="3419"/>
      <c r="K11" s="3421"/>
      <c r="L11" s="2632" t="s">
        <v>2362</v>
      </c>
      <c r="M11" s="2633"/>
      <c r="N11" s="2609"/>
      <c r="O11" s="2634"/>
      <c r="P11" s="2634"/>
      <c r="Q11" s="2635">
        <v>365</v>
      </c>
      <c r="R11" s="2636">
        <f t="shared" si="0"/>
        <v>0</v>
      </c>
      <c r="S11" s="2590"/>
      <c r="T11" s="2590"/>
      <c r="U11" s="2590"/>
      <c r="V11" s="2598"/>
    </row>
    <row r="12" spans="1:22" s="2602" customFormat="1" ht="13.15" customHeight="1">
      <c r="A12" s="2645" t="s">
        <v>2363</v>
      </c>
      <c r="B12" s="3429" t="s">
        <v>2364</v>
      </c>
      <c r="C12" s="3430"/>
      <c r="D12" s="2646">
        <f>ROUND(D13*1.2%*(1-30%),0)</f>
        <v>0</v>
      </c>
      <c r="E12" s="2647">
        <v>1.2E-2</v>
      </c>
      <c r="F12" s="2640" t="s">
        <v>2365</v>
      </c>
      <c r="G12" s="2641"/>
      <c r="H12" s="2597"/>
      <c r="I12" s="2598"/>
      <c r="J12" s="3419"/>
      <c r="K12" s="3421"/>
      <c r="L12" s="2632" t="s">
        <v>2366</v>
      </c>
      <c r="M12" s="2633"/>
      <c r="N12" s="2609"/>
      <c r="O12" s="2634"/>
      <c r="P12" s="2634"/>
      <c r="Q12" s="2635">
        <v>365</v>
      </c>
      <c r="R12" s="2636">
        <f t="shared" si="0"/>
        <v>0</v>
      </c>
      <c r="S12" s="2590"/>
      <c r="T12" s="2590"/>
      <c r="U12" s="2590"/>
      <c r="V12" s="2598"/>
    </row>
    <row r="13" spans="1:22" s="2602" customFormat="1" ht="13.15" customHeight="1">
      <c r="A13" s="2645"/>
      <c r="B13" s="2648"/>
      <c r="C13" s="2649" t="s">
        <v>2367</v>
      </c>
      <c r="D13" s="2650"/>
      <c r="E13" s="2651"/>
      <c r="F13" s="2640"/>
      <c r="G13" s="2641"/>
      <c r="H13" s="2597"/>
      <c r="I13" s="2598"/>
      <c r="J13" s="3419"/>
      <c r="K13" s="3421"/>
      <c r="L13" s="2632" t="s">
        <v>2368</v>
      </c>
      <c r="M13" s="2633"/>
      <c r="N13" s="2609"/>
      <c r="O13" s="2634"/>
      <c r="P13" s="2634"/>
      <c r="Q13" s="2635">
        <v>365</v>
      </c>
      <c r="R13" s="2636">
        <f t="shared" si="0"/>
        <v>0</v>
      </c>
      <c r="S13" s="2590"/>
      <c r="T13" s="2590"/>
      <c r="U13" s="2590"/>
      <c r="V13" s="2598"/>
    </row>
    <row r="14" spans="1:22" s="2602" customFormat="1" ht="13.15" customHeight="1">
      <c r="A14" s="2645" t="s">
        <v>2369</v>
      </c>
      <c r="B14" s="3429" t="s">
        <v>2370</v>
      </c>
      <c r="C14" s="3430"/>
      <c r="D14" s="2646">
        <f>ROUND(E14*B5/10000,0)</f>
        <v>0</v>
      </c>
      <c r="E14" s="2635"/>
      <c r="F14" s="2640" t="s">
        <v>2371</v>
      </c>
      <c r="G14" s="2641"/>
      <c r="H14" s="2597"/>
      <c r="I14" s="2598"/>
      <c r="J14" s="3419"/>
      <c r="K14" s="3422"/>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2373</v>
      </c>
      <c r="B15" s="3429" t="s">
        <v>2374</v>
      </c>
      <c r="C15" s="3430"/>
      <c r="D15" s="2646">
        <f>ROUND(D6*E15,0)</f>
        <v>0</v>
      </c>
      <c r="E15" s="2647">
        <v>5.5E-2</v>
      </c>
      <c r="F15" s="2640" t="s">
        <v>2375</v>
      </c>
      <c r="G15" s="2622"/>
      <c r="H15" s="2597"/>
      <c r="I15" s="2598"/>
      <c r="J15" s="3419">
        <v>2</v>
      </c>
      <c r="K15" s="3420"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15" customHeight="1">
      <c r="A16" s="2645" t="s">
        <v>2382</v>
      </c>
      <c r="B16" s="3429" t="s">
        <v>2383</v>
      </c>
      <c r="C16" s="3430"/>
      <c r="D16" s="2657">
        <f>D6*E16</f>
        <v>0</v>
      </c>
      <c r="E16" s="2658"/>
      <c r="F16" s="2643" t="s">
        <v>2384</v>
      </c>
      <c r="G16" s="2622"/>
      <c r="H16" s="2597"/>
      <c r="I16" s="2598"/>
      <c r="J16" s="3419"/>
      <c r="K16" s="3421"/>
      <c r="L16" s="2632" t="s">
        <v>2385</v>
      </c>
      <c r="M16" s="2633"/>
      <c r="N16" s="2633"/>
      <c r="O16" s="2634"/>
      <c r="P16" s="2635">
        <v>365</v>
      </c>
      <c r="Q16" s="2609"/>
      <c r="R16" s="2656">
        <f>ROUND(M16*N16*O16*P16/10000,0)</f>
        <v>0</v>
      </c>
      <c r="S16" s="2590"/>
      <c r="T16" s="2590"/>
      <c r="U16" s="2590"/>
      <c r="V16" s="2598"/>
    </row>
    <row r="17" spans="1:22" s="2602" customFormat="1" ht="13.15" customHeight="1" thickBot="1">
      <c r="A17" s="2659">
        <v>4</v>
      </c>
      <c r="B17" s="3431" t="s">
        <v>2386</v>
      </c>
      <c r="C17" s="3432"/>
      <c r="D17" s="2660">
        <f>ROUND(D6*E17,0)</f>
        <v>0</v>
      </c>
      <c r="E17" s="2661"/>
      <c r="F17" s="2662" t="s">
        <v>2387</v>
      </c>
      <c r="G17" s="2622"/>
      <c r="H17" s="2597"/>
      <c r="I17" s="2598"/>
      <c r="J17" s="3419"/>
      <c r="K17" s="3421"/>
      <c r="L17" s="2632" t="s">
        <v>2388</v>
      </c>
      <c r="M17" s="2633"/>
      <c r="N17" s="2633"/>
      <c r="O17" s="2634"/>
      <c r="P17" s="2635">
        <v>365</v>
      </c>
      <c r="Q17" s="2609"/>
      <c r="R17" s="2656">
        <f>ROUND(M17*N17*O17*P17/10000,0)</f>
        <v>0</v>
      </c>
      <c r="S17" s="2590"/>
      <c r="T17" s="2590"/>
      <c r="U17" s="2590"/>
      <c r="V17" s="2598"/>
    </row>
    <row r="18" spans="1:22" s="2602" customFormat="1" ht="13.15" customHeight="1" thickBot="1">
      <c r="A18" s="2625" t="s">
        <v>2389</v>
      </c>
      <c r="B18" s="2626"/>
      <c r="C18" s="2626"/>
      <c r="D18" s="2663">
        <f>ROUND(D6*E18,0)</f>
        <v>0</v>
      </c>
      <c r="E18" s="2664"/>
      <c r="F18" s="2665" t="s">
        <v>2390</v>
      </c>
      <c r="G18" s="2622"/>
      <c r="H18" s="2597"/>
      <c r="I18" s="2598"/>
      <c r="J18" s="3419"/>
      <c r="K18" s="3421"/>
      <c r="L18" s="2632" t="s">
        <v>2391</v>
      </c>
      <c r="M18" s="2633"/>
      <c r="N18" s="2633"/>
      <c r="O18" s="2634"/>
      <c r="P18" s="2635">
        <v>365</v>
      </c>
      <c r="Q18" s="2609"/>
      <c r="R18" s="2656">
        <f>ROUND(M18*N18*O18*P18/10000,0)</f>
        <v>0</v>
      </c>
      <c r="S18" s="2590"/>
      <c r="T18" s="2590"/>
      <c r="U18" s="2590"/>
      <c r="V18" s="2598"/>
    </row>
    <row r="19" spans="1:22" s="2602" customFormat="1" ht="13.15" customHeight="1" thickBot="1">
      <c r="A19" s="2666" t="s">
        <v>2392</v>
      </c>
      <c r="B19" s="2620"/>
      <c r="C19" s="2620"/>
      <c r="D19" s="2620"/>
      <c r="E19" s="2620"/>
      <c r="F19" s="2621"/>
      <c r="G19" s="2641"/>
      <c r="H19" s="2597"/>
      <c r="I19" s="2598"/>
      <c r="J19" s="3419"/>
      <c r="K19" s="3422"/>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19">
        <v>3</v>
      </c>
      <c r="K20" s="3420"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15" customHeight="1">
      <c r="A21" s="2625"/>
      <c r="B21" s="2626"/>
      <c r="C21" s="2671" t="s">
        <v>2401</v>
      </c>
      <c r="D21" s="2672" t="s">
        <v>2402</v>
      </c>
      <c r="E21" s="2673" t="s">
        <v>2403</v>
      </c>
      <c r="F21" s="2669"/>
      <c r="G21" s="2641"/>
      <c r="H21" s="2597"/>
      <c r="I21" s="2598"/>
      <c r="J21" s="3419"/>
      <c r="K21" s="3421"/>
      <c r="L21" s="2632" t="s">
        <v>2404</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2405</v>
      </c>
      <c r="D22" s="2676" t="s">
        <v>2406</v>
      </c>
      <c r="E22" s="2677" t="s">
        <v>2407</v>
      </c>
      <c r="F22" s="2669"/>
      <c r="G22" s="2590"/>
      <c r="H22" s="2597"/>
      <c r="I22" s="2598"/>
      <c r="J22" s="3419"/>
      <c r="K22" s="3421"/>
      <c r="L22" s="2632" t="s">
        <v>2408</v>
      </c>
      <c r="M22" s="2633"/>
      <c r="N22" s="2633"/>
      <c r="O22" s="2634"/>
      <c r="P22" s="2635">
        <v>365</v>
      </c>
      <c r="Q22" s="2609"/>
      <c r="R22" s="2674">
        <f>ROUND(M22*N22*O22*P22/10000,0)</f>
        <v>0</v>
      </c>
      <c r="S22" s="2590"/>
      <c r="T22" s="2590"/>
      <c r="U22" s="2590"/>
      <c r="V22" s="2598"/>
    </row>
    <row r="23" spans="1:22" s="2602" customFormat="1" ht="13.15" customHeight="1">
      <c r="A23" s="2678">
        <v>1</v>
      </c>
      <c r="B23" s="2679" t="s">
        <v>2409</v>
      </c>
      <c r="C23" s="2680">
        <f>D6</f>
        <v>0</v>
      </c>
      <c r="D23" s="2681">
        <f>C23*(1+D24)</f>
        <v>0</v>
      </c>
      <c r="E23" s="2682">
        <f>D23*(1+E24)</f>
        <v>0</v>
      </c>
      <c r="F23" s="2683"/>
      <c r="G23" s="2684"/>
      <c r="H23" s="2597"/>
      <c r="I23" s="2598"/>
      <c r="J23" s="3419"/>
      <c r="K23" s="3421"/>
      <c r="L23" s="2632" t="s">
        <v>2410</v>
      </c>
      <c r="M23" s="2633"/>
      <c r="N23" s="2633"/>
      <c r="O23" s="2634"/>
      <c r="P23" s="2635">
        <v>365</v>
      </c>
      <c r="Q23" s="2609"/>
      <c r="R23" s="2674">
        <f>ROUND(M23*N23*O23*P23/10000,0)</f>
        <v>0</v>
      </c>
      <c r="S23" s="2590"/>
      <c r="T23" s="2590"/>
      <c r="U23" s="2590"/>
      <c r="V23" s="2598"/>
    </row>
    <row r="24" spans="1:22" s="2602" customFormat="1" ht="13.15" customHeight="1">
      <c r="A24" s="2685"/>
      <c r="B24" s="2686" t="s">
        <v>2411</v>
      </c>
      <c r="C24" s="2687"/>
      <c r="D24" s="2688"/>
      <c r="E24" s="2689"/>
      <c r="F24" s="2690"/>
      <c r="G24" s="2684"/>
      <c r="H24" s="2597"/>
      <c r="I24" s="2598"/>
      <c r="J24" s="3419"/>
      <c r="K24" s="3422"/>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15" customHeight="1">
      <c r="A26" s="2678">
        <v>2</v>
      </c>
      <c r="B26" s="2679" t="s">
        <v>2413</v>
      </c>
      <c r="C26" s="2680">
        <f>D7</f>
        <v>0</v>
      </c>
      <c r="D26" s="2681">
        <f>D23*D27</f>
        <v>0</v>
      </c>
      <c r="E26" s="2682">
        <f>E23*E27</f>
        <v>0</v>
      </c>
      <c r="F26" s="2683"/>
      <c r="G26" s="2684"/>
      <c r="H26" s="2597"/>
      <c r="I26" s="2598"/>
      <c r="J26" s="3423">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15" customHeight="1">
      <c r="A27" s="2685"/>
      <c r="B27" s="2686" t="s">
        <v>2419</v>
      </c>
      <c r="C27" s="2703" t="e">
        <f>E7</f>
        <v>#DIV/0!</v>
      </c>
      <c r="D27" s="2688"/>
      <c r="E27" s="2689"/>
      <c r="F27" s="2690"/>
      <c r="G27" s="2684"/>
      <c r="H27" s="2704"/>
      <c r="I27" s="2696"/>
      <c r="J27" s="3424"/>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15"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15" customHeight="1">
      <c r="A32" s="2678">
        <v>4</v>
      </c>
      <c r="B32" s="2679" t="s">
        <v>2427</v>
      </c>
      <c r="C32" s="2680">
        <f>C23-C26-C29</f>
        <v>0</v>
      </c>
      <c r="D32" s="2681">
        <f>D23-D26-D29</f>
        <v>0</v>
      </c>
      <c r="E32" s="2682">
        <f>E23-E26-E29</f>
        <v>0</v>
      </c>
      <c r="F32" s="2683"/>
      <c r="G32" s="2590"/>
      <c r="H32" s="2597"/>
      <c r="I32" s="2598"/>
      <c r="J32" s="3425" t="s">
        <v>2319</v>
      </c>
      <c r="K32" s="3426"/>
      <c r="L32" s="2599" t="s">
        <v>2320</v>
      </c>
      <c r="M32" s="2599" t="s">
        <v>2321</v>
      </c>
      <c r="N32" s="2599" t="s">
        <v>2322</v>
      </c>
      <c r="O32" s="2599" t="s">
        <v>2323</v>
      </c>
      <c r="P32" s="2599" t="s">
        <v>2324</v>
      </c>
      <c r="Q32" s="2600" t="s">
        <v>2325</v>
      </c>
      <c r="R32" s="2719" t="s">
        <v>2326</v>
      </c>
      <c r="S32" s="2590"/>
      <c r="T32" s="2590"/>
      <c r="U32" s="2590"/>
      <c r="V32" s="2696"/>
    </row>
    <row r="33" spans="1:23" s="2602" customFormat="1" ht="13.15" customHeight="1">
      <c r="A33" s="2678"/>
      <c r="B33" s="2679"/>
      <c r="C33" s="2680"/>
      <c r="D33" s="2720"/>
      <c r="E33" s="2721"/>
      <c r="F33" s="2683"/>
      <c r="G33" s="2590"/>
      <c r="H33" s="2704"/>
      <c r="I33" s="2696"/>
      <c r="J33" s="3427" t="s">
        <v>2329</v>
      </c>
      <c r="K33" s="3428"/>
      <c r="L33" s="2605"/>
      <c r="M33" s="2605"/>
      <c r="N33" s="2605"/>
      <c r="O33" s="2605"/>
      <c r="P33" s="2605"/>
      <c r="Q33" s="2606"/>
      <c r="R33" s="2722">
        <f>SUM(L33:Q33)</f>
        <v>0</v>
      </c>
      <c r="S33" s="2590"/>
      <c r="T33" s="2590"/>
      <c r="U33" s="2590"/>
      <c r="V33" s="2598"/>
    </row>
    <row r="34" spans="1:23" s="2602" customFormat="1" ht="13.15" customHeight="1">
      <c r="A34" s="2678">
        <v>5</v>
      </c>
      <c r="B34" s="2679" t="s">
        <v>2428</v>
      </c>
      <c r="C34" s="2723"/>
      <c r="D34" s="2724"/>
      <c r="E34" s="2725"/>
      <c r="F34" s="2683"/>
      <c r="G34" s="2590"/>
      <c r="H34" s="2704"/>
      <c r="I34" s="2696"/>
      <c r="J34" s="3427" t="s">
        <v>2331</v>
      </c>
      <c r="K34" s="3428"/>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15" customHeight="1" thickBot="1">
      <c r="A36" s="2678">
        <v>7</v>
      </c>
      <c r="B36" s="2732" t="s">
        <v>2430</v>
      </c>
      <c r="C36" s="2733"/>
      <c r="D36" s="2734"/>
      <c r="E36" s="2735"/>
      <c r="F36" s="2736">
        <f>C36+D36+E36</f>
        <v>0</v>
      </c>
      <c r="G36" s="2590"/>
      <c r="H36" s="2597"/>
      <c r="I36" s="2598"/>
      <c r="J36" s="3419">
        <v>1</v>
      </c>
      <c r="K36" s="3420" t="s">
        <v>2431</v>
      </c>
      <c r="L36" s="2623"/>
      <c r="M36" s="2624"/>
      <c r="N36" s="2624"/>
      <c r="O36" s="2624"/>
      <c r="P36" s="2624"/>
      <c r="Q36" s="2624"/>
      <c r="R36" s="2607" t="s">
        <v>2343</v>
      </c>
      <c r="S36" s="2590"/>
      <c r="T36" s="2590" t="s">
        <v>2344</v>
      </c>
      <c r="U36" s="2590"/>
      <c r="V36" s="2598"/>
    </row>
    <row r="37" spans="1:23" s="2602" customFormat="1" ht="13.15" customHeight="1">
      <c r="A37" s="2678"/>
      <c r="B37" s="2679"/>
      <c r="C37" s="2679"/>
      <c r="D37" s="2679"/>
      <c r="E37" s="2679"/>
      <c r="F37" s="2683"/>
      <c r="G37" s="2590"/>
      <c r="H37" s="2597"/>
      <c r="I37" s="2598"/>
      <c r="J37" s="3419"/>
      <c r="K37" s="3421"/>
      <c r="L37" s="2632"/>
      <c r="M37" s="2633"/>
      <c r="N37" s="2609"/>
      <c r="O37" s="2634"/>
      <c r="P37" s="2634"/>
      <c r="Q37" s="2635"/>
      <c r="R37" s="2636"/>
      <c r="S37" s="2590"/>
      <c r="T37" s="2590" t="s">
        <v>2347</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19"/>
      <c r="K38" s="3421"/>
      <c r="L38" s="2632"/>
      <c r="M38" s="2633"/>
      <c r="N38" s="2609"/>
      <c r="O38" s="2634"/>
      <c r="P38" s="2634"/>
      <c r="Q38" s="2635"/>
      <c r="R38" s="2636"/>
      <c r="S38" s="2590"/>
      <c r="T38" s="2590" t="s">
        <v>2354</v>
      </c>
      <c r="U38" s="2590"/>
      <c r="V38" s="2598"/>
    </row>
    <row r="39" spans="1:23" s="2602" customFormat="1" ht="13.15" customHeight="1">
      <c r="A39" s="2678">
        <v>9</v>
      </c>
      <c r="B39" s="2679" t="s">
        <v>2432</v>
      </c>
      <c r="C39" s="2646" t="e">
        <f>C38</f>
        <v>#DIV/0!</v>
      </c>
      <c r="D39" s="2679">
        <f>D38/(1+D34)^C36</f>
        <v>0</v>
      </c>
      <c r="E39" s="2679">
        <f>E38/(1+E34)^(C36+D36)</f>
        <v>0</v>
      </c>
      <c r="F39" s="2683"/>
      <c r="G39" s="2598"/>
      <c r="H39" s="2597"/>
      <c r="I39" s="2598"/>
      <c r="J39" s="3419"/>
      <c r="K39" s="3421"/>
      <c r="L39" s="2632"/>
      <c r="M39" s="2633"/>
      <c r="N39" s="2609"/>
      <c r="O39" s="2634"/>
      <c r="P39" s="2634"/>
      <c r="Q39" s="2635"/>
      <c r="R39" s="2636"/>
      <c r="S39" s="2590"/>
      <c r="T39" s="2590"/>
      <c r="U39" s="2590"/>
      <c r="V39" s="2598"/>
    </row>
    <row r="40" spans="1:23" s="2602" customFormat="1" ht="13.15" customHeight="1">
      <c r="A40" s="2737">
        <v>10</v>
      </c>
      <c r="B40" s="2679" t="s">
        <v>2433</v>
      </c>
      <c r="C40" s="2738" t="e">
        <f>C39+D39+E39</f>
        <v>#DIV/0!</v>
      </c>
      <c r="D40" s="2739"/>
      <c r="E40" s="2739"/>
      <c r="F40" s="2740"/>
      <c r="G40" s="2590"/>
      <c r="H40" s="2597"/>
      <c r="I40" s="2598"/>
      <c r="J40" s="3419"/>
      <c r="K40" s="3422"/>
      <c r="L40" s="2652" t="s">
        <v>2372</v>
      </c>
      <c r="M40" s="2653"/>
      <c r="N40" s="2653"/>
      <c r="O40" s="2654"/>
      <c r="P40" s="2654"/>
      <c r="Q40" s="2655"/>
      <c r="R40" s="2601">
        <f>SUM(R37:R39)</f>
        <v>0</v>
      </c>
      <c r="S40" s="2590"/>
      <c r="T40" s="2590"/>
      <c r="U40" s="2590"/>
      <c r="V40" s="2598"/>
    </row>
    <row r="41" spans="1:23" s="2602" customFormat="1" ht="13.15"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15" customHeight="1">
      <c r="G42" s="2597"/>
      <c r="H42" s="2597"/>
      <c r="I42" s="2598"/>
      <c r="J42" s="3423">
        <v>3</v>
      </c>
      <c r="K42" s="2698" t="s">
        <v>2414</v>
      </c>
      <c r="L42" s="2699"/>
      <c r="M42" s="2700"/>
      <c r="N42" s="2701" t="s">
        <v>2415</v>
      </c>
      <c r="O42" s="2701" t="s">
        <v>2416</v>
      </c>
      <c r="P42" s="2702" t="s">
        <v>2417</v>
      </c>
      <c r="Q42" s="2702" t="s">
        <v>2418</v>
      </c>
      <c r="R42" s="2607" t="s">
        <v>2343</v>
      </c>
      <c r="S42" s="2641"/>
      <c r="T42" s="2641"/>
      <c r="U42" s="2590"/>
      <c r="V42" s="2598"/>
    </row>
    <row r="43" spans="1:23" ht="13.15" customHeight="1">
      <c r="A43" s="2602"/>
      <c r="B43" s="2602"/>
      <c r="C43" s="2602"/>
      <c r="D43" s="2602"/>
      <c r="E43" s="2602"/>
      <c r="F43" s="2602"/>
      <c r="I43" s="2585"/>
      <c r="J43" s="3424"/>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0">
        <f ca="1">SUMIF(B6:B13,"&lt;&gt;#ref!",B6:B13)</f>
        <v>128.05099999999999</v>
      </c>
      <c r="C2" s="1729" t="s">
        <v>1651</v>
      </c>
      <c r="D2" s="1730" t="s">
        <v>1652</v>
      </c>
      <c r="E2" s="2391">
        <f>SUM(E6:E13)</f>
        <v>94.12</v>
      </c>
      <c r="F2" s="2477"/>
      <c r="G2" s="459"/>
      <c r="H2" s="459"/>
      <c r="I2" s="459"/>
      <c r="J2" s="459"/>
      <c r="K2" s="459"/>
      <c r="L2" s="459"/>
      <c r="M2" s="459"/>
      <c r="N2" s="459"/>
      <c r="O2" s="459"/>
      <c r="P2" s="459"/>
      <c r="Q2" s="459"/>
      <c r="R2" s="459"/>
      <c r="S2" s="459"/>
    </row>
    <row r="3" spans="1:22" ht="15.75">
      <c r="A3" s="1728" t="s">
        <v>686</v>
      </c>
      <c r="B3" s="2385">
        <f ca="1">ROUND(B2*10000/E2,0)</f>
        <v>13605</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438" t="s">
        <v>1654</v>
      </c>
      <c r="C5" s="3439"/>
      <c r="D5" s="2478"/>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128.05099999999999</v>
      </c>
      <c r="C6" s="1729" t="s">
        <v>1651</v>
      </c>
      <c r="D6" s="2477"/>
      <c r="E6" s="2390">
        <f>IF(OR(A6=0,F6="否"),0,'数据-取费表'!K6+'数据-取费表'!S6)</f>
        <v>94.12</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受贵公司委托，我公司对北京市朝阳区十里堡甲3号A座4层05F写字楼用房房地产抵押价值进行了预评估。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估价对象为北京市朝阳区十里堡甲3号A座4层05F写字楼用房房地产，为所有。根据《国有土地使用证》[]，估价对象（分摊）出让国有建设用地使用权面积为22.76平方米，建筑面积为94.12平方米。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十里堡甲3号A座4层05F写字楼用房房地产,属开发建设的办公项目，该项目尚在开发建设中。根据《国有土地使用证》[]，估价对象（分摊）出让国有建设用地使用权面积为22.76平方米，规划建筑面积为94.12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朝阳区十里堡甲3号A座4层05F写字楼用房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2024年6月7日（评估专业人员实地查勘之日）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3"/>
      <c r="H2" s="853"/>
      <c r="I2" s="853"/>
      <c r="J2" s="853"/>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94.12</v>
      </c>
      <c r="E3" s="853"/>
      <c r="F3" s="1743"/>
      <c r="G3" s="853"/>
      <c r="H3" s="853"/>
      <c r="I3" s="853"/>
      <c r="J3" s="853"/>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382" t="s">
        <v>1667</v>
      </c>
      <c r="D4" s="3383"/>
      <c r="E4" s="3384" t="s">
        <v>1668</v>
      </c>
      <c r="F4" s="3385"/>
      <c r="G4" s="3382" t="s">
        <v>1669</v>
      </c>
      <c r="H4" s="3383"/>
      <c r="I4" s="3382" t="s">
        <v>1670</v>
      </c>
      <c r="J4" s="3383"/>
      <c r="K4" s="1744" t="s">
        <v>1671</v>
      </c>
      <c r="L4" s="2484"/>
      <c r="M4" s="2485"/>
      <c r="N4" s="2485"/>
      <c r="O4" s="2485"/>
      <c r="P4" s="3444" t="s">
        <v>1672</v>
      </c>
      <c r="Q4" s="3445"/>
      <c r="R4" s="3448" t="s">
        <v>1668</v>
      </c>
      <c r="S4" s="3449"/>
      <c r="T4" s="3448" t="s">
        <v>1669</v>
      </c>
      <c r="U4" s="3449"/>
      <c r="V4" s="3352" t="s">
        <v>1670</v>
      </c>
      <c r="W4" s="3352"/>
      <c r="X4" s="1265"/>
      <c r="Y4" s="3448" t="s">
        <v>1672</v>
      </c>
      <c r="Z4" s="3449"/>
      <c r="AA4" s="3443" t="s">
        <v>1668</v>
      </c>
      <c r="AB4" s="3443" t="s">
        <v>1669</v>
      </c>
      <c r="AC4" s="3443" t="s">
        <v>1670</v>
      </c>
    </row>
    <row r="5" spans="1:29" ht="15">
      <c r="A5" s="348"/>
      <c r="B5" s="349"/>
      <c r="C5" s="3450" t="s">
        <v>1673</v>
      </c>
      <c r="D5" s="3393"/>
      <c r="E5" s="3451" t="s">
        <v>1674</v>
      </c>
      <c r="F5" s="3395"/>
      <c r="G5" s="3450" t="s">
        <v>1675</v>
      </c>
      <c r="H5" s="3393"/>
      <c r="I5" s="3450" t="s">
        <v>1676</v>
      </c>
      <c r="J5" s="3393"/>
      <c r="K5" s="1745"/>
      <c r="L5" s="2484"/>
      <c r="M5" s="2485"/>
      <c r="N5" s="2485"/>
      <c r="O5" s="2485"/>
      <c r="P5" s="3446"/>
      <c r="Q5" s="3389"/>
      <c r="R5" s="3371"/>
      <c r="S5" s="3372"/>
      <c r="T5" s="3371"/>
      <c r="U5" s="3372"/>
      <c r="V5" s="3352"/>
      <c r="W5" s="3352"/>
      <c r="X5" s="1265"/>
      <c r="Y5" s="3371"/>
      <c r="Z5" s="3372"/>
      <c r="AA5" s="3376"/>
      <c r="AB5" s="3376"/>
      <c r="AC5" s="3376"/>
    </row>
    <row r="6" spans="1:29" ht="15.75" thickBot="1">
      <c r="A6" s="350"/>
      <c r="B6" s="351"/>
      <c r="C6" s="3396" t="s">
        <v>1677</v>
      </c>
      <c r="D6" s="3397"/>
      <c r="E6" s="3398" t="s">
        <v>1677</v>
      </c>
      <c r="F6" s="3399"/>
      <c r="G6" s="3396" t="s">
        <v>1677</v>
      </c>
      <c r="H6" s="3397"/>
      <c r="I6" s="3396" t="s">
        <v>1677</v>
      </c>
      <c r="J6" s="3397"/>
      <c r="K6" s="1745" t="s">
        <v>1678</v>
      </c>
      <c r="L6" s="2484"/>
      <c r="M6" s="2485"/>
      <c r="N6" s="2485"/>
      <c r="O6" s="2485"/>
      <c r="P6" s="3447"/>
      <c r="Q6" s="3391"/>
      <c r="R6" s="3371"/>
      <c r="S6" s="3372"/>
      <c r="T6" s="3373"/>
      <c r="U6" s="3374"/>
      <c r="V6" s="3352"/>
      <c r="W6" s="3352"/>
      <c r="X6" s="1265"/>
      <c r="Y6" s="3373"/>
      <c r="Z6" s="3374"/>
      <c r="AA6" s="3377"/>
      <c r="AB6" s="3377"/>
      <c r="AC6" s="3377"/>
    </row>
    <row r="7" spans="1:29" s="102" customFormat="1" ht="15.75" thickBot="1">
      <c r="A7" s="352" t="s">
        <v>1679</v>
      </c>
      <c r="B7" s="353"/>
      <c r="C7" s="354">
        <f>'数据-取费表'!B2</f>
        <v>45450</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67" t="s">
        <v>1680</v>
      </c>
      <c r="Q7" s="3378"/>
      <c r="R7" s="663" t="s">
        <v>20</v>
      </c>
      <c r="S7" s="664">
        <f t="shared" ref="S7:S15" si="0">F7</f>
        <v>0</v>
      </c>
      <c r="T7" s="663" t="s">
        <v>20</v>
      </c>
      <c r="U7" s="664">
        <f t="shared" ref="U7:U15" si="1">H7</f>
        <v>0</v>
      </c>
      <c r="V7" s="663" t="s">
        <v>20</v>
      </c>
      <c r="W7" s="664">
        <f t="shared" ref="W7:W15" si="2">J7</f>
        <v>0</v>
      </c>
      <c r="X7" s="665"/>
      <c r="Y7" s="3367" t="s">
        <v>1680</v>
      </c>
      <c r="Z7" s="3366"/>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67" t="s">
        <v>1683</v>
      </c>
      <c r="Q8" s="3366"/>
      <c r="R8" s="663" t="s">
        <v>20</v>
      </c>
      <c r="S8" s="664">
        <f t="shared" si="0"/>
        <v>100</v>
      </c>
      <c r="T8" s="663" t="s">
        <v>20</v>
      </c>
      <c r="U8" s="664">
        <f t="shared" si="1"/>
        <v>100</v>
      </c>
      <c r="V8" s="663" t="s">
        <v>20</v>
      </c>
      <c r="W8" s="664">
        <f t="shared" si="2"/>
        <v>100</v>
      </c>
      <c r="X8" s="665"/>
      <c r="Y8" s="3367" t="s">
        <v>1683</v>
      </c>
      <c r="Z8" s="336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50" t="s">
        <v>1686</v>
      </c>
      <c r="Q9" s="530"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50"/>
      <c r="Q10" s="530"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50"/>
      <c r="Q11" s="530" t="str">
        <f t="shared" si="6"/>
        <v>容积率</v>
      </c>
      <c r="R11" s="663" t="s">
        <v>18</v>
      </c>
      <c r="S11" s="664" t="e">
        <f t="shared" si="0"/>
        <v>#N/A</v>
      </c>
      <c r="T11" s="663" t="s">
        <v>18</v>
      </c>
      <c r="U11" s="664" t="e">
        <f t="shared" si="1"/>
        <v>#N/A</v>
      </c>
      <c r="V11" s="663" t="s">
        <v>18</v>
      </c>
      <c r="W11" s="664" t="e">
        <f t="shared" si="2"/>
        <v>#N/A</v>
      </c>
      <c r="X11" s="665"/>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50"/>
      <c r="Q12" s="530">
        <f t="shared" si="6"/>
        <v>111</v>
      </c>
      <c r="R12" s="663" t="s">
        <v>18</v>
      </c>
      <c r="S12" s="664">
        <f t="shared" si="0"/>
        <v>100</v>
      </c>
      <c r="T12" s="663" t="s">
        <v>18</v>
      </c>
      <c r="U12" s="664">
        <f t="shared" si="1"/>
        <v>100</v>
      </c>
      <c r="V12" s="663" t="s">
        <v>18</v>
      </c>
      <c r="W12" s="664">
        <f t="shared" si="2"/>
        <v>100</v>
      </c>
      <c r="X12" s="665"/>
      <c r="Y12" s="32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50"/>
      <c r="Q13" s="530">
        <f t="shared" si="6"/>
        <v>111</v>
      </c>
      <c r="R13" s="663" t="s">
        <v>18</v>
      </c>
      <c r="S13" s="664">
        <f t="shared" si="0"/>
        <v>100</v>
      </c>
      <c r="T13" s="663" t="s">
        <v>18</v>
      </c>
      <c r="U13" s="664">
        <f t="shared" si="1"/>
        <v>100</v>
      </c>
      <c r="V13" s="663" t="s">
        <v>18</v>
      </c>
      <c r="W13" s="664">
        <f t="shared" si="2"/>
        <v>100</v>
      </c>
      <c r="X13" s="665"/>
      <c r="Y13" s="324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50"/>
      <c r="Q14" s="530">
        <f t="shared" si="6"/>
        <v>111</v>
      </c>
      <c r="R14" s="663" t="s">
        <v>18</v>
      </c>
      <c r="S14" s="664">
        <f t="shared" si="0"/>
        <v>100</v>
      </c>
      <c r="T14" s="663" t="s">
        <v>18</v>
      </c>
      <c r="U14" s="664">
        <f t="shared" si="1"/>
        <v>100</v>
      </c>
      <c r="V14" s="663" t="s">
        <v>18</v>
      </c>
      <c r="W14" s="664">
        <f t="shared" si="2"/>
        <v>100</v>
      </c>
      <c r="X14" s="665"/>
      <c r="Y14" s="3249"/>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56" t="s">
        <v>1691</v>
      </c>
      <c r="Q15" s="1263" t="str">
        <f t="shared" si="6"/>
        <v>居住社区成熟度</v>
      </c>
      <c r="R15" s="666" t="s">
        <v>18</v>
      </c>
      <c r="S15" s="667">
        <f t="shared" si="0"/>
        <v>100</v>
      </c>
      <c r="T15" s="666" t="s">
        <v>18</v>
      </c>
      <c r="U15" s="667">
        <f t="shared" si="1"/>
        <v>100</v>
      </c>
      <c r="V15" s="666" t="s">
        <v>18</v>
      </c>
      <c r="W15" s="667">
        <f t="shared" si="2"/>
        <v>100</v>
      </c>
      <c r="X15" s="1265"/>
      <c r="Y15" s="335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57"/>
      <c r="Q16" s="1263"/>
      <c r="R16" s="666"/>
      <c r="S16" s="667"/>
      <c r="T16" s="666"/>
      <c r="U16" s="667"/>
      <c r="V16" s="666"/>
      <c r="W16" s="667"/>
      <c r="X16" s="1265"/>
      <c r="Y16" s="3359"/>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57"/>
      <c r="Q17" s="1263" t="str">
        <f>B17</f>
        <v>交通便捷度</v>
      </c>
      <c r="R17" s="666" t="s">
        <v>18</v>
      </c>
      <c r="S17" s="667">
        <f>F17</f>
        <v>100</v>
      </c>
      <c r="T17" s="666" t="s">
        <v>18</v>
      </c>
      <c r="U17" s="667">
        <f>H17</f>
        <v>100</v>
      </c>
      <c r="V17" s="666" t="s">
        <v>18</v>
      </c>
      <c r="W17" s="667">
        <f>J17</f>
        <v>100</v>
      </c>
      <c r="X17" s="1265"/>
      <c r="Y17" s="335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57"/>
      <c r="Q18" s="1263"/>
      <c r="R18" s="666"/>
      <c r="S18" s="667"/>
      <c r="T18" s="666"/>
      <c r="U18" s="667"/>
      <c r="V18" s="666"/>
      <c r="W18" s="667"/>
      <c r="X18" s="1265"/>
      <c r="Y18" s="3359"/>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57"/>
      <c r="Q19" s="1263" t="str">
        <f>B19</f>
        <v>公共配套设施</v>
      </c>
      <c r="R19" s="666" t="s">
        <v>18</v>
      </c>
      <c r="S19" s="667">
        <f>F19</f>
        <v>100</v>
      </c>
      <c r="T19" s="666" t="s">
        <v>18</v>
      </c>
      <c r="U19" s="667">
        <f>H19</f>
        <v>100</v>
      </c>
      <c r="V19" s="666" t="s">
        <v>18</v>
      </c>
      <c r="W19" s="667">
        <f>J19</f>
        <v>100</v>
      </c>
      <c r="X19" s="1265"/>
      <c r="Y19" s="335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57"/>
      <c r="Q20" s="1263"/>
      <c r="R20" s="666"/>
      <c r="S20" s="667"/>
      <c r="T20" s="666"/>
      <c r="U20" s="667"/>
      <c r="V20" s="666"/>
      <c r="W20" s="667"/>
      <c r="X20" s="1265"/>
      <c r="Y20" s="3359"/>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57"/>
      <c r="Q21" s="1263" t="str">
        <f>B21</f>
        <v>基础设施水平</v>
      </c>
      <c r="R21" s="666" t="s">
        <v>14</v>
      </c>
      <c r="S21" s="667">
        <f>F21</f>
        <v>100</v>
      </c>
      <c r="T21" s="666" t="s">
        <v>14</v>
      </c>
      <c r="U21" s="667">
        <f>H21</f>
        <v>100</v>
      </c>
      <c r="V21" s="666" t="s">
        <v>14</v>
      </c>
      <c r="W21" s="667">
        <f>J21</f>
        <v>100</v>
      </c>
      <c r="X21" s="1265"/>
      <c r="Y21" s="335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57"/>
      <c r="Q22" s="1263"/>
      <c r="R22" s="666"/>
      <c r="S22" s="667"/>
      <c r="T22" s="666"/>
      <c r="U22" s="667"/>
      <c r="V22" s="666"/>
      <c r="W22" s="667"/>
      <c r="X22" s="1265"/>
      <c r="Y22" s="3359"/>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57"/>
      <c r="Q23" s="1263" t="str">
        <f>B23</f>
        <v>自然及人文环境</v>
      </c>
      <c r="R23" s="666" t="s">
        <v>18</v>
      </c>
      <c r="S23" s="667">
        <f>F23</f>
        <v>100</v>
      </c>
      <c r="T23" s="666" t="s">
        <v>18</v>
      </c>
      <c r="U23" s="667">
        <f>H23</f>
        <v>100</v>
      </c>
      <c r="V23" s="666" t="s">
        <v>18</v>
      </c>
      <c r="W23" s="667">
        <f>J23</f>
        <v>100</v>
      </c>
      <c r="X23" s="1265"/>
      <c r="Y23" s="335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57"/>
      <c r="Q24" s="1263"/>
      <c r="R24" s="666"/>
      <c r="S24" s="667"/>
      <c r="T24" s="666"/>
      <c r="U24" s="667"/>
      <c r="V24" s="666"/>
      <c r="W24" s="667"/>
      <c r="X24" s="1265"/>
      <c r="Y24" s="335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57"/>
      <c r="Q25" s="1263" t="str">
        <f t="shared" ref="Q25:Q46" si="11">B25</f>
        <v>楼层-1</v>
      </c>
      <c r="R25" s="666" t="s">
        <v>18</v>
      </c>
      <c r="S25" s="667">
        <f t="shared" ref="S25:S46" si="12">F25</f>
        <v>100</v>
      </c>
      <c r="T25" s="666" t="s">
        <v>18</v>
      </c>
      <c r="U25" s="667">
        <f t="shared" ref="U25:U46" si="13">H25</f>
        <v>100</v>
      </c>
      <c r="V25" s="666" t="s">
        <v>18</v>
      </c>
      <c r="W25" s="667">
        <f t="shared" ref="W25:W46" si="14">J25</f>
        <v>100</v>
      </c>
      <c r="X25" s="1265"/>
      <c r="Y25" s="335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57"/>
      <c r="Q26" s="1263" t="str">
        <f t="shared" si="11"/>
        <v>朝向</v>
      </c>
      <c r="R26" s="666" t="s">
        <v>18</v>
      </c>
      <c r="S26" s="667">
        <f t="shared" si="12"/>
        <v>100</v>
      </c>
      <c r="T26" s="666" t="s">
        <v>18</v>
      </c>
      <c r="U26" s="667">
        <f t="shared" si="13"/>
        <v>100</v>
      </c>
      <c r="V26" s="666" t="s">
        <v>18</v>
      </c>
      <c r="W26" s="667">
        <f t="shared" si="14"/>
        <v>100</v>
      </c>
      <c r="X26" s="1265"/>
      <c r="Y26" s="335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57"/>
      <c r="Q27" s="530">
        <f t="shared" si="11"/>
        <v>111</v>
      </c>
      <c r="R27" s="663" t="s">
        <v>18</v>
      </c>
      <c r="S27" s="664">
        <f t="shared" si="12"/>
        <v>100</v>
      </c>
      <c r="T27" s="663" t="s">
        <v>18</v>
      </c>
      <c r="U27" s="664">
        <f t="shared" si="13"/>
        <v>100</v>
      </c>
      <c r="V27" s="663" t="s">
        <v>18</v>
      </c>
      <c r="W27" s="664">
        <f t="shared" si="14"/>
        <v>100</v>
      </c>
      <c r="X27" s="665"/>
      <c r="Y27" s="335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57"/>
      <c r="Q28" s="1263">
        <f t="shared" si="11"/>
        <v>111</v>
      </c>
      <c r="R28" s="666" t="s">
        <v>18</v>
      </c>
      <c r="S28" s="667">
        <f t="shared" si="12"/>
        <v>100</v>
      </c>
      <c r="T28" s="666" t="s">
        <v>18</v>
      </c>
      <c r="U28" s="667">
        <f t="shared" si="13"/>
        <v>100</v>
      </c>
      <c r="V28" s="666" t="s">
        <v>18</v>
      </c>
      <c r="W28" s="667">
        <f t="shared" si="14"/>
        <v>100</v>
      </c>
      <c r="X28" s="1265"/>
      <c r="Y28" s="335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57"/>
      <c r="Q29" s="1263">
        <f t="shared" si="11"/>
        <v>111</v>
      </c>
      <c r="R29" s="666" t="s">
        <v>18</v>
      </c>
      <c r="S29" s="667">
        <f t="shared" si="12"/>
        <v>100</v>
      </c>
      <c r="T29" s="666" t="s">
        <v>18</v>
      </c>
      <c r="U29" s="667">
        <f t="shared" si="13"/>
        <v>100</v>
      </c>
      <c r="V29" s="666" t="s">
        <v>18</v>
      </c>
      <c r="W29" s="667">
        <f t="shared" si="14"/>
        <v>100</v>
      </c>
      <c r="X29" s="1265"/>
      <c r="Y29" s="335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57"/>
      <c r="Q30" s="1263">
        <f t="shared" si="11"/>
        <v>111</v>
      </c>
      <c r="R30" s="666" t="s">
        <v>18</v>
      </c>
      <c r="S30" s="667">
        <f t="shared" si="12"/>
        <v>100</v>
      </c>
      <c r="T30" s="666" t="s">
        <v>18</v>
      </c>
      <c r="U30" s="667">
        <f t="shared" si="13"/>
        <v>100</v>
      </c>
      <c r="V30" s="666" t="s">
        <v>18</v>
      </c>
      <c r="W30" s="667">
        <f t="shared" si="14"/>
        <v>100</v>
      </c>
      <c r="X30" s="1265"/>
      <c r="Y30" s="335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57"/>
      <c r="Q31" s="1263">
        <f t="shared" si="11"/>
        <v>111</v>
      </c>
      <c r="R31" s="666" t="s">
        <v>18</v>
      </c>
      <c r="S31" s="667">
        <f t="shared" si="12"/>
        <v>100</v>
      </c>
      <c r="T31" s="666" t="s">
        <v>18</v>
      </c>
      <c r="U31" s="667">
        <f t="shared" si="13"/>
        <v>100</v>
      </c>
      <c r="V31" s="666" t="s">
        <v>18</v>
      </c>
      <c r="W31" s="667">
        <f t="shared" si="14"/>
        <v>100</v>
      </c>
      <c r="X31" s="1265"/>
      <c r="Y31" s="335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60" t="s">
        <v>1696</v>
      </c>
      <c r="Q32" s="1263" t="str">
        <f t="shared" si="11"/>
        <v>建筑类型</v>
      </c>
      <c r="R32" s="666" t="s">
        <v>18</v>
      </c>
      <c r="S32" s="667">
        <f t="shared" si="12"/>
        <v>100</v>
      </c>
      <c r="T32" s="666" t="s">
        <v>18</v>
      </c>
      <c r="U32" s="667">
        <f t="shared" si="13"/>
        <v>100</v>
      </c>
      <c r="V32" s="666" t="s">
        <v>18</v>
      </c>
      <c r="W32" s="667">
        <f t="shared" si="14"/>
        <v>100</v>
      </c>
      <c r="X32" s="1265"/>
      <c r="Y32" s="336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61"/>
      <c r="Q33" s="531" t="str">
        <f t="shared" si="11"/>
        <v>项目建筑规模</v>
      </c>
      <c r="R33" s="668" t="s">
        <v>18</v>
      </c>
      <c r="S33" s="669" t="e">
        <f t="shared" si="12"/>
        <v>#N/A</v>
      </c>
      <c r="T33" s="668" t="s">
        <v>18</v>
      </c>
      <c r="U33" s="669" t="e">
        <f t="shared" si="13"/>
        <v>#N/A</v>
      </c>
      <c r="V33" s="668" t="s">
        <v>18</v>
      </c>
      <c r="W33" s="669" t="e">
        <f t="shared" si="14"/>
        <v>#N/A</v>
      </c>
      <c r="X33" s="670"/>
      <c r="Y33" s="3363"/>
      <c r="Z33" s="671"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61"/>
      <c r="Q34" s="1263" t="str">
        <f t="shared" si="11"/>
        <v>建筑结构</v>
      </c>
      <c r="R34" s="666" t="s">
        <v>18</v>
      </c>
      <c r="S34" s="667">
        <f t="shared" si="12"/>
        <v>100</v>
      </c>
      <c r="T34" s="666" t="s">
        <v>18</v>
      </c>
      <c r="U34" s="667">
        <f t="shared" si="13"/>
        <v>100</v>
      </c>
      <c r="V34" s="666" t="s">
        <v>18</v>
      </c>
      <c r="W34" s="667">
        <f t="shared" si="14"/>
        <v>100</v>
      </c>
      <c r="X34" s="1265"/>
      <c r="Y34" s="336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61"/>
      <c r="Q35" s="1263" t="str">
        <f t="shared" si="11"/>
        <v>建筑品质</v>
      </c>
      <c r="R35" s="666" t="s">
        <v>18</v>
      </c>
      <c r="S35" s="667">
        <f t="shared" si="12"/>
        <v>100</v>
      </c>
      <c r="T35" s="666" t="s">
        <v>18</v>
      </c>
      <c r="U35" s="667">
        <f t="shared" si="13"/>
        <v>100</v>
      </c>
      <c r="V35" s="666" t="s">
        <v>18</v>
      </c>
      <c r="W35" s="667">
        <f t="shared" si="14"/>
        <v>100</v>
      </c>
      <c r="X35" s="1265"/>
      <c r="Y35" s="336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61"/>
      <c r="Q36" s="1263" t="str">
        <f t="shared" si="11"/>
        <v>公共部分装修</v>
      </c>
      <c r="R36" s="666" t="s">
        <v>18</v>
      </c>
      <c r="S36" s="667">
        <f t="shared" si="12"/>
        <v>100</v>
      </c>
      <c r="T36" s="666" t="s">
        <v>18</v>
      </c>
      <c r="U36" s="667">
        <f t="shared" si="13"/>
        <v>100</v>
      </c>
      <c r="V36" s="666" t="s">
        <v>18</v>
      </c>
      <c r="W36" s="667">
        <f t="shared" si="14"/>
        <v>100</v>
      </c>
      <c r="X36" s="1265"/>
      <c r="Y36" s="336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61"/>
      <c r="Q37" s="530" t="str">
        <f t="shared" si="11"/>
        <v>成新度</v>
      </c>
      <c r="R37" s="663" t="s">
        <v>18</v>
      </c>
      <c r="S37" s="664" t="e">
        <f t="shared" si="12"/>
        <v>#N/A</v>
      </c>
      <c r="T37" s="663" t="s">
        <v>18</v>
      </c>
      <c r="U37" s="664" t="e">
        <f t="shared" si="13"/>
        <v>#N/A</v>
      </c>
      <c r="V37" s="663" t="s">
        <v>18</v>
      </c>
      <c r="W37" s="664" t="e">
        <f t="shared" si="14"/>
        <v>#N/A</v>
      </c>
      <c r="X37" s="665"/>
      <c r="Y37" s="336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61" t="s">
        <v>1696</v>
      </c>
      <c r="Q38" s="1263" t="str">
        <f t="shared" si="11"/>
        <v>物业管理</v>
      </c>
      <c r="R38" s="666" t="s">
        <v>18</v>
      </c>
      <c r="S38" s="667">
        <f t="shared" si="12"/>
        <v>100</v>
      </c>
      <c r="T38" s="666" t="s">
        <v>18</v>
      </c>
      <c r="U38" s="667">
        <f t="shared" si="13"/>
        <v>100</v>
      </c>
      <c r="V38" s="666" t="s">
        <v>18</v>
      </c>
      <c r="W38" s="667">
        <f t="shared" si="14"/>
        <v>100</v>
      </c>
      <c r="X38" s="1265"/>
      <c r="Y38" s="336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61"/>
      <c r="Q39" s="1263" t="str">
        <f t="shared" si="11"/>
        <v>市政基础设施</v>
      </c>
      <c r="R39" s="666" t="s">
        <v>18</v>
      </c>
      <c r="S39" s="667">
        <f t="shared" si="12"/>
        <v>100</v>
      </c>
      <c r="T39" s="666" t="s">
        <v>18</v>
      </c>
      <c r="U39" s="667">
        <f t="shared" si="13"/>
        <v>100</v>
      </c>
      <c r="V39" s="666" t="s">
        <v>18</v>
      </c>
      <c r="W39" s="667">
        <f t="shared" si="14"/>
        <v>100</v>
      </c>
      <c r="X39" s="1265"/>
      <c r="Y39" s="336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61"/>
      <c r="Q40" s="1263" t="str">
        <f t="shared" si="11"/>
        <v>房型</v>
      </c>
      <c r="R40" s="666" t="s">
        <v>18</v>
      </c>
      <c r="S40" s="667">
        <f t="shared" si="12"/>
        <v>100</v>
      </c>
      <c r="T40" s="666" t="s">
        <v>18</v>
      </c>
      <c r="U40" s="667">
        <f t="shared" si="13"/>
        <v>100</v>
      </c>
      <c r="V40" s="666" t="s">
        <v>18</v>
      </c>
      <c r="W40" s="667">
        <f t="shared" si="14"/>
        <v>100</v>
      </c>
      <c r="X40" s="1265"/>
      <c r="Y40" s="336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61"/>
      <c r="Q41" s="531" t="str">
        <f t="shared" si="11"/>
        <v>单套/主力户型建筑面积</v>
      </c>
      <c r="R41" s="668" t="s">
        <v>18</v>
      </c>
      <c r="S41" s="669">
        <f t="shared" si="12"/>
        <v>100</v>
      </c>
      <c r="T41" s="668" t="s">
        <v>18</v>
      </c>
      <c r="U41" s="669">
        <f t="shared" si="13"/>
        <v>100</v>
      </c>
      <c r="V41" s="668" t="s">
        <v>18</v>
      </c>
      <c r="W41" s="669">
        <f t="shared" si="14"/>
        <v>100</v>
      </c>
      <c r="X41" s="670"/>
      <c r="Y41" s="3363"/>
      <c r="Z41" s="671"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61"/>
      <c r="Q42" s="1263" t="str">
        <f t="shared" si="11"/>
        <v>内部装修</v>
      </c>
      <c r="R42" s="666" t="s">
        <v>18</v>
      </c>
      <c r="S42" s="667">
        <f t="shared" si="12"/>
        <v>100</v>
      </c>
      <c r="T42" s="666" t="s">
        <v>18</v>
      </c>
      <c r="U42" s="667">
        <f t="shared" si="13"/>
        <v>100</v>
      </c>
      <c r="V42" s="666" t="s">
        <v>18</v>
      </c>
      <c r="W42" s="667">
        <f t="shared" si="14"/>
        <v>100</v>
      </c>
      <c r="X42" s="1265"/>
      <c r="Y42" s="3363"/>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61"/>
      <c r="Q43" s="1263" t="str">
        <f t="shared" si="11"/>
        <v>内部装修维护情况</v>
      </c>
      <c r="R43" s="666" t="s">
        <v>18</v>
      </c>
      <c r="S43" s="667">
        <f t="shared" si="12"/>
        <v>100</v>
      </c>
      <c r="T43" s="666" t="s">
        <v>18</v>
      </c>
      <c r="U43" s="667">
        <f t="shared" si="13"/>
        <v>100</v>
      </c>
      <c r="V43" s="666" t="s">
        <v>18</v>
      </c>
      <c r="W43" s="667">
        <f t="shared" si="14"/>
        <v>100</v>
      </c>
      <c r="X43" s="1265"/>
      <c r="Y43" s="336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61"/>
      <c r="Q44" s="530">
        <f t="shared" si="11"/>
        <v>111</v>
      </c>
      <c r="R44" s="663" t="s">
        <v>18</v>
      </c>
      <c r="S44" s="664">
        <f t="shared" si="12"/>
        <v>100</v>
      </c>
      <c r="T44" s="663" t="s">
        <v>18</v>
      </c>
      <c r="U44" s="664">
        <f t="shared" si="13"/>
        <v>100</v>
      </c>
      <c r="V44" s="663" t="s">
        <v>18</v>
      </c>
      <c r="W44" s="664">
        <f t="shared" si="14"/>
        <v>100</v>
      </c>
      <c r="X44" s="665"/>
      <c r="Y44" s="336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61"/>
      <c r="Q45" s="1263">
        <f t="shared" si="11"/>
        <v>111</v>
      </c>
      <c r="R45" s="666" t="s">
        <v>18</v>
      </c>
      <c r="S45" s="667">
        <f t="shared" si="12"/>
        <v>100</v>
      </c>
      <c r="T45" s="666" t="s">
        <v>18</v>
      </c>
      <c r="U45" s="667">
        <f t="shared" si="13"/>
        <v>100</v>
      </c>
      <c r="V45" s="666" t="s">
        <v>18</v>
      </c>
      <c r="W45" s="667">
        <f t="shared" si="14"/>
        <v>100</v>
      </c>
      <c r="X45" s="1265"/>
      <c r="Y45" s="336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62"/>
      <c r="Q46" s="1263">
        <f t="shared" si="11"/>
        <v>111</v>
      </c>
      <c r="R46" s="666" t="s">
        <v>17</v>
      </c>
      <c r="S46" s="667">
        <f t="shared" si="12"/>
        <v>100</v>
      </c>
      <c r="T46" s="666" t="s">
        <v>17</v>
      </c>
      <c r="U46" s="667">
        <f t="shared" si="13"/>
        <v>100</v>
      </c>
      <c r="V46" s="666" t="s">
        <v>17</v>
      </c>
      <c r="W46" s="667">
        <f t="shared" si="14"/>
        <v>100</v>
      </c>
      <c r="X46" s="1265"/>
      <c r="Y46" s="3364"/>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351" t="str">
        <f>A47</f>
        <v>成交单价（元/平方米）</v>
      </c>
      <c r="Q47" s="3351"/>
      <c r="R47" s="3352">
        <f>E47</f>
        <v>0</v>
      </c>
      <c r="S47" s="3352"/>
      <c r="T47" s="3352">
        <f>G47</f>
        <v>0</v>
      </c>
      <c r="U47" s="3352"/>
      <c r="V47" s="3352">
        <f>I47</f>
        <v>0</v>
      </c>
      <c r="W47" s="3352"/>
      <c r="X47" s="385"/>
      <c r="Y47" s="672"/>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2"/>
      <c r="M48" s="2485"/>
      <c r="N48" s="2485"/>
      <c r="O48" s="2485"/>
      <c r="P48" s="3351" t="str">
        <f>A48</f>
        <v>比较价值（元/平方米）</v>
      </c>
      <c r="Q48" s="3351"/>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7" t="s">
        <v>1714</v>
      </c>
      <c r="B57" s="385"/>
      <c r="C57" s="658"/>
      <c r="D57" s="658"/>
      <c r="E57" s="658"/>
      <c r="F57" s="659"/>
      <c r="G57" s="659"/>
      <c r="H57" s="658"/>
      <c r="I57" s="658"/>
      <c r="J57" s="658"/>
      <c r="K57" s="886"/>
      <c r="L57" s="887"/>
      <c r="M57" s="885"/>
      <c r="N57" s="885"/>
      <c r="O57" s="885"/>
      <c r="P57" s="1771"/>
      <c r="Q57" s="439"/>
    </row>
    <row r="58" spans="1:29" s="442" customFormat="1" ht="15">
      <c r="A58" s="440" t="s">
        <v>1715</v>
      </c>
      <c r="B58" s="441"/>
      <c r="C58" s="1105" t="str">
        <f>YEAR(C7)&amp;"-"&amp;MONTH(C7)</f>
        <v>2024-6</v>
      </c>
      <c r="D58" s="1104">
        <f>EDATE(C58,-1)</f>
        <v>45413</v>
      </c>
      <c r="E58" s="1104">
        <f>EDATE(D58,-1)</f>
        <v>45383</v>
      </c>
      <c r="F58" s="1104">
        <f t="shared" ref="F58:O58" si="19">EDATE(E58,-1)</f>
        <v>45352</v>
      </c>
      <c r="G58" s="1104">
        <f t="shared" si="19"/>
        <v>45323</v>
      </c>
      <c r="H58" s="1104">
        <f t="shared" si="19"/>
        <v>45292</v>
      </c>
      <c r="I58" s="1104">
        <f t="shared" si="19"/>
        <v>45261</v>
      </c>
      <c r="J58" s="1104">
        <f t="shared" si="19"/>
        <v>45231</v>
      </c>
      <c r="K58" s="1104">
        <f t="shared" si="19"/>
        <v>45200</v>
      </c>
      <c r="L58" s="1104">
        <f t="shared" si="19"/>
        <v>45170</v>
      </c>
      <c r="M58" s="1104">
        <f t="shared" si="19"/>
        <v>45139</v>
      </c>
      <c r="N58" s="1104">
        <f t="shared" si="19"/>
        <v>45108</v>
      </c>
      <c r="O58" s="1104">
        <f t="shared" si="19"/>
        <v>45078</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7"/>
      <c r="O61" s="877"/>
      <c r="P61" s="1774"/>
      <c r="Q61" s="439"/>
    </row>
    <row r="62" spans="1:29" s="102" customFormat="1" ht="15.75" thickBot="1">
      <c r="A62" s="455"/>
      <c r="B62" s="444"/>
      <c r="C62" s="445">
        <v>100</v>
      </c>
      <c r="D62" s="446"/>
      <c r="E62" s="446"/>
      <c r="F62" s="446"/>
      <c r="G62" s="446"/>
      <c r="H62" s="446"/>
      <c r="I62" s="446"/>
      <c r="J62" s="446"/>
      <c r="K62" s="446"/>
      <c r="L62" s="446"/>
      <c r="M62" s="448"/>
      <c r="N62" s="877"/>
      <c r="O62" s="877"/>
      <c r="P62" s="1773"/>
      <c r="Q62" s="439"/>
    </row>
    <row r="63" spans="1:29">
      <c r="A63" s="379" t="s">
        <v>1719</v>
      </c>
      <c r="B63" s="460" t="s">
        <v>1685</v>
      </c>
      <c r="C63" s="461">
        <f>C9</f>
        <v>0</v>
      </c>
      <c r="D63" s="462"/>
      <c r="E63" s="462"/>
      <c r="F63" s="462"/>
      <c r="G63" s="462"/>
      <c r="H63" s="462"/>
      <c r="I63" s="462"/>
      <c r="J63" s="462"/>
      <c r="K63" s="463"/>
      <c r="L63" s="464"/>
      <c r="M63" s="465"/>
      <c r="N63" s="878"/>
      <c r="O63" s="878"/>
      <c r="P63" s="1775"/>
      <c r="Q63" s="439"/>
    </row>
    <row r="64" spans="1:29" ht="15.75" thickBot="1">
      <c r="A64" s="367"/>
      <c r="B64" s="466"/>
      <c r="C64" s="467">
        <v>100</v>
      </c>
      <c r="D64" s="467"/>
      <c r="E64" s="467"/>
      <c r="F64" s="467"/>
      <c r="G64" s="467"/>
      <c r="H64" s="467"/>
      <c r="I64" s="467"/>
      <c r="J64" s="467"/>
      <c r="K64" s="467"/>
      <c r="L64" s="467"/>
      <c r="M64" s="468"/>
      <c r="N64" s="879"/>
      <c r="O64" s="879"/>
      <c r="P64" s="1775"/>
      <c r="Q64" s="439"/>
    </row>
    <row r="65" spans="1:17" ht="27.75" thickTop="1">
      <c r="A65" s="367"/>
      <c r="B65" s="469" t="s">
        <v>1688</v>
      </c>
      <c r="C65" s="513"/>
      <c r="D65" s="513"/>
      <c r="E65" s="513"/>
      <c r="F65" s="513"/>
      <c r="G65" s="513"/>
      <c r="H65" s="513"/>
      <c r="I65" s="513"/>
      <c r="J65" s="513"/>
      <c r="K65" s="513"/>
      <c r="L65" s="513"/>
      <c r="M65" s="513"/>
      <c r="N65" s="879"/>
      <c r="O65" s="879"/>
      <c r="P65" s="1775"/>
      <c r="Q65" s="439"/>
    </row>
    <row r="66" spans="1:17" ht="15.75" thickBot="1">
      <c r="A66" s="367"/>
      <c r="B66" s="474"/>
      <c r="C66" s="467"/>
      <c r="D66" s="467"/>
      <c r="E66" s="467"/>
      <c r="F66" s="467"/>
      <c r="G66" s="467"/>
      <c r="H66" s="467"/>
      <c r="I66" s="467"/>
      <c r="J66" s="467"/>
      <c r="K66" s="467"/>
      <c r="L66" s="467"/>
      <c r="M66" s="468"/>
      <c r="N66" s="879"/>
      <c r="O66" s="879"/>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5"/>
      <c r="Q67" s="439"/>
    </row>
    <row r="68" spans="1:17" ht="15">
      <c r="A68" s="367"/>
      <c r="B68" s="479"/>
      <c r="C68" s="480"/>
      <c r="D68" s="480"/>
      <c r="E68" s="480"/>
      <c r="F68" s="480"/>
      <c r="G68" s="480"/>
      <c r="H68" s="480"/>
      <c r="I68" s="480"/>
      <c r="J68" s="480"/>
      <c r="K68" s="481"/>
      <c r="L68" s="482"/>
      <c r="M68" s="483"/>
      <c r="N68" s="878"/>
      <c r="O68" s="878"/>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5"/>
      <c r="Q69" s="439"/>
    </row>
    <row r="70" spans="1:17" s="408" customFormat="1" ht="15.75" thickTop="1">
      <c r="A70" s="484"/>
      <c r="B70" s="469">
        <f>B12</f>
        <v>111</v>
      </c>
      <c r="C70" s="485"/>
      <c r="D70" s="485"/>
      <c r="E70" s="485"/>
      <c r="F70" s="485"/>
      <c r="G70" s="485"/>
      <c r="H70" s="486"/>
      <c r="I70" s="486"/>
      <c r="J70" s="486"/>
      <c r="K70" s="486"/>
      <c r="L70" s="487"/>
      <c r="M70" s="488"/>
      <c r="N70" s="880"/>
      <c r="O70" s="880"/>
      <c r="P70" s="1776"/>
      <c r="Q70" s="490"/>
    </row>
    <row r="71" spans="1:17" s="408" customFormat="1" ht="15.75" thickBot="1">
      <c r="A71" s="484"/>
      <c r="B71" s="474"/>
      <c r="C71" s="491"/>
      <c r="D71" s="467"/>
      <c r="E71" s="467"/>
      <c r="F71" s="467"/>
      <c r="G71" s="467"/>
      <c r="H71" s="467"/>
      <c r="I71" s="467"/>
      <c r="J71" s="467"/>
      <c r="K71" s="467"/>
      <c r="L71" s="467"/>
      <c r="M71" s="468"/>
      <c r="N71" s="879"/>
      <c r="O71" s="879"/>
      <c r="P71" s="1776"/>
      <c r="Q71" s="490"/>
    </row>
    <row r="72" spans="1:17" s="408" customFormat="1" ht="15.75" thickTop="1">
      <c r="A72" s="484"/>
      <c r="B72" s="469">
        <f>B13</f>
        <v>111</v>
      </c>
      <c r="C72" s="485"/>
      <c r="D72" s="485"/>
      <c r="E72" s="485"/>
      <c r="F72" s="485"/>
      <c r="G72" s="485"/>
      <c r="H72" s="486"/>
      <c r="I72" s="486"/>
      <c r="J72" s="486"/>
      <c r="K72" s="486"/>
      <c r="L72" s="487"/>
      <c r="M72" s="488"/>
      <c r="N72" s="880"/>
      <c r="O72" s="880"/>
      <c r="P72" s="1777"/>
      <c r="Q72" s="492"/>
    </row>
    <row r="73" spans="1:17" s="408" customFormat="1" ht="15.75" thickBot="1">
      <c r="A73" s="484"/>
      <c r="B73" s="474"/>
      <c r="C73" s="491"/>
      <c r="D73" s="491"/>
      <c r="E73" s="491"/>
      <c r="F73" s="491"/>
      <c r="G73" s="491"/>
      <c r="H73" s="493"/>
      <c r="I73" s="493"/>
      <c r="J73" s="493"/>
      <c r="K73" s="493"/>
      <c r="L73" s="493"/>
      <c r="M73" s="494"/>
      <c r="N73" s="880"/>
      <c r="O73" s="880"/>
      <c r="P73" s="1776"/>
      <c r="Q73" s="490"/>
    </row>
    <row r="74" spans="1:17" s="408" customFormat="1" ht="15.75" thickTop="1">
      <c r="A74" s="484"/>
      <c r="B74" s="477">
        <f>B14</f>
        <v>111</v>
      </c>
      <c r="C74" s="485"/>
      <c r="D74" s="485"/>
      <c r="E74" s="485"/>
      <c r="F74" s="485"/>
      <c r="G74" s="31"/>
      <c r="H74" s="495"/>
      <c r="I74" s="495"/>
      <c r="J74" s="495"/>
      <c r="K74" s="495"/>
      <c r="L74" s="496"/>
      <c r="M74" s="497"/>
      <c r="N74" s="880"/>
      <c r="O74" s="880"/>
      <c r="P74" s="1778"/>
      <c r="Q74" s="490"/>
    </row>
    <row r="75" spans="1:17" s="408" customFormat="1" ht="15.75" thickBot="1">
      <c r="A75" s="499"/>
      <c r="B75" s="500"/>
      <c r="C75" s="501"/>
      <c r="D75" s="501"/>
      <c r="E75" s="501"/>
      <c r="F75" s="501"/>
      <c r="G75" s="501"/>
      <c r="H75" s="502"/>
      <c r="I75" s="502"/>
      <c r="J75" s="502"/>
      <c r="K75" s="502"/>
      <c r="L75" s="502"/>
      <c r="M75" s="503"/>
      <c r="N75" s="880"/>
      <c r="O75" s="880"/>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79"/>
      <c r="O82" s="879"/>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5"/>
      <c r="Q85" s="439"/>
    </row>
    <row r="86" spans="1:17" s="102" customFormat="1" ht="15.75" thickTop="1">
      <c r="A86" s="370"/>
      <c r="B86" s="469" t="s">
        <v>1734</v>
      </c>
      <c r="C86" s="485"/>
      <c r="D86" s="485"/>
      <c r="E86" s="485"/>
      <c r="F86" s="485"/>
      <c r="G86" s="485"/>
      <c r="H86" s="485"/>
      <c r="I86" s="485"/>
      <c r="J86" s="485"/>
      <c r="K86" s="485"/>
      <c r="L86" s="510"/>
      <c r="M86" s="511"/>
      <c r="N86" s="877"/>
      <c r="O86" s="877"/>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5"/>
      <c r="Q87" s="439"/>
    </row>
    <row r="88" spans="1:17" s="102" customFormat="1" ht="15.75" thickTop="1">
      <c r="A88" s="370"/>
      <c r="B88" s="469" t="s">
        <v>1735</v>
      </c>
      <c r="C88" s="485"/>
      <c r="D88" s="485"/>
      <c r="E88" s="485"/>
      <c r="F88" s="1780"/>
      <c r="G88" s="485"/>
      <c r="H88" s="485"/>
      <c r="I88" s="485"/>
      <c r="J88" s="485"/>
      <c r="K88" s="485"/>
      <c r="L88" s="485"/>
      <c r="M88" s="511"/>
      <c r="N88" s="877"/>
      <c r="O88" s="877"/>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5"/>
      <c r="Q89" s="439"/>
    </row>
    <row r="90" spans="1:17" s="408" customFormat="1" ht="15.75" thickTop="1">
      <c r="A90" s="484"/>
      <c r="B90" s="469">
        <f>B27</f>
        <v>111</v>
      </c>
      <c r="C90" s="485"/>
      <c r="D90" s="485"/>
      <c r="E90" s="485"/>
      <c r="F90" s="485"/>
      <c r="G90" s="485"/>
      <c r="H90" s="486"/>
      <c r="I90" s="486"/>
      <c r="J90" s="486"/>
      <c r="K90" s="486"/>
      <c r="L90" s="487"/>
      <c r="M90" s="488"/>
      <c r="N90" s="880"/>
      <c r="O90" s="880"/>
      <c r="P90" s="1776"/>
      <c r="Q90" s="490"/>
    </row>
    <row r="91" spans="1:17" s="408" customFormat="1" ht="15.75" thickBot="1">
      <c r="A91" s="484"/>
      <c r="B91" s="474"/>
      <c r="C91" s="491"/>
      <c r="D91" s="491"/>
      <c r="E91" s="491"/>
      <c r="F91" s="491"/>
      <c r="G91" s="491"/>
      <c r="H91" s="493"/>
      <c r="I91" s="493"/>
      <c r="J91" s="493"/>
      <c r="K91" s="493"/>
      <c r="L91" s="493"/>
      <c r="M91" s="494"/>
      <c r="N91" s="880"/>
      <c r="O91" s="880"/>
      <c r="P91" s="1776"/>
      <c r="Q91" s="490"/>
    </row>
    <row r="92" spans="1:17" ht="15.75" thickTop="1">
      <c r="A92" s="367"/>
      <c r="B92" s="469">
        <f>B28</f>
        <v>111</v>
      </c>
      <c r="C92" s="485"/>
      <c r="D92" s="485"/>
      <c r="E92" s="485"/>
      <c r="F92" s="485"/>
      <c r="G92" s="513"/>
      <c r="H92" s="513"/>
      <c r="I92" s="513"/>
      <c r="J92" s="513"/>
      <c r="K92" s="514"/>
      <c r="L92" s="515"/>
      <c r="M92" s="516"/>
      <c r="N92" s="878"/>
      <c r="O92" s="878"/>
      <c r="P92" s="1775"/>
      <c r="Q92" s="439"/>
    </row>
    <row r="93" spans="1:17" ht="15.75" thickBot="1">
      <c r="A93" s="367"/>
      <c r="B93" s="474"/>
      <c r="C93" s="491"/>
      <c r="D93" s="467"/>
      <c r="E93" s="467"/>
      <c r="F93" s="467"/>
      <c r="G93" s="467"/>
      <c r="H93" s="467"/>
      <c r="I93" s="467"/>
      <c r="J93" s="467"/>
      <c r="K93" s="467"/>
      <c r="L93" s="467"/>
      <c r="M93" s="468"/>
      <c r="N93" s="879"/>
      <c r="O93" s="879"/>
      <c r="P93" s="1775"/>
      <c r="Q93" s="439"/>
    </row>
    <row r="94" spans="1:17" ht="15.75" thickTop="1">
      <c r="A94" s="367"/>
      <c r="B94" s="469">
        <f>B29</f>
        <v>111</v>
      </c>
      <c r="C94" s="485"/>
      <c r="D94" s="485"/>
      <c r="E94" s="485"/>
      <c r="F94" s="485"/>
      <c r="G94" s="513"/>
      <c r="H94" s="513"/>
      <c r="I94" s="513"/>
      <c r="J94" s="513"/>
      <c r="K94" s="514"/>
      <c r="L94" s="515"/>
      <c r="M94" s="516"/>
      <c r="N94" s="878"/>
      <c r="O94" s="878"/>
      <c r="P94" s="1775"/>
      <c r="Q94" s="439"/>
    </row>
    <row r="95" spans="1:17" ht="15.75" thickBot="1">
      <c r="A95" s="367"/>
      <c r="B95" s="474"/>
      <c r="C95" s="491"/>
      <c r="D95" s="491"/>
      <c r="E95" s="491"/>
      <c r="F95" s="491"/>
      <c r="G95" s="467"/>
      <c r="H95" s="467"/>
      <c r="I95" s="467"/>
      <c r="J95" s="467"/>
      <c r="K95" s="467"/>
      <c r="L95" s="467"/>
      <c r="M95" s="468"/>
      <c r="N95" s="879"/>
      <c r="O95" s="879"/>
      <c r="P95" s="1775"/>
      <c r="Q95" s="439"/>
    </row>
    <row r="96" spans="1:17" ht="15.75" thickTop="1">
      <c r="A96" s="367"/>
      <c r="B96" s="469">
        <f>B30</f>
        <v>111</v>
      </c>
      <c r="C96" s="485"/>
      <c r="D96" s="485"/>
      <c r="E96" s="485"/>
      <c r="F96" s="485"/>
      <c r="G96" s="513"/>
      <c r="H96" s="513"/>
      <c r="I96" s="513"/>
      <c r="J96" s="513"/>
      <c r="K96" s="514"/>
      <c r="L96" s="515"/>
      <c r="M96" s="516"/>
      <c r="N96" s="878"/>
      <c r="O96" s="878"/>
      <c r="P96" s="1775"/>
      <c r="Q96" s="439"/>
    </row>
    <row r="97" spans="1:17" ht="15.75" thickBot="1">
      <c r="A97" s="367"/>
      <c r="B97" s="474"/>
      <c r="C97" s="501"/>
      <c r="D97" s="501"/>
      <c r="E97" s="501"/>
      <c r="F97" s="501"/>
      <c r="G97" s="467"/>
      <c r="H97" s="467"/>
      <c r="I97" s="467"/>
      <c r="J97" s="467"/>
      <c r="K97" s="467"/>
      <c r="L97" s="467"/>
      <c r="M97" s="468"/>
      <c r="N97" s="879"/>
      <c r="O97" s="879"/>
      <c r="P97" s="1775"/>
      <c r="Q97" s="439"/>
    </row>
    <row r="98" spans="1:17" ht="15.75" thickTop="1">
      <c r="A98" s="367"/>
      <c r="B98" s="477">
        <f>B31</f>
        <v>111</v>
      </c>
      <c r="C98" s="517"/>
      <c r="D98" s="517"/>
      <c r="E98" s="517"/>
      <c r="F98" s="517"/>
      <c r="G98" s="517"/>
      <c r="H98" s="517"/>
      <c r="I98" s="517"/>
      <c r="J98" s="517"/>
      <c r="K98" s="518"/>
      <c r="L98" s="519"/>
      <c r="M98" s="520"/>
      <c r="N98" s="878"/>
      <c r="O98" s="878"/>
      <c r="P98" s="1775"/>
      <c r="Q98" s="439"/>
    </row>
    <row r="99" spans="1:17" ht="15.75" thickBot="1">
      <c r="A99" s="375"/>
      <c r="B99" s="500"/>
      <c r="C99" s="521"/>
      <c r="D99" s="521"/>
      <c r="E99" s="521"/>
      <c r="F99" s="521"/>
      <c r="G99" s="521"/>
      <c r="H99" s="521"/>
      <c r="I99" s="521"/>
      <c r="J99" s="521"/>
      <c r="K99" s="521"/>
      <c r="L99" s="521"/>
      <c r="M99" s="522"/>
      <c r="N99" s="879"/>
      <c r="O99" s="879"/>
      <c r="P99" s="1775"/>
      <c r="Q99" s="439"/>
    </row>
    <row r="100" spans="1:17">
      <c r="A100" s="379" t="s">
        <v>1694</v>
      </c>
      <c r="B100" s="460" t="s">
        <v>1736</v>
      </c>
      <c r="C100" s="462"/>
      <c r="D100" s="462"/>
      <c r="E100" s="462"/>
      <c r="F100" s="462"/>
      <c r="G100" s="462"/>
      <c r="H100" s="462"/>
      <c r="I100" s="462"/>
      <c r="J100" s="462"/>
      <c r="K100" s="463"/>
      <c r="L100" s="464"/>
      <c r="M100" s="465"/>
      <c r="N100" s="878"/>
      <c r="O100" s="878"/>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5"/>
      <c r="Q102" s="439"/>
    </row>
    <row r="103" spans="1:17" s="408" customFormat="1">
      <c r="A103" s="406"/>
      <c r="B103" s="523"/>
      <c r="C103" s="6"/>
      <c r="D103" s="6"/>
      <c r="E103" s="6"/>
      <c r="F103" s="6"/>
      <c r="G103" s="6"/>
      <c r="H103" s="6"/>
      <c r="I103" s="6"/>
      <c r="J103" s="524"/>
      <c r="K103" s="524"/>
      <c r="L103" s="525"/>
      <c r="M103" s="526"/>
      <c r="N103" s="880"/>
      <c r="O103" s="880"/>
      <c r="P103" s="1776"/>
      <c r="Q103" s="490"/>
    </row>
    <row r="104" spans="1:17" s="408" customFormat="1" ht="15.75" thickBot="1">
      <c r="A104" s="484"/>
      <c r="B104" s="474"/>
      <c r="C104" s="491"/>
      <c r="D104" s="467"/>
      <c r="E104" s="467"/>
      <c r="F104" s="467"/>
      <c r="G104" s="467"/>
      <c r="H104" s="467"/>
      <c r="I104" s="467"/>
      <c r="J104" s="467"/>
      <c r="K104" s="467"/>
      <c r="L104" s="467"/>
      <c r="M104" s="467"/>
      <c r="N104" s="879"/>
      <c r="O104" s="879"/>
      <c r="P104" s="1776"/>
      <c r="Q104" s="490"/>
    </row>
    <row r="105" spans="1:17" ht="15" thickTop="1">
      <c r="A105" s="409"/>
      <c r="B105" s="469" t="s">
        <v>1738</v>
      </c>
      <c r="C105" s="485"/>
      <c r="D105" s="485"/>
      <c r="E105" s="513"/>
      <c r="F105" s="513"/>
      <c r="G105" s="513"/>
      <c r="H105" s="513"/>
      <c r="I105" s="513"/>
      <c r="J105" s="513"/>
      <c r="K105" s="514"/>
      <c r="L105" s="515"/>
      <c r="M105" s="516"/>
      <c r="N105" s="878"/>
      <c r="O105" s="878"/>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5"/>
      <c r="Q106" s="439"/>
    </row>
    <row r="107" spans="1:17" ht="15" thickTop="1">
      <c r="A107" s="409"/>
      <c r="B107" s="469" t="s">
        <v>1739</v>
      </c>
      <c r="C107" s="513"/>
      <c r="D107" s="513"/>
      <c r="E107" s="513"/>
      <c r="F107" s="513"/>
      <c r="G107" s="513"/>
      <c r="H107" s="513"/>
      <c r="I107" s="513"/>
      <c r="J107" s="513"/>
      <c r="K107" s="514"/>
      <c r="L107" s="515"/>
      <c r="M107" s="516"/>
      <c r="N107" s="878"/>
      <c r="O107" s="878"/>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5"/>
      <c r="Q108" s="439"/>
    </row>
    <row r="109" spans="1:17" ht="15" thickTop="1">
      <c r="A109" s="409"/>
      <c r="B109" s="469" t="s">
        <v>1740</v>
      </c>
      <c r="C109" s="485"/>
      <c r="D109" s="485"/>
      <c r="E109" s="485"/>
      <c r="F109" s="513"/>
      <c r="G109" s="513"/>
      <c r="H109" s="513"/>
      <c r="I109" s="513"/>
      <c r="J109" s="513"/>
      <c r="K109" s="514"/>
      <c r="L109" s="515"/>
      <c r="M109" s="516"/>
      <c r="N109" s="878"/>
      <c r="O109" s="878"/>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6"/>
      <c r="Q113" s="490"/>
    </row>
    <row r="114" spans="1:17" ht="15" thickTop="1">
      <c r="A114" s="409"/>
      <c r="B114" s="469" t="s">
        <v>1741</v>
      </c>
      <c r="C114" s="485"/>
      <c r="D114" s="485"/>
      <c r="E114" s="513"/>
      <c r="F114" s="513"/>
      <c r="G114" s="513"/>
      <c r="H114" s="513"/>
      <c r="I114" s="513"/>
      <c r="J114" s="513"/>
      <c r="K114" s="514"/>
      <c r="L114" s="515"/>
      <c r="M114" s="516"/>
      <c r="N114" s="878"/>
      <c r="O114" s="878"/>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5"/>
      <c r="Q115" s="439"/>
    </row>
    <row r="116" spans="1:17" ht="15" thickTop="1">
      <c r="A116" s="409"/>
      <c r="B116" s="469" t="s">
        <v>1742</v>
      </c>
      <c r="C116" s="485"/>
      <c r="D116" s="485"/>
      <c r="E116" s="485"/>
      <c r="F116" s="485"/>
      <c r="G116" s="485"/>
      <c r="H116" s="513"/>
      <c r="I116" s="513"/>
      <c r="J116" s="513"/>
      <c r="K116" s="514"/>
      <c r="L116" s="515"/>
      <c r="M116" s="516"/>
      <c r="N116" s="878"/>
      <c r="O116" s="878"/>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5"/>
      <c r="Q117" s="439"/>
    </row>
    <row r="118" spans="1:17" ht="15" thickTop="1">
      <c r="A118" s="409"/>
      <c r="B118" s="469" t="s">
        <v>1743</v>
      </c>
      <c r="C118" s="513"/>
      <c r="D118" s="513"/>
      <c r="E118" s="513"/>
      <c r="F118" s="513"/>
      <c r="G118" s="513"/>
      <c r="H118" s="513"/>
      <c r="I118" s="513"/>
      <c r="J118" s="513"/>
      <c r="K118" s="514"/>
      <c r="L118" s="515"/>
      <c r="M118" s="516"/>
      <c r="N118" s="878"/>
      <c r="O118" s="878"/>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5"/>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6"/>
      <c r="Q120" s="490"/>
    </row>
    <row r="121" spans="1:17" s="408" customFormat="1" ht="15.75" thickBot="1">
      <c r="A121" s="484"/>
      <c r="B121" s="466"/>
      <c r="C121" s="491"/>
      <c r="D121" s="467"/>
      <c r="E121" s="467"/>
      <c r="F121" s="467"/>
      <c r="G121" s="467"/>
      <c r="H121" s="467"/>
      <c r="I121" s="467"/>
      <c r="J121" s="467"/>
      <c r="K121" s="467"/>
      <c r="L121" s="467"/>
      <c r="M121" s="467"/>
      <c r="N121" s="880"/>
      <c r="O121" s="880"/>
      <c r="P121" s="1776"/>
      <c r="Q121" s="490"/>
    </row>
    <row r="122" spans="1:17" ht="15" thickTop="1">
      <c r="A122" s="409"/>
      <c r="B122" s="469" t="s">
        <v>1744</v>
      </c>
      <c r="C122" s="485"/>
      <c r="D122" s="485"/>
      <c r="E122" s="485"/>
      <c r="F122" s="513"/>
      <c r="G122" s="513"/>
      <c r="H122" s="513"/>
      <c r="I122" s="513"/>
      <c r="J122" s="513"/>
      <c r="K122" s="514"/>
      <c r="L122" s="515"/>
      <c r="M122" s="516"/>
      <c r="N122" s="878"/>
      <c r="O122" s="878"/>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5"/>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6"/>
      <c r="Q126" s="490"/>
    </row>
    <row r="127" spans="1:17" s="408" customFormat="1" ht="15.75" thickBot="1">
      <c r="A127" s="484"/>
      <c r="B127" s="474"/>
      <c r="C127" s="491"/>
      <c r="D127" s="467"/>
      <c r="E127" s="467"/>
      <c r="F127" s="467"/>
      <c r="G127" s="491"/>
      <c r="H127" s="493"/>
      <c r="I127" s="493"/>
      <c r="J127" s="493"/>
      <c r="K127" s="493"/>
      <c r="L127" s="493"/>
      <c r="M127" s="494"/>
      <c r="N127" s="880"/>
      <c r="O127" s="880"/>
      <c r="P127" s="1776"/>
      <c r="Q127" s="490"/>
    </row>
    <row r="128" spans="1:17" ht="15" thickTop="1">
      <c r="A128" s="409"/>
      <c r="B128" s="469">
        <f>B45</f>
        <v>111</v>
      </c>
      <c r="C128" s="485"/>
      <c r="D128" s="485"/>
      <c r="E128" s="485"/>
      <c r="F128" s="485"/>
      <c r="G128" s="513"/>
      <c r="H128" s="513"/>
      <c r="I128" s="513"/>
      <c r="J128" s="513"/>
      <c r="K128" s="514"/>
      <c r="L128" s="515"/>
      <c r="M128" s="516"/>
      <c r="N128" s="878"/>
      <c r="O128" s="878"/>
      <c r="P128" s="1775"/>
      <c r="Q128" s="439"/>
    </row>
    <row r="129" spans="1:17" ht="15.75" thickBot="1">
      <c r="A129" s="367"/>
      <c r="B129" s="474"/>
      <c r="C129" s="491"/>
      <c r="D129" s="491"/>
      <c r="E129" s="491"/>
      <c r="F129" s="491"/>
      <c r="G129" s="467"/>
      <c r="H129" s="467"/>
      <c r="I129" s="467"/>
      <c r="J129" s="467"/>
      <c r="K129" s="467"/>
      <c r="L129" s="467"/>
      <c r="M129" s="468"/>
      <c r="N129" s="879"/>
      <c r="O129" s="879"/>
      <c r="P129" s="1775"/>
      <c r="Q129" s="439"/>
    </row>
    <row r="130" spans="1:17" ht="15" thickTop="1">
      <c r="A130" s="409"/>
      <c r="B130" s="477">
        <f>B46</f>
        <v>111</v>
      </c>
      <c r="C130" s="485"/>
      <c r="D130" s="485"/>
      <c r="E130" s="485"/>
      <c r="F130" s="485"/>
      <c r="G130" s="517"/>
      <c r="H130" s="517"/>
      <c r="I130" s="517"/>
      <c r="J130" s="517"/>
      <c r="K130" s="31"/>
      <c r="L130" s="457"/>
      <c r="M130" s="520"/>
      <c r="N130" s="878"/>
      <c r="O130" s="878"/>
      <c r="P130" s="1775"/>
      <c r="Q130" s="439"/>
    </row>
    <row r="131" spans="1:17" ht="15.75" thickBot="1">
      <c r="A131" s="375"/>
      <c r="B131" s="500"/>
      <c r="C131" s="501"/>
      <c r="D131" s="501"/>
      <c r="E131" s="501"/>
      <c r="F131" s="501"/>
      <c r="G131" s="521"/>
      <c r="H131" s="521"/>
      <c r="I131" s="521"/>
      <c r="J131" s="521"/>
      <c r="K131" s="521"/>
      <c r="L131" s="521"/>
      <c r="M131" s="522"/>
      <c r="N131" s="879"/>
      <c r="O131" s="879"/>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3">
        <v>6</v>
      </c>
      <c r="C139" s="814">
        <v>96</v>
      </c>
      <c r="D139" s="1792" t="s">
        <v>1755</v>
      </c>
      <c r="E139" s="815">
        <v>100</v>
      </c>
      <c r="F139" s="816">
        <v>102.5</v>
      </c>
      <c r="G139" s="1792" t="s">
        <v>1755</v>
      </c>
      <c r="H139" s="817">
        <v>105</v>
      </c>
      <c r="I139" s="1793" t="s">
        <v>1756</v>
      </c>
      <c r="J139" s="814">
        <v>20</v>
      </c>
      <c r="K139" s="818">
        <f>C145/(J139-2)</f>
        <v>4.0555555555555553E-3</v>
      </c>
    </row>
    <row r="140" spans="1:17" ht="15">
      <c r="B140" s="819">
        <v>5</v>
      </c>
      <c r="C140" s="820">
        <v>100</v>
      </c>
      <c r="D140" s="820"/>
      <c r="E140" s="821"/>
      <c r="F140" s="822">
        <v>102</v>
      </c>
      <c r="G140" s="820"/>
      <c r="H140" s="823"/>
      <c r="I140" s="1794" t="s">
        <v>1757</v>
      </c>
      <c r="J140" s="263">
        <f>ROUNDUP((J139-1)/2,0)</f>
        <v>10</v>
      </c>
      <c r="K140" s="824">
        <v>100</v>
      </c>
    </row>
    <row r="141" spans="1:17" ht="15">
      <c r="B141" s="819">
        <v>4</v>
      </c>
      <c r="C141" s="820">
        <v>102</v>
      </c>
      <c r="D141" s="820"/>
      <c r="E141" s="821"/>
      <c r="F141" s="822">
        <v>101.5</v>
      </c>
      <c r="G141" s="820"/>
      <c r="H141" s="823"/>
      <c r="I141" s="1794" t="s">
        <v>1758</v>
      </c>
      <c r="J141" s="263">
        <v>1</v>
      </c>
      <c r="K141" s="825">
        <f>ROUND(100+(J141-J140)*K139*100,1)</f>
        <v>96.4</v>
      </c>
    </row>
    <row r="142" spans="1:17" ht="15">
      <c r="B142" s="819">
        <v>3</v>
      </c>
      <c r="C142" s="820">
        <v>103</v>
      </c>
      <c r="D142" s="820"/>
      <c r="E142" s="821"/>
      <c r="F142" s="822">
        <v>101</v>
      </c>
      <c r="G142" s="820"/>
      <c r="H142" s="823"/>
      <c r="I142" s="1794" t="s">
        <v>1759</v>
      </c>
      <c r="J142" s="263">
        <f>J139</f>
        <v>20</v>
      </c>
      <c r="K142" s="826">
        <v>95</v>
      </c>
    </row>
    <row r="143" spans="1:17" ht="15">
      <c r="B143" s="819">
        <v>2</v>
      </c>
      <c r="C143" s="820">
        <v>100</v>
      </c>
      <c r="D143" s="820"/>
      <c r="E143" s="821"/>
      <c r="F143" s="822">
        <v>100.5</v>
      </c>
      <c r="G143" s="820"/>
      <c r="H143" s="823"/>
      <c r="I143" s="1794" t="s">
        <v>1760</v>
      </c>
      <c r="J143" s="820">
        <v>15</v>
      </c>
      <c r="K143" s="825">
        <f>ROUND(100+(J143-J140)*K139*100,1)</f>
        <v>102</v>
      </c>
    </row>
    <row r="144" spans="1:17" ht="15">
      <c r="B144" s="819">
        <v>1</v>
      </c>
      <c r="C144" s="820">
        <v>98</v>
      </c>
      <c r="D144" s="1795" t="s">
        <v>1761</v>
      </c>
      <c r="E144" s="821">
        <v>102</v>
      </c>
      <c r="F144" s="827">
        <v>100</v>
      </c>
      <c r="G144" s="1795" t="s">
        <v>1761</v>
      </c>
      <c r="H144" s="823">
        <v>105</v>
      </c>
      <c r="I144" s="1794" t="s">
        <v>1760</v>
      </c>
      <c r="J144" s="820">
        <v>18</v>
      </c>
      <c r="K144" s="825">
        <f>ROUND(100+(J144-J140)*K139*100,1)</f>
        <v>103.2</v>
      </c>
    </row>
    <row r="145" spans="2:11" ht="15.75" thickBot="1">
      <c r="B145" s="1796" t="s">
        <v>1762</v>
      </c>
      <c r="C145" s="828">
        <f>ROUND(MAX(C139:C144)/MIN(C139:C144)-1,3)</f>
        <v>7.2999999999999995E-2</v>
      </c>
      <c r="D145" s="829"/>
      <c r="E145" s="829"/>
      <c r="F145" s="1797" t="s">
        <v>1763</v>
      </c>
      <c r="G145" s="1798"/>
      <c r="H145" s="1799"/>
      <c r="I145" s="1800" t="s">
        <v>1760</v>
      </c>
      <c r="J145" s="830">
        <v>8</v>
      </c>
      <c r="K145" s="831">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4"/>
      <c r="H2" s="854"/>
      <c r="I2" s="854"/>
      <c r="J2" s="854"/>
      <c r="K2" s="854"/>
      <c r="L2" s="2501"/>
      <c r="M2" s="2502"/>
      <c r="N2" s="2502"/>
      <c r="O2" s="2502"/>
      <c r="P2" s="1804"/>
      <c r="Q2" s="858"/>
      <c r="R2" s="858"/>
      <c r="S2" s="858"/>
      <c r="T2" s="858"/>
      <c r="U2" s="858"/>
      <c r="V2" s="858"/>
      <c r="W2" s="858"/>
      <c r="X2" s="858"/>
      <c r="Y2" s="858"/>
      <c r="Z2" s="858"/>
      <c r="AA2" s="858"/>
      <c r="AB2" s="858"/>
      <c r="AC2" s="1805"/>
    </row>
    <row r="3" spans="1:29" s="342" customFormat="1" ht="28.5" customHeight="1" thickBot="1">
      <c r="A3" s="195" t="s">
        <v>1464</v>
      </c>
      <c r="B3" s="536">
        <f>IF(C2="——",C49,ROUND(B2*10000/D3,0))</f>
        <v>0</v>
      </c>
      <c r="C3" s="344" t="s">
        <v>1768</v>
      </c>
      <c r="D3" s="343">
        <f>IF(D1="",'数据-汇总表'!E3,SUMIF('数据-汇总表'!$C19:$C33,D1,'数据-汇总表'!$E19:$E33))</f>
        <v>94.12</v>
      </c>
      <c r="E3" s="1805"/>
      <c r="F3" s="855"/>
      <c r="G3" s="854"/>
      <c r="H3" s="854"/>
      <c r="I3" s="854"/>
      <c r="J3" s="854"/>
      <c r="K3" s="856"/>
      <c r="L3" s="2501"/>
      <c r="M3" s="2502"/>
      <c r="N3" s="2502"/>
      <c r="O3" s="2502"/>
      <c r="P3" s="1804"/>
      <c r="Q3" s="858"/>
      <c r="R3" s="858"/>
      <c r="S3" s="858"/>
      <c r="T3" s="858"/>
      <c r="U3" s="858"/>
      <c r="V3" s="858"/>
      <c r="W3" s="858"/>
      <c r="X3" s="858"/>
      <c r="Y3" s="858"/>
      <c r="Z3" s="858"/>
      <c r="AA3" s="858"/>
      <c r="AB3" s="858"/>
      <c r="AC3" s="1805"/>
    </row>
    <row r="4" spans="1:29" ht="15">
      <c r="A4" s="345" t="s">
        <v>1769</v>
      </c>
      <c r="B4" s="346"/>
      <c r="C4" s="3382" t="s">
        <v>1770</v>
      </c>
      <c r="D4" s="3383"/>
      <c r="E4" s="3384" t="s">
        <v>1771</v>
      </c>
      <c r="F4" s="3385"/>
      <c r="G4" s="3382" t="s">
        <v>1772</v>
      </c>
      <c r="H4" s="3383"/>
      <c r="I4" s="3382" t="s">
        <v>1773</v>
      </c>
      <c r="J4" s="3383"/>
      <c r="K4" s="537" t="s">
        <v>1774</v>
      </c>
      <c r="L4" s="2484"/>
      <c r="M4" s="2485"/>
      <c r="N4" s="2485"/>
      <c r="O4" s="2485"/>
      <c r="P4" s="3444" t="s">
        <v>1775</v>
      </c>
      <c r="Q4" s="3445"/>
      <c r="R4" s="3448" t="s">
        <v>1771</v>
      </c>
      <c r="S4" s="3449"/>
      <c r="T4" s="3448" t="s">
        <v>1772</v>
      </c>
      <c r="U4" s="3449"/>
      <c r="V4" s="3352" t="s">
        <v>1773</v>
      </c>
      <c r="W4" s="3352"/>
      <c r="X4" s="1265"/>
      <c r="Y4" s="3448" t="s">
        <v>1775</v>
      </c>
      <c r="Z4" s="3449"/>
      <c r="AA4" s="3443" t="s">
        <v>1771</v>
      </c>
      <c r="AB4" s="3352" t="s">
        <v>1772</v>
      </c>
      <c r="AC4" s="3443" t="s">
        <v>1773</v>
      </c>
    </row>
    <row r="5" spans="1:29" ht="15">
      <c r="A5" s="348"/>
      <c r="B5" s="349"/>
      <c r="C5" s="3450" t="s">
        <v>1673</v>
      </c>
      <c r="D5" s="3393"/>
      <c r="E5" s="3451" t="s">
        <v>1674</v>
      </c>
      <c r="F5" s="3395"/>
      <c r="G5" s="3450" t="s">
        <v>1675</v>
      </c>
      <c r="H5" s="3393"/>
      <c r="I5" s="3450" t="s">
        <v>1676</v>
      </c>
      <c r="J5" s="3393"/>
      <c r="K5" s="537"/>
      <c r="L5" s="2484"/>
      <c r="M5" s="2485"/>
      <c r="N5" s="2485"/>
      <c r="O5" s="2485"/>
      <c r="P5" s="3446"/>
      <c r="Q5" s="3389"/>
      <c r="R5" s="3371"/>
      <c r="S5" s="3372"/>
      <c r="T5" s="3371"/>
      <c r="U5" s="3372"/>
      <c r="V5" s="3352"/>
      <c r="W5" s="3352"/>
      <c r="X5" s="1265"/>
      <c r="Y5" s="3371"/>
      <c r="Z5" s="3372"/>
      <c r="AA5" s="3376"/>
      <c r="AB5" s="3352"/>
      <c r="AC5" s="3376"/>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47"/>
      <c r="Q6" s="3391"/>
      <c r="R6" s="3371"/>
      <c r="S6" s="3372"/>
      <c r="T6" s="3373"/>
      <c r="U6" s="3374"/>
      <c r="V6" s="3352"/>
      <c r="W6" s="3352"/>
      <c r="X6" s="1265"/>
      <c r="Y6" s="3373"/>
      <c r="Z6" s="3374"/>
      <c r="AA6" s="3377"/>
      <c r="AB6" s="3352"/>
      <c r="AC6" s="3377"/>
    </row>
    <row r="7" spans="1:29" s="102" customFormat="1" ht="15.75" thickBot="1">
      <c r="A7" s="352" t="s">
        <v>1679</v>
      </c>
      <c r="B7" s="353"/>
      <c r="C7" s="354">
        <f>'数据-取费表'!B2</f>
        <v>45450</v>
      </c>
      <c r="D7" s="355">
        <v>100</v>
      </c>
      <c r="E7" s="356"/>
      <c r="F7" s="357">
        <f>SUMIF(58:58,YEAR(E7)&amp;"-"&amp;MONTH(E7),59:59)</f>
        <v>0</v>
      </c>
      <c r="G7" s="356"/>
      <c r="H7" s="355">
        <f>SUMIF(58:58,YEAR(G7)&amp;"-"&amp;MONTH(G7),59:59)</f>
        <v>0</v>
      </c>
      <c r="I7" s="356"/>
      <c r="J7" s="355">
        <f>SUMIF(58:58,YEAR(I7)&amp;"-"&amp;MONTH(I7),59:59)</f>
        <v>0</v>
      </c>
      <c r="K7" s="38"/>
      <c r="L7" s="2486"/>
      <c r="M7" s="2438"/>
      <c r="N7" s="2438"/>
      <c r="O7" s="2438"/>
      <c r="P7" s="3367" t="s">
        <v>1680</v>
      </c>
      <c r="Q7" s="3378"/>
      <c r="R7" s="663" t="s">
        <v>14</v>
      </c>
      <c r="S7" s="664">
        <f t="shared" ref="S7:S15" si="0">F7</f>
        <v>0</v>
      </c>
      <c r="T7" s="663" t="s">
        <v>14</v>
      </c>
      <c r="U7" s="664">
        <f t="shared" ref="U7:U15" si="1">H7</f>
        <v>0</v>
      </c>
      <c r="V7" s="663" t="s">
        <v>14</v>
      </c>
      <c r="W7" s="664">
        <f t="shared" ref="W7:W15" si="2">J7</f>
        <v>0</v>
      </c>
      <c r="X7" s="665"/>
      <c r="Y7" s="3367" t="s">
        <v>1680</v>
      </c>
      <c r="Z7" s="336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67" t="s">
        <v>1683</v>
      </c>
      <c r="Q8" s="3366"/>
      <c r="R8" s="663" t="s">
        <v>14</v>
      </c>
      <c r="S8" s="664">
        <f t="shared" si="0"/>
        <v>100</v>
      </c>
      <c r="T8" s="663" t="s">
        <v>14</v>
      </c>
      <c r="U8" s="664">
        <f t="shared" si="1"/>
        <v>100</v>
      </c>
      <c r="V8" s="663" t="s">
        <v>14</v>
      </c>
      <c r="W8" s="664">
        <f t="shared" si="2"/>
        <v>100</v>
      </c>
      <c r="X8" s="665"/>
      <c r="Y8" s="3367" t="s">
        <v>1683</v>
      </c>
      <c r="Z8" s="336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50" t="s">
        <v>1686</v>
      </c>
      <c r="Q9" s="530"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50"/>
      <c r="Q10" s="530"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50"/>
      <c r="Q11" s="530" t="str">
        <f t="shared" si="6"/>
        <v>容积率</v>
      </c>
      <c r="R11" s="663" t="s">
        <v>14</v>
      </c>
      <c r="S11" s="664" t="e">
        <f t="shared" si="0"/>
        <v>#N/A</v>
      </c>
      <c r="T11" s="663" t="s">
        <v>14</v>
      </c>
      <c r="U11" s="664" t="e">
        <f t="shared" si="1"/>
        <v>#N/A</v>
      </c>
      <c r="V11" s="663" t="s">
        <v>14</v>
      </c>
      <c r="W11" s="664" t="e">
        <f t="shared" si="2"/>
        <v>#N/A</v>
      </c>
      <c r="X11" s="665"/>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50"/>
      <c r="Q12" s="530">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50"/>
      <c r="Q13" s="530">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50"/>
      <c r="Q14" s="530">
        <f t="shared" si="6"/>
        <v>111</v>
      </c>
      <c r="R14" s="663" t="s">
        <v>14</v>
      </c>
      <c r="S14" s="664">
        <f t="shared" si="0"/>
        <v>100</v>
      </c>
      <c r="T14" s="663" t="s">
        <v>14</v>
      </c>
      <c r="U14" s="664">
        <f t="shared" si="1"/>
        <v>100</v>
      </c>
      <c r="V14" s="663" t="s">
        <v>14</v>
      </c>
      <c r="W14" s="664">
        <f t="shared" si="2"/>
        <v>100</v>
      </c>
      <c r="X14" s="665"/>
      <c r="Y14" s="3249"/>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56" t="s">
        <v>1691</v>
      </c>
      <c r="Q15" s="1263" t="str">
        <f t="shared" si="6"/>
        <v>商业繁华度</v>
      </c>
      <c r="R15" s="666" t="s">
        <v>14</v>
      </c>
      <c r="S15" s="667">
        <f t="shared" si="0"/>
        <v>100</v>
      </c>
      <c r="T15" s="666" t="s">
        <v>14</v>
      </c>
      <c r="U15" s="667">
        <f t="shared" si="1"/>
        <v>100</v>
      </c>
      <c r="V15" s="666" t="s">
        <v>14</v>
      </c>
      <c r="W15" s="667">
        <f t="shared" si="2"/>
        <v>100</v>
      </c>
      <c r="X15" s="1265"/>
      <c r="Y15" s="335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57"/>
      <c r="Q16" s="1263"/>
      <c r="R16" s="666"/>
      <c r="S16" s="667"/>
      <c r="T16" s="666"/>
      <c r="U16" s="667"/>
      <c r="V16" s="666"/>
      <c r="W16" s="667"/>
      <c r="X16" s="1265"/>
      <c r="Y16" s="3359"/>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57"/>
      <c r="Q17" s="1263" t="str">
        <f>B17</f>
        <v>交通便捷度</v>
      </c>
      <c r="R17" s="666" t="s">
        <v>14</v>
      </c>
      <c r="S17" s="667">
        <f>F17</f>
        <v>100</v>
      </c>
      <c r="T17" s="666" t="s">
        <v>14</v>
      </c>
      <c r="U17" s="667">
        <f>H17</f>
        <v>100</v>
      </c>
      <c r="V17" s="666" t="s">
        <v>14</v>
      </c>
      <c r="W17" s="667">
        <f>J17</f>
        <v>100</v>
      </c>
      <c r="X17" s="1265"/>
      <c r="Y17" s="335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57"/>
      <c r="Q18" s="1263"/>
      <c r="R18" s="666"/>
      <c r="S18" s="667"/>
      <c r="T18" s="666"/>
      <c r="U18" s="667"/>
      <c r="V18" s="666"/>
      <c r="W18" s="667"/>
      <c r="X18" s="1265"/>
      <c r="Y18" s="3359"/>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57"/>
      <c r="Q19" s="1263" t="str">
        <f>B19</f>
        <v>公共配套设施</v>
      </c>
      <c r="R19" s="666" t="s">
        <v>14</v>
      </c>
      <c r="S19" s="667">
        <f>F19</f>
        <v>100</v>
      </c>
      <c r="T19" s="666" t="s">
        <v>14</v>
      </c>
      <c r="U19" s="667">
        <f>H19</f>
        <v>100</v>
      </c>
      <c r="V19" s="666" t="s">
        <v>14</v>
      </c>
      <c r="W19" s="667">
        <f>J19</f>
        <v>100</v>
      </c>
      <c r="X19" s="1265"/>
      <c r="Y19" s="335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57"/>
      <c r="Q20" s="1263"/>
      <c r="R20" s="666"/>
      <c r="S20" s="667"/>
      <c r="T20" s="666"/>
      <c r="U20" s="667"/>
      <c r="V20" s="666"/>
      <c r="W20" s="667"/>
      <c r="X20" s="1265"/>
      <c r="Y20" s="3359"/>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57"/>
      <c r="Q21" s="1263" t="str">
        <f>B21</f>
        <v>基础设施水平</v>
      </c>
      <c r="R21" s="666" t="s">
        <v>14</v>
      </c>
      <c r="S21" s="667">
        <f>F21</f>
        <v>100</v>
      </c>
      <c r="T21" s="666" t="s">
        <v>14</v>
      </c>
      <c r="U21" s="667">
        <f>H21</f>
        <v>100</v>
      </c>
      <c r="V21" s="666" t="s">
        <v>14</v>
      </c>
      <c r="W21" s="667">
        <f>J21</f>
        <v>100</v>
      </c>
      <c r="X21" s="1265"/>
      <c r="Y21" s="335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57"/>
      <c r="Q22" s="1263"/>
      <c r="R22" s="666"/>
      <c r="S22" s="667"/>
      <c r="T22" s="666"/>
      <c r="U22" s="667"/>
      <c r="V22" s="666"/>
      <c r="W22" s="667"/>
      <c r="X22" s="1265"/>
      <c r="Y22" s="3359"/>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57"/>
      <c r="Q23" s="1263" t="str">
        <f>B23</f>
        <v>自然及人文环境</v>
      </c>
      <c r="R23" s="666" t="s">
        <v>14</v>
      </c>
      <c r="S23" s="667">
        <f>F23</f>
        <v>100</v>
      </c>
      <c r="T23" s="666" t="s">
        <v>14</v>
      </c>
      <c r="U23" s="667">
        <f>H23</f>
        <v>100</v>
      </c>
      <c r="V23" s="666" t="s">
        <v>14</v>
      </c>
      <c r="W23" s="667">
        <f>J23</f>
        <v>100</v>
      </c>
      <c r="X23" s="1265"/>
      <c r="Y23" s="335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57"/>
      <c r="Q24" s="1263"/>
      <c r="R24" s="666"/>
      <c r="S24" s="667"/>
      <c r="T24" s="666"/>
      <c r="U24" s="667"/>
      <c r="V24" s="666"/>
      <c r="W24" s="667"/>
      <c r="X24" s="1265"/>
      <c r="Y24" s="335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57"/>
      <c r="Q25" s="1263" t="str">
        <f t="shared" ref="Q25:Q46" si="11">B25</f>
        <v>临街状况</v>
      </c>
      <c r="R25" s="666" t="s">
        <v>14</v>
      </c>
      <c r="S25" s="667">
        <f>F25</f>
        <v>100</v>
      </c>
      <c r="T25" s="666" t="s">
        <v>14</v>
      </c>
      <c r="U25" s="667">
        <f>H25</f>
        <v>100</v>
      </c>
      <c r="V25" s="666" t="s">
        <v>14</v>
      </c>
      <c r="W25" s="667">
        <f>J25</f>
        <v>100</v>
      </c>
      <c r="X25" s="1265"/>
      <c r="Y25" s="335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57"/>
      <c r="Q26" s="1263" t="str">
        <f t="shared" si="11"/>
        <v>平面位置/可视性</v>
      </c>
      <c r="R26" s="666" t="s">
        <v>14</v>
      </c>
      <c r="S26" s="667">
        <f>F26</f>
        <v>100</v>
      </c>
      <c r="T26" s="666" t="s">
        <v>14</v>
      </c>
      <c r="U26" s="667">
        <f>H26</f>
        <v>100</v>
      </c>
      <c r="V26" s="666" t="s">
        <v>14</v>
      </c>
      <c r="W26" s="667">
        <f>J26</f>
        <v>100</v>
      </c>
      <c r="X26" s="1265"/>
      <c r="Y26" s="335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57"/>
      <c r="Q27" s="530" t="str">
        <f t="shared" si="11"/>
        <v>人流量</v>
      </c>
      <c r="R27" s="663" t="s">
        <v>14</v>
      </c>
      <c r="S27" s="664">
        <f>F27</f>
        <v>100</v>
      </c>
      <c r="T27" s="663" t="s">
        <v>14</v>
      </c>
      <c r="U27" s="664">
        <f>H27</f>
        <v>100</v>
      </c>
      <c r="V27" s="663" t="s">
        <v>14</v>
      </c>
      <c r="W27" s="664">
        <f>J27</f>
        <v>100</v>
      </c>
      <c r="X27" s="665"/>
      <c r="Y27" s="335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57"/>
      <c r="Q28" s="1263" t="str">
        <f t="shared" si="11"/>
        <v>楼层</v>
      </c>
      <c r="R28" s="666" t="s">
        <v>14</v>
      </c>
      <c r="S28" s="667">
        <f t="shared" ref="S28:S46" si="12">F28</f>
        <v>100</v>
      </c>
      <c r="T28" s="666" t="s">
        <v>14</v>
      </c>
      <c r="U28" s="667">
        <f t="shared" ref="U28:U46" si="13">H28</f>
        <v>100</v>
      </c>
      <c r="V28" s="666" t="s">
        <v>14</v>
      </c>
      <c r="W28" s="667">
        <f t="shared" ref="W28:W46" si="14">J28</f>
        <v>100</v>
      </c>
      <c r="X28" s="1265"/>
      <c r="Y28" s="335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57"/>
      <c r="Q29" s="1263">
        <f t="shared" si="11"/>
        <v>111</v>
      </c>
      <c r="R29" s="666" t="s">
        <v>14</v>
      </c>
      <c r="S29" s="667">
        <f t="shared" si="12"/>
        <v>100</v>
      </c>
      <c r="T29" s="666" t="s">
        <v>14</v>
      </c>
      <c r="U29" s="667">
        <f t="shared" si="13"/>
        <v>100</v>
      </c>
      <c r="V29" s="666" t="s">
        <v>14</v>
      </c>
      <c r="W29" s="667">
        <f t="shared" si="14"/>
        <v>100</v>
      </c>
      <c r="X29" s="1265"/>
      <c r="Y29" s="335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57"/>
      <c r="Q30" s="1263">
        <f t="shared" si="11"/>
        <v>111</v>
      </c>
      <c r="R30" s="666" t="s">
        <v>14</v>
      </c>
      <c r="S30" s="667">
        <f t="shared" si="12"/>
        <v>100</v>
      </c>
      <c r="T30" s="666" t="s">
        <v>14</v>
      </c>
      <c r="U30" s="667">
        <f t="shared" si="13"/>
        <v>100</v>
      </c>
      <c r="V30" s="666" t="s">
        <v>14</v>
      </c>
      <c r="W30" s="667">
        <f t="shared" si="14"/>
        <v>100</v>
      </c>
      <c r="X30" s="1265"/>
      <c r="Y30" s="335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57"/>
      <c r="Q31" s="1263">
        <f t="shared" si="11"/>
        <v>111</v>
      </c>
      <c r="R31" s="666" t="s">
        <v>14</v>
      </c>
      <c r="S31" s="667">
        <f t="shared" si="12"/>
        <v>100</v>
      </c>
      <c r="T31" s="666" t="s">
        <v>14</v>
      </c>
      <c r="U31" s="667">
        <f t="shared" si="13"/>
        <v>100</v>
      </c>
      <c r="V31" s="666" t="s">
        <v>14</v>
      </c>
      <c r="W31" s="667">
        <f t="shared" si="14"/>
        <v>100</v>
      </c>
      <c r="X31" s="1265"/>
      <c r="Y31" s="335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60" t="s">
        <v>1696</v>
      </c>
      <c r="Q32" s="1263" t="str">
        <f t="shared" si="11"/>
        <v>商业类型</v>
      </c>
      <c r="R32" s="666" t="s">
        <v>14</v>
      </c>
      <c r="S32" s="667">
        <f t="shared" si="12"/>
        <v>100</v>
      </c>
      <c r="T32" s="666" t="s">
        <v>14</v>
      </c>
      <c r="U32" s="667">
        <f t="shared" si="13"/>
        <v>100</v>
      </c>
      <c r="V32" s="666" t="s">
        <v>14</v>
      </c>
      <c r="W32" s="667">
        <f t="shared" si="14"/>
        <v>100</v>
      </c>
      <c r="X32" s="1265"/>
      <c r="Y32" s="336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61"/>
      <c r="Q33" s="531" t="str">
        <f t="shared" si="11"/>
        <v>项目建筑规模</v>
      </c>
      <c r="R33" s="668" t="s">
        <v>14</v>
      </c>
      <c r="S33" s="669" t="e">
        <f t="shared" si="12"/>
        <v>#N/A</v>
      </c>
      <c r="T33" s="668" t="s">
        <v>14</v>
      </c>
      <c r="U33" s="669" t="e">
        <f t="shared" si="13"/>
        <v>#N/A</v>
      </c>
      <c r="V33" s="668" t="s">
        <v>14</v>
      </c>
      <c r="W33" s="669" t="e">
        <f t="shared" si="14"/>
        <v>#N/A</v>
      </c>
      <c r="X33" s="670"/>
      <c r="Y33" s="3363"/>
      <c r="Z33" s="671"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61"/>
      <c r="Q34" s="1263" t="str">
        <f t="shared" si="11"/>
        <v>建筑结构</v>
      </c>
      <c r="R34" s="666" t="s">
        <v>14</v>
      </c>
      <c r="S34" s="667">
        <f t="shared" si="12"/>
        <v>100</v>
      </c>
      <c r="T34" s="666" t="s">
        <v>14</v>
      </c>
      <c r="U34" s="667">
        <f t="shared" si="13"/>
        <v>100</v>
      </c>
      <c r="V34" s="666" t="s">
        <v>14</v>
      </c>
      <c r="W34" s="667">
        <f t="shared" si="14"/>
        <v>100</v>
      </c>
      <c r="X34" s="1265"/>
      <c r="Y34" s="336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61"/>
      <c r="Q35" s="1263" t="str">
        <f t="shared" si="11"/>
        <v>公共部分装修</v>
      </c>
      <c r="R35" s="666" t="s">
        <v>14</v>
      </c>
      <c r="S35" s="667">
        <f t="shared" si="12"/>
        <v>100</v>
      </c>
      <c r="T35" s="666" t="s">
        <v>14</v>
      </c>
      <c r="U35" s="667">
        <f t="shared" si="13"/>
        <v>100</v>
      </c>
      <c r="V35" s="666" t="s">
        <v>14</v>
      </c>
      <c r="W35" s="667">
        <f t="shared" si="14"/>
        <v>100</v>
      </c>
      <c r="X35" s="1265"/>
      <c r="Y35" s="336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61"/>
      <c r="Q36" s="1263" t="str">
        <f t="shared" si="11"/>
        <v>成新度</v>
      </c>
      <c r="R36" s="666" t="s">
        <v>14</v>
      </c>
      <c r="S36" s="667" t="e">
        <f t="shared" si="12"/>
        <v>#N/A</v>
      </c>
      <c r="T36" s="666" t="s">
        <v>14</v>
      </c>
      <c r="U36" s="667" t="e">
        <f t="shared" si="13"/>
        <v>#N/A</v>
      </c>
      <c r="V36" s="666" t="s">
        <v>14</v>
      </c>
      <c r="W36" s="667" t="e">
        <f t="shared" si="14"/>
        <v>#N/A</v>
      </c>
      <c r="X36" s="1265"/>
      <c r="Y36" s="336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61"/>
      <c r="Q37" s="530" t="str">
        <f t="shared" si="11"/>
        <v>市政基础设施</v>
      </c>
      <c r="R37" s="663" t="s">
        <v>14</v>
      </c>
      <c r="S37" s="664">
        <f t="shared" si="12"/>
        <v>100</v>
      </c>
      <c r="T37" s="663" t="s">
        <v>14</v>
      </c>
      <c r="U37" s="664">
        <f t="shared" si="13"/>
        <v>100</v>
      </c>
      <c r="V37" s="663" t="s">
        <v>14</v>
      </c>
      <c r="W37" s="664">
        <f t="shared" si="14"/>
        <v>100</v>
      </c>
      <c r="X37" s="665"/>
      <c r="Y37" s="336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61" t="s">
        <v>1696</v>
      </c>
      <c r="Q38" s="1263" t="str">
        <f t="shared" si="11"/>
        <v>业态</v>
      </c>
      <c r="R38" s="666" t="s">
        <v>14</v>
      </c>
      <c r="S38" s="667">
        <f t="shared" si="12"/>
        <v>100</v>
      </c>
      <c r="T38" s="666" t="s">
        <v>14</v>
      </c>
      <c r="U38" s="667">
        <f t="shared" si="13"/>
        <v>100</v>
      </c>
      <c r="V38" s="666" t="s">
        <v>14</v>
      </c>
      <c r="W38" s="667">
        <f t="shared" si="14"/>
        <v>100</v>
      </c>
      <c r="X38" s="1265"/>
      <c r="Y38" s="336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61"/>
      <c r="Q39" s="1263" t="str">
        <f t="shared" si="11"/>
        <v>层高</v>
      </c>
      <c r="R39" s="666" t="s">
        <v>14</v>
      </c>
      <c r="S39" s="667">
        <f t="shared" si="12"/>
        <v>100</v>
      </c>
      <c r="T39" s="666" t="s">
        <v>14</v>
      </c>
      <c r="U39" s="667">
        <f t="shared" si="13"/>
        <v>100</v>
      </c>
      <c r="V39" s="666" t="s">
        <v>14</v>
      </c>
      <c r="W39" s="667">
        <f t="shared" si="14"/>
        <v>100</v>
      </c>
      <c r="X39" s="1265"/>
      <c r="Y39" s="336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61"/>
      <c r="Q40" s="1263" t="str">
        <f t="shared" si="11"/>
        <v>单套建筑面积</v>
      </c>
      <c r="R40" s="666" t="s">
        <v>14</v>
      </c>
      <c r="S40" s="667">
        <f t="shared" si="12"/>
        <v>100</v>
      </c>
      <c r="T40" s="666" t="s">
        <v>14</v>
      </c>
      <c r="U40" s="667">
        <f t="shared" si="13"/>
        <v>100</v>
      </c>
      <c r="V40" s="666" t="s">
        <v>14</v>
      </c>
      <c r="W40" s="667">
        <f t="shared" si="14"/>
        <v>100</v>
      </c>
      <c r="X40" s="1265"/>
      <c r="Y40" s="336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61"/>
      <c r="Q41" s="531" t="str">
        <f t="shared" si="11"/>
        <v>进深比</v>
      </c>
      <c r="R41" s="668" t="s">
        <v>14</v>
      </c>
      <c r="S41" s="669">
        <f t="shared" si="12"/>
        <v>100</v>
      </c>
      <c r="T41" s="668" t="s">
        <v>14</v>
      </c>
      <c r="U41" s="669">
        <f t="shared" si="13"/>
        <v>100</v>
      </c>
      <c r="V41" s="668" t="s">
        <v>14</v>
      </c>
      <c r="W41" s="669">
        <f t="shared" si="14"/>
        <v>100</v>
      </c>
      <c r="X41" s="670"/>
      <c r="Y41" s="3363"/>
      <c r="Z41" s="671"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61"/>
      <c r="Q42" s="1263" t="str">
        <f t="shared" si="11"/>
        <v>内部装修</v>
      </c>
      <c r="R42" s="666" t="s">
        <v>14</v>
      </c>
      <c r="S42" s="667">
        <f t="shared" si="12"/>
        <v>100</v>
      </c>
      <c r="T42" s="666" t="s">
        <v>14</v>
      </c>
      <c r="U42" s="667">
        <f t="shared" si="13"/>
        <v>100</v>
      </c>
      <c r="V42" s="666" t="s">
        <v>14</v>
      </c>
      <c r="W42" s="667">
        <f t="shared" si="14"/>
        <v>100</v>
      </c>
      <c r="X42" s="1265"/>
      <c r="Y42" s="3363"/>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61"/>
      <c r="Q43" s="1263" t="str">
        <f t="shared" si="11"/>
        <v>内部装修维护情况</v>
      </c>
      <c r="R43" s="666" t="s">
        <v>14</v>
      </c>
      <c r="S43" s="667">
        <f t="shared" si="12"/>
        <v>100</v>
      </c>
      <c r="T43" s="666" t="s">
        <v>14</v>
      </c>
      <c r="U43" s="667">
        <f t="shared" si="13"/>
        <v>100</v>
      </c>
      <c r="V43" s="666" t="s">
        <v>14</v>
      </c>
      <c r="W43" s="667">
        <f t="shared" si="14"/>
        <v>100</v>
      </c>
      <c r="X43" s="1265"/>
      <c r="Y43" s="336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61"/>
      <c r="Q44" s="530">
        <f t="shared" si="11"/>
        <v>111</v>
      </c>
      <c r="R44" s="663" t="s">
        <v>14</v>
      </c>
      <c r="S44" s="664">
        <f t="shared" si="12"/>
        <v>100</v>
      </c>
      <c r="T44" s="663" t="s">
        <v>14</v>
      </c>
      <c r="U44" s="664">
        <f t="shared" si="13"/>
        <v>100</v>
      </c>
      <c r="V44" s="663" t="s">
        <v>14</v>
      </c>
      <c r="W44" s="664">
        <f t="shared" si="14"/>
        <v>100</v>
      </c>
      <c r="X44" s="665"/>
      <c r="Y44" s="336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61"/>
      <c r="Q45" s="1263">
        <f t="shared" si="11"/>
        <v>111</v>
      </c>
      <c r="R45" s="666" t="s">
        <v>14</v>
      </c>
      <c r="S45" s="667">
        <f t="shared" si="12"/>
        <v>100</v>
      </c>
      <c r="T45" s="666" t="s">
        <v>14</v>
      </c>
      <c r="U45" s="667">
        <f t="shared" si="13"/>
        <v>100</v>
      </c>
      <c r="V45" s="666" t="s">
        <v>14</v>
      </c>
      <c r="W45" s="667">
        <f t="shared" si="14"/>
        <v>100</v>
      </c>
      <c r="X45" s="1265"/>
      <c r="Y45" s="336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62"/>
      <c r="Q46" s="1263">
        <f t="shared" si="11"/>
        <v>111</v>
      </c>
      <c r="R46" s="666" t="s">
        <v>14</v>
      </c>
      <c r="S46" s="667">
        <f t="shared" si="12"/>
        <v>100</v>
      </c>
      <c r="T46" s="666" t="s">
        <v>14</v>
      </c>
      <c r="U46" s="667">
        <f t="shared" si="13"/>
        <v>100</v>
      </c>
      <c r="V46" s="666" t="s">
        <v>14</v>
      </c>
      <c r="W46" s="667">
        <f t="shared" si="14"/>
        <v>100</v>
      </c>
      <c r="X46" s="1265"/>
      <c r="Y46" s="3364"/>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3"/>
      <c r="L47" s="2492"/>
      <c r="M47" s="2485"/>
      <c r="N47" s="2485"/>
      <c r="O47" s="2485"/>
      <c r="P47" s="3351" t="str">
        <f>A47</f>
        <v>成交单价（元/平方米）</v>
      </c>
      <c r="Q47" s="3351"/>
      <c r="R47" s="3352">
        <f>E47</f>
        <v>0</v>
      </c>
      <c r="S47" s="3352"/>
      <c r="T47" s="3352">
        <f>G47</f>
        <v>0</v>
      </c>
      <c r="U47" s="3352"/>
      <c r="V47" s="3352">
        <f>I47</f>
        <v>0</v>
      </c>
      <c r="W47" s="3352"/>
      <c r="X47" s="385"/>
      <c r="Y47" s="672"/>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2"/>
      <c r="M48" s="2485"/>
      <c r="N48" s="2485"/>
      <c r="O48" s="2485"/>
      <c r="P48" s="3351" t="str">
        <f>A48</f>
        <v>比较价值（元/平方米）</v>
      </c>
      <c r="Q48" s="3351"/>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385"/>
      <c r="Y48" s="385"/>
      <c r="Z48" s="385"/>
      <c r="AA48" s="385"/>
      <c r="AB48" s="385"/>
      <c r="AC48" s="385"/>
    </row>
    <row r="49" spans="1:29" ht="15.75" thickBot="1">
      <c r="A49" s="427" t="s">
        <v>1794</v>
      </c>
      <c r="B49" s="428"/>
      <c r="C49" s="351" t="e">
        <f>R49</f>
        <v>#DIV/0!</v>
      </c>
      <c r="D49" s="351"/>
      <c r="E49" s="351"/>
      <c r="F49" s="351"/>
      <c r="G49" s="351"/>
      <c r="H49" s="351"/>
      <c r="I49" s="351"/>
      <c r="J49" s="351"/>
      <c r="K49" s="674"/>
      <c r="L49" s="2492"/>
      <c r="M49" s="2485"/>
      <c r="N49" s="2485"/>
      <c r="O49" s="2485"/>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7" t="s">
        <v>1798</v>
      </c>
      <c r="B57" s="385"/>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2024-6</v>
      </c>
      <c r="D58" s="1104">
        <f>EDATE(C58,-1)</f>
        <v>45413</v>
      </c>
      <c r="E58" s="1104">
        <f t="shared" ref="E58:N58" si="16">EDATE(D58,-1)</f>
        <v>45383</v>
      </c>
      <c r="F58" s="1104">
        <f t="shared" si="16"/>
        <v>45352</v>
      </c>
      <c r="G58" s="1104">
        <f t="shared" si="16"/>
        <v>45323</v>
      </c>
      <c r="H58" s="1104">
        <f t="shared" si="16"/>
        <v>45292</v>
      </c>
      <c r="I58" s="1104">
        <f t="shared" si="16"/>
        <v>45261</v>
      </c>
      <c r="J58" s="1104">
        <f t="shared" si="16"/>
        <v>45231</v>
      </c>
      <c r="K58" s="1104">
        <f t="shared" si="16"/>
        <v>45200</v>
      </c>
      <c r="L58" s="1104">
        <f t="shared" si="16"/>
        <v>45170</v>
      </c>
      <c r="M58" s="1104">
        <f t="shared" si="16"/>
        <v>45139</v>
      </c>
      <c r="N58" s="1104">
        <f t="shared" si="16"/>
        <v>45108</v>
      </c>
      <c r="O58" s="1104">
        <f>EDATE(N58,-1)</f>
        <v>45078</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3" t="e">
        <f ca="1">IF(E1="项目模式",SUMIF(INDIRECT("'"&amp;F2&amp;"'"&amp;"!A:A"),"承租人权益价值",INDIRECT("'"&amp;F2&amp;"'"&amp;"!c:c")),SUMIF(INDIRECT("'"&amp;F2&amp;"'"&amp;"!A:A"),"承租人权益价值（单套）",INDIRECT("'"&amp;F2&amp;"'"&amp;"!c:c")))</f>
        <v>#REF!</v>
      </c>
      <c r="E2" s="1738" t="s">
        <v>1463</v>
      </c>
      <c r="F2" s="1739"/>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94.12</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82" t="s">
        <v>1770</v>
      </c>
      <c r="D4" s="3383"/>
      <c r="E4" s="3384" t="s">
        <v>1771</v>
      </c>
      <c r="F4" s="3385"/>
      <c r="G4" s="3382" t="s">
        <v>1772</v>
      </c>
      <c r="H4" s="3383"/>
      <c r="I4" s="3382" t="s">
        <v>1773</v>
      </c>
      <c r="J4" s="3383"/>
      <c r="K4" s="537" t="s">
        <v>1774</v>
      </c>
      <c r="L4" s="859"/>
      <c r="M4" s="860"/>
      <c r="N4" s="860"/>
      <c r="O4" s="860"/>
      <c r="P4" s="3444" t="s">
        <v>1775</v>
      </c>
      <c r="Q4" s="3445"/>
      <c r="R4" s="3448" t="s">
        <v>1771</v>
      </c>
      <c r="S4" s="3449"/>
      <c r="T4" s="3448" t="s">
        <v>1772</v>
      </c>
      <c r="U4" s="3449"/>
      <c r="V4" s="3352" t="s">
        <v>1773</v>
      </c>
      <c r="W4" s="3352"/>
      <c r="X4" s="1265"/>
      <c r="Y4" s="3448" t="s">
        <v>1775</v>
      </c>
      <c r="Z4" s="3449"/>
      <c r="AA4" s="3443" t="s">
        <v>1771</v>
      </c>
      <c r="AB4" s="3376" t="s">
        <v>1772</v>
      </c>
      <c r="AC4" s="3443" t="s">
        <v>1773</v>
      </c>
    </row>
    <row r="5" spans="1:29" ht="15">
      <c r="A5" s="348"/>
      <c r="B5" s="349"/>
      <c r="C5" s="3450" t="s">
        <v>1673</v>
      </c>
      <c r="D5" s="3393"/>
      <c r="E5" s="3451" t="s">
        <v>1674</v>
      </c>
      <c r="F5" s="3395"/>
      <c r="G5" s="3450" t="s">
        <v>1675</v>
      </c>
      <c r="H5" s="3393"/>
      <c r="I5" s="3450" t="s">
        <v>1676</v>
      </c>
      <c r="J5" s="3393"/>
      <c r="K5" s="537"/>
      <c r="L5" s="859"/>
      <c r="M5" s="860"/>
      <c r="N5" s="860"/>
      <c r="O5" s="860"/>
      <c r="P5" s="3446"/>
      <c r="Q5" s="3389"/>
      <c r="R5" s="3371"/>
      <c r="S5" s="3372"/>
      <c r="T5" s="3371"/>
      <c r="U5" s="3372"/>
      <c r="V5" s="3352"/>
      <c r="W5" s="3352"/>
      <c r="X5" s="1265"/>
      <c r="Y5" s="3371"/>
      <c r="Z5" s="3372"/>
      <c r="AA5" s="3376"/>
      <c r="AB5" s="3376"/>
      <c r="AC5" s="3376"/>
    </row>
    <row r="6" spans="1:29" ht="15.75" thickBot="1">
      <c r="A6" s="350"/>
      <c r="B6" s="351"/>
      <c r="C6" s="3396" t="s">
        <v>1677</v>
      </c>
      <c r="D6" s="3397"/>
      <c r="E6" s="3398" t="s">
        <v>1677</v>
      </c>
      <c r="F6" s="3399"/>
      <c r="G6" s="3396" t="s">
        <v>1677</v>
      </c>
      <c r="H6" s="3397"/>
      <c r="I6" s="3396" t="s">
        <v>1677</v>
      </c>
      <c r="J6" s="3397"/>
      <c r="K6" s="537" t="s">
        <v>1678</v>
      </c>
      <c r="L6" s="859"/>
      <c r="M6" s="860"/>
      <c r="N6" s="860"/>
      <c r="O6" s="860"/>
      <c r="P6" s="3447"/>
      <c r="Q6" s="3391"/>
      <c r="R6" s="3371"/>
      <c r="S6" s="3372"/>
      <c r="T6" s="3373"/>
      <c r="U6" s="3374"/>
      <c r="V6" s="3352"/>
      <c r="W6" s="3352"/>
      <c r="X6" s="1265"/>
      <c r="Y6" s="3373"/>
      <c r="Z6" s="3374"/>
      <c r="AA6" s="3377"/>
      <c r="AB6" s="3377"/>
      <c r="AC6" s="3377"/>
    </row>
    <row r="7" spans="1:29" s="102" customFormat="1" ht="15.75" thickBot="1">
      <c r="A7" s="352" t="s">
        <v>1679</v>
      </c>
      <c r="B7" s="353"/>
      <c r="C7" s="354">
        <f>'数据-取费表'!B2</f>
        <v>45450</v>
      </c>
      <c r="D7" s="355">
        <v>100</v>
      </c>
      <c r="E7" s="356"/>
      <c r="F7" s="357">
        <f>SUMIF(52:52,YEAR(E7)&amp;"-"&amp;MONTH(E7),53:53)</f>
        <v>0</v>
      </c>
      <c r="G7" s="356"/>
      <c r="H7" s="355">
        <f>SUMIF(52:52,YEAR(G7)&amp;"-"&amp;MONTH(G7),53:53)</f>
        <v>0</v>
      </c>
      <c r="I7" s="356"/>
      <c r="J7" s="355">
        <f>SUMIF(52:52,YEAR(I7)&amp;"-"&amp;MONTH(I7),53:53)</f>
        <v>0</v>
      </c>
      <c r="K7" s="38"/>
      <c r="L7" s="861"/>
      <c r="M7" s="862"/>
      <c r="N7" s="862"/>
      <c r="O7" s="862"/>
      <c r="P7" s="3367" t="s">
        <v>1680</v>
      </c>
      <c r="Q7" s="3378"/>
      <c r="R7" s="663" t="s">
        <v>14</v>
      </c>
      <c r="S7" s="664">
        <f t="shared" ref="S7:S15" si="0">F7</f>
        <v>0</v>
      </c>
      <c r="T7" s="663" t="s">
        <v>14</v>
      </c>
      <c r="U7" s="664">
        <f t="shared" ref="U7:U15" si="1">H7</f>
        <v>0</v>
      </c>
      <c r="V7" s="663" t="s">
        <v>14</v>
      </c>
      <c r="W7" s="664">
        <f t="shared" ref="W7:W15" si="2">J7</f>
        <v>0</v>
      </c>
      <c r="X7" s="665"/>
      <c r="Y7" s="3367" t="s">
        <v>1680</v>
      </c>
      <c r="Z7" s="336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67" t="s">
        <v>1683</v>
      </c>
      <c r="Q8" s="3366"/>
      <c r="R8" s="663" t="s">
        <v>14</v>
      </c>
      <c r="S8" s="664">
        <f t="shared" si="0"/>
        <v>100</v>
      </c>
      <c r="T8" s="663" t="s">
        <v>14</v>
      </c>
      <c r="U8" s="664">
        <f t="shared" si="1"/>
        <v>100</v>
      </c>
      <c r="V8" s="663" t="s">
        <v>14</v>
      </c>
      <c r="W8" s="664">
        <f t="shared" si="2"/>
        <v>100</v>
      </c>
      <c r="X8" s="665"/>
      <c r="Y8" s="3367" t="s">
        <v>1683</v>
      </c>
      <c r="Z8" s="336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51" t="s">
        <v>1686</v>
      </c>
      <c r="Q9" s="530"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4"/>
      <c r="M10" s="865"/>
      <c r="N10" s="865"/>
      <c r="O10" s="866"/>
      <c r="P10" s="3351"/>
      <c r="Q10" s="530"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51"/>
      <c r="Q11" s="530" t="str">
        <f t="shared" si="6"/>
        <v>容积率</v>
      </c>
      <c r="R11" s="663" t="s">
        <v>14</v>
      </c>
      <c r="S11" s="664">
        <f t="shared" si="0"/>
        <v>100</v>
      </c>
      <c r="T11" s="663" t="s">
        <v>14</v>
      </c>
      <c r="U11" s="664">
        <f t="shared" si="1"/>
        <v>100</v>
      </c>
      <c r="V11" s="663" t="s">
        <v>14</v>
      </c>
      <c r="W11" s="664">
        <f t="shared" si="2"/>
        <v>100</v>
      </c>
      <c r="X11" s="665"/>
      <c r="Y11" s="324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1"/>
      <c r="M12" s="862"/>
      <c r="N12" s="862"/>
      <c r="O12" s="863"/>
      <c r="P12" s="3351"/>
      <c r="Q12" s="530">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69"/>
      <c r="M13" s="860"/>
      <c r="N13" s="860"/>
      <c r="O13" s="868"/>
      <c r="P13" s="3351"/>
      <c r="Q13" s="530">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69"/>
      <c r="M14" s="860"/>
      <c r="N14" s="860"/>
      <c r="O14" s="868"/>
      <c r="P14" s="3351"/>
      <c r="Q14" s="530">
        <f t="shared" si="6"/>
        <v>111</v>
      </c>
      <c r="R14" s="663" t="s">
        <v>14</v>
      </c>
      <c r="S14" s="664">
        <f t="shared" si="0"/>
        <v>100</v>
      </c>
      <c r="T14" s="663" t="s">
        <v>14</v>
      </c>
      <c r="U14" s="664">
        <f t="shared" si="1"/>
        <v>100</v>
      </c>
      <c r="V14" s="663" t="s">
        <v>14</v>
      </c>
      <c r="W14" s="664">
        <f t="shared" si="2"/>
        <v>100</v>
      </c>
      <c r="X14" s="665"/>
      <c r="Y14" s="3249"/>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58" t="s">
        <v>1691</v>
      </c>
      <c r="Q15" s="1263" t="str">
        <f t="shared" si="6"/>
        <v>产业集聚程度</v>
      </c>
      <c r="R15" s="666" t="s">
        <v>14</v>
      </c>
      <c r="S15" s="667">
        <f t="shared" si="0"/>
        <v>100</v>
      </c>
      <c r="T15" s="666" t="s">
        <v>14</v>
      </c>
      <c r="U15" s="667">
        <f t="shared" si="1"/>
        <v>100</v>
      </c>
      <c r="V15" s="666" t="s">
        <v>14</v>
      </c>
      <c r="W15" s="667">
        <f t="shared" si="2"/>
        <v>100</v>
      </c>
      <c r="X15" s="1265"/>
      <c r="Y15" s="335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69"/>
      <c r="M16" s="860"/>
      <c r="N16" s="860"/>
      <c r="O16" s="868"/>
      <c r="P16" s="3359"/>
      <c r="Q16" s="1263"/>
      <c r="R16" s="666"/>
      <c r="S16" s="667"/>
      <c r="T16" s="666"/>
      <c r="U16" s="667"/>
      <c r="V16" s="666"/>
      <c r="W16" s="667"/>
      <c r="X16" s="1265"/>
      <c r="Y16" s="335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59"/>
      <c r="Q17" s="1263" t="str">
        <f>B17</f>
        <v>交通便捷度</v>
      </c>
      <c r="R17" s="666" t="s">
        <v>14</v>
      </c>
      <c r="S17" s="667">
        <f>F17</f>
        <v>100</v>
      </c>
      <c r="T17" s="666" t="s">
        <v>14</v>
      </c>
      <c r="U17" s="667">
        <f>H17</f>
        <v>100</v>
      </c>
      <c r="V17" s="666" t="s">
        <v>14</v>
      </c>
      <c r="W17" s="667">
        <f>J17</f>
        <v>100</v>
      </c>
      <c r="X17" s="1265"/>
      <c r="Y17" s="335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69"/>
      <c r="M18" s="860"/>
      <c r="N18" s="860"/>
      <c r="O18" s="868"/>
      <c r="P18" s="3359"/>
      <c r="Q18" s="1263"/>
      <c r="R18" s="666"/>
      <c r="S18" s="667"/>
      <c r="T18" s="666"/>
      <c r="U18" s="667"/>
      <c r="V18" s="666"/>
      <c r="W18" s="667"/>
      <c r="X18" s="1265"/>
      <c r="Y18" s="335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59"/>
      <c r="Q19" s="1263" t="str">
        <f>B19</f>
        <v>公共配套设施</v>
      </c>
      <c r="R19" s="666" t="s">
        <v>14</v>
      </c>
      <c r="S19" s="667">
        <f>F19</f>
        <v>100</v>
      </c>
      <c r="T19" s="666" t="s">
        <v>14</v>
      </c>
      <c r="U19" s="667">
        <f>H19</f>
        <v>100</v>
      </c>
      <c r="V19" s="666" t="s">
        <v>14</v>
      </c>
      <c r="W19" s="667">
        <f>J19</f>
        <v>100</v>
      </c>
      <c r="X19" s="1265"/>
      <c r="Y19" s="335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69"/>
      <c r="M20" s="860"/>
      <c r="N20" s="860"/>
      <c r="O20" s="868"/>
      <c r="P20" s="3359"/>
      <c r="Q20" s="1263"/>
      <c r="R20" s="666"/>
      <c r="S20" s="667"/>
      <c r="T20" s="666"/>
      <c r="U20" s="667"/>
      <c r="V20" s="666"/>
      <c r="W20" s="667"/>
      <c r="X20" s="1265"/>
      <c r="Y20" s="335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59"/>
      <c r="Q21" s="1263" t="str">
        <f>B21</f>
        <v>基础设施水平</v>
      </c>
      <c r="R21" s="666" t="s">
        <v>14</v>
      </c>
      <c r="S21" s="667">
        <f>F21</f>
        <v>100</v>
      </c>
      <c r="T21" s="666" t="s">
        <v>14</v>
      </c>
      <c r="U21" s="667">
        <f>H21</f>
        <v>100</v>
      </c>
      <c r="V21" s="666" t="s">
        <v>14</v>
      </c>
      <c r="W21" s="667">
        <f>J21</f>
        <v>100</v>
      </c>
      <c r="X21" s="1265"/>
      <c r="Y21" s="335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69"/>
      <c r="M22" s="860"/>
      <c r="N22" s="860"/>
      <c r="O22" s="868"/>
      <c r="P22" s="3359"/>
      <c r="Q22" s="1263"/>
      <c r="R22" s="666"/>
      <c r="S22" s="667"/>
      <c r="T22" s="666"/>
      <c r="U22" s="667"/>
      <c r="V22" s="666"/>
      <c r="W22" s="667"/>
      <c r="X22" s="1265"/>
      <c r="Y22" s="335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59"/>
      <c r="Q23" s="1263" t="str">
        <f>B23</f>
        <v>环境质量</v>
      </c>
      <c r="R23" s="666" t="s">
        <v>14</v>
      </c>
      <c r="S23" s="667">
        <f>F23</f>
        <v>100</v>
      </c>
      <c r="T23" s="666" t="s">
        <v>14</v>
      </c>
      <c r="U23" s="667">
        <f>H23</f>
        <v>100</v>
      </c>
      <c r="V23" s="666" t="s">
        <v>14</v>
      </c>
      <c r="W23" s="667">
        <f>J23</f>
        <v>100</v>
      </c>
      <c r="X23" s="1265"/>
      <c r="Y23" s="335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69"/>
      <c r="M24" s="860"/>
      <c r="N24" s="860"/>
      <c r="O24" s="868"/>
      <c r="P24" s="3359"/>
      <c r="Q24" s="1263"/>
      <c r="R24" s="666"/>
      <c r="S24" s="667"/>
      <c r="T24" s="666"/>
      <c r="U24" s="667"/>
      <c r="V24" s="666"/>
      <c r="W24" s="667"/>
      <c r="X24" s="1265"/>
      <c r="Y24" s="335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59"/>
      <c r="Q25" s="1263">
        <f>B25</f>
        <v>111</v>
      </c>
      <c r="R25" s="666" t="s">
        <v>14</v>
      </c>
      <c r="S25" s="667">
        <f>F25</f>
        <v>100</v>
      </c>
      <c r="T25" s="666" t="s">
        <v>14</v>
      </c>
      <c r="U25" s="667">
        <f>H25</f>
        <v>100</v>
      </c>
      <c r="V25" s="666" t="s">
        <v>14</v>
      </c>
      <c r="W25" s="667">
        <f>J25</f>
        <v>100</v>
      </c>
      <c r="X25" s="1265"/>
      <c r="Y25" s="335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59"/>
      <c r="Q26" s="1263">
        <f t="shared" ref="Q26:Q40" si="11">B26</f>
        <v>111</v>
      </c>
      <c r="R26" s="666" t="s">
        <v>14</v>
      </c>
      <c r="S26" s="667">
        <f>F26</f>
        <v>100</v>
      </c>
      <c r="T26" s="666" t="s">
        <v>14</v>
      </c>
      <c r="U26" s="667">
        <f>H26</f>
        <v>100</v>
      </c>
      <c r="V26" s="666" t="s">
        <v>14</v>
      </c>
      <c r="W26" s="667">
        <f>J26</f>
        <v>100</v>
      </c>
      <c r="X26" s="1265"/>
      <c r="Y26" s="335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59"/>
      <c r="Q27" s="530">
        <f t="shared" si="11"/>
        <v>111</v>
      </c>
      <c r="R27" s="663" t="s">
        <v>14</v>
      </c>
      <c r="S27" s="664">
        <f>F27</f>
        <v>100</v>
      </c>
      <c r="T27" s="663" t="s">
        <v>14</v>
      </c>
      <c r="U27" s="664">
        <f>H27</f>
        <v>100</v>
      </c>
      <c r="V27" s="663" t="s">
        <v>14</v>
      </c>
      <c r="W27" s="664">
        <f>J27</f>
        <v>100</v>
      </c>
      <c r="X27" s="665"/>
      <c r="Y27" s="335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59"/>
      <c r="Q28" s="1263">
        <f t="shared" si="11"/>
        <v>111</v>
      </c>
      <c r="R28" s="666" t="s">
        <v>14</v>
      </c>
      <c r="S28" s="667">
        <f t="shared" ref="S28:S40" si="12">F28</f>
        <v>100</v>
      </c>
      <c r="T28" s="666" t="s">
        <v>14</v>
      </c>
      <c r="U28" s="667">
        <f t="shared" ref="U28:U40" si="13">H28</f>
        <v>100</v>
      </c>
      <c r="V28" s="666" t="s">
        <v>14</v>
      </c>
      <c r="W28" s="667">
        <f t="shared" ref="W28:W40" si="14">J28</f>
        <v>100</v>
      </c>
      <c r="X28" s="1265"/>
      <c r="Y28" s="335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69"/>
      <c r="M29" s="860"/>
      <c r="N29" s="860"/>
      <c r="O29" s="868"/>
      <c r="P29" s="3452" t="s">
        <v>1696</v>
      </c>
      <c r="Q29" s="1263" t="str">
        <f t="shared" si="11"/>
        <v>建筑类型</v>
      </c>
      <c r="R29" s="666" t="s">
        <v>14</v>
      </c>
      <c r="S29" s="667">
        <f t="shared" si="12"/>
        <v>100</v>
      </c>
      <c r="T29" s="666" t="s">
        <v>14</v>
      </c>
      <c r="U29" s="667">
        <f t="shared" si="13"/>
        <v>100</v>
      </c>
      <c r="V29" s="666" t="s">
        <v>14</v>
      </c>
      <c r="W29" s="667">
        <f t="shared" si="14"/>
        <v>100</v>
      </c>
      <c r="X29" s="1265"/>
      <c r="Y29" s="336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63"/>
      <c r="Q30" s="531" t="str">
        <f t="shared" si="11"/>
        <v>项目建筑规模</v>
      </c>
      <c r="R30" s="668" t="s">
        <v>14</v>
      </c>
      <c r="S30" s="669" t="e">
        <f t="shared" si="12"/>
        <v>#N/A</v>
      </c>
      <c r="T30" s="668" t="s">
        <v>14</v>
      </c>
      <c r="U30" s="669" t="e">
        <f t="shared" si="13"/>
        <v>#N/A</v>
      </c>
      <c r="V30" s="668" t="s">
        <v>14</v>
      </c>
      <c r="W30" s="669" t="e">
        <f t="shared" si="14"/>
        <v>#N/A</v>
      </c>
      <c r="X30" s="670"/>
      <c r="Y30" s="3363"/>
      <c r="Z30" s="671"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63"/>
      <c r="Q31" s="1263" t="str">
        <f t="shared" si="11"/>
        <v>建筑结构</v>
      </c>
      <c r="R31" s="666" t="s">
        <v>14</v>
      </c>
      <c r="S31" s="667">
        <f t="shared" si="12"/>
        <v>100</v>
      </c>
      <c r="T31" s="666" t="s">
        <v>14</v>
      </c>
      <c r="U31" s="667">
        <f t="shared" si="13"/>
        <v>100</v>
      </c>
      <c r="V31" s="666" t="s">
        <v>14</v>
      </c>
      <c r="W31" s="667">
        <f t="shared" si="14"/>
        <v>100</v>
      </c>
      <c r="X31" s="1265"/>
      <c r="Y31" s="336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63"/>
      <c r="Q32" s="1263" t="str">
        <f t="shared" si="11"/>
        <v>公共部分装修</v>
      </c>
      <c r="R32" s="666" t="s">
        <v>14</v>
      </c>
      <c r="S32" s="667">
        <f t="shared" si="12"/>
        <v>100</v>
      </c>
      <c r="T32" s="666" t="s">
        <v>14</v>
      </c>
      <c r="U32" s="667">
        <f t="shared" si="13"/>
        <v>100</v>
      </c>
      <c r="V32" s="666" t="s">
        <v>14</v>
      </c>
      <c r="W32" s="667">
        <f t="shared" si="14"/>
        <v>100</v>
      </c>
      <c r="X32" s="1265"/>
      <c r="Y32" s="336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63"/>
      <c r="Q33" s="1263" t="str">
        <f t="shared" si="11"/>
        <v>成新度</v>
      </c>
      <c r="R33" s="666" t="s">
        <v>14</v>
      </c>
      <c r="S33" s="667" t="e">
        <f t="shared" si="12"/>
        <v>#N/A</v>
      </c>
      <c r="T33" s="666" t="s">
        <v>14</v>
      </c>
      <c r="U33" s="667" t="e">
        <f t="shared" si="13"/>
        <v>#N/A</v>
      </c>
      <c r="V33" s="666" t="s">
        <v>14</v>
      </c>
      <c r="W33" s="667" t="e">
        <f t="shared" si="14"/>
        <v>#N/A</v>
      </c>
      <c r="X33" s="1265"/>
      <c r="Y33" s="336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63"/>
      <c r="Q34" s="530" t="str">
        <f t="shared" si="11"/>
        <v>物业管理</v>
      </c>
      <c r="R34" s="663" t="s">
        <v>14</v>
      </c>
      <c r="S34" s="664">
        <f t="shared" si="12"/>
        <v>100</v>
      </c>
      <c r="T34" s="663" t="s">
        <v>14</v>
      </c>
      <c r="U34" s="664">
        <f t="shared" si="13"/>
        <v>100</v>
      </c>
      <c r="V34" s="663" t="s">
        <v>14</v>
      </c>
      <c r="W34" s="664">
        <f t="shared" si="14"/>
        <v>100</v>
      </c>
      <c r="X34" s="665"/>
      <c r="Y34" s="336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63" t="s">
        <v>1696</v>
      </c>
      <c r="Q35" s="1263" t="str">
        <f t="shared" si="11"/>
        <v>市政基础设施</v>
      </c>
      <c r="R35" s="666" t="s">
        <v>14</v>
      </c>
      <c r="S35" s="667">
        <f t="shared" si="12"/>
        <v>100</v>
      </c>
      <c r="T35" s="666" t="s">
        <v>14</v>
      </c>
      <c r="U35" s="667">
        <f t="shared" si="13"/>
        <v>100</v>
      </c>
      <c r="V35" s="666" t="s">
        <v>14</v>
      </c>
      <c r="W35" s="667">
        <f t="shared" si="14"/>
        <v>100</v>
      </c>
      <c r="X35" s="1265"/>
      <c r="Y35" s="336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63"/>
      <c r="Q36" s="1263" t="str">
        <f t="shared" si="11"/>
        <v>内部装修</v>
      </c>
      <c r="R36" s="666" t="s">
        <v>14</v>
      </c>
      <c r="S36" s="667">
        <f t="shared" si="12"/>
        <v>100</v>
      </c>
      <c r="T36" s="666" t="s">
        <v>14</v>
      </c>
      <c r="U36" s="667">
        <f t="shared" si="13"/>
        <v>100</v>
      </c>
      <c r="V36" s="666" t="s">
        <v>14</v>
      </c>
      <c r="W36" s="667">
        <f t="shared" si="14"/>
        <v>100</v>
      </c>
      <c r="X36" s="1265"/>
      <c r="Y36" s="336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63"/>
      <c r="Q37" s="1263" t="str">
        <f t="shared" si="11"/>
        <v>内部装修状况</v>
      </c>
      <c r="R37" s="666" t="s">
        <v>14</v>
      </c>
      <c r="S37" s="667">
        <f t="shared" si="12"/>
        <v>100</v>
      </c>
      <c r="T37" s="666" t="s">
        <v>14</v>
      </c>
      <c r="U37" s="667">
        <f t="shared" si="13"/>
        <v>100</v>
      </c>
      <c r="V37" s="666" t="s">
        <v>14</v>
      </c>
      <c r="W37" s="667">
        <f t="shared" si="14"/>
        <v>100</v>
      </c>
      <c r="X37" s="1265"/>
      <c r="Y37" s="336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63"/>
      <c r="Q38" s="531">
        <f t="shared" si="11"/>
        <v>111</v>
      </c>
      <c r="R38" s="668" t="s">
        <v>14</v>
      </c>
      <c r="S38" s="669">
        <f t="shared" si="12"/>
        <v>100</v>
      </c>
      <c r="T38" s="668" t="s">
        <v>14</v>
      </c>
      <c r="U38" s="669">
        <f t="shared" si="13"/>
        <v>100</v>
      </c>
      <c r="V38" s="668" t="s">
        <v>14</v>
      </c>
      <c r="W38" s="669">
        <f t="shared" si="14"/>
        <v>100</v>
      </c>
      <c r="X38" s="670"/>
      <c r="Y38" s="3363"/>
      <c r="Z38" s="671">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63"/>
      <c r="Q39" s="1263">
        <f t="shared" si="11"/>
        <v>111</v>
      </c>
      <c r="R39" s="666" t="s">
        <v>14</v>
      </c>
      <c r="S39" s="667">
        <f t="shared" si="12"/>
        <v>100</v>
      </c>
      <c r="T39" s="666" t="s">
        <v>14</v>
      </c>
      <c r="U39" s="667">
        <f t="shared" si="13"/>
        <v>100</v>
      </c>
      <c r="V39" s="666" t="s">
        <v>14</v>
      </c>
      <c r="W39" s="667">
        <f t="shared" si="14"/>
        <v>100</v>
      </c>
      <c r="X39" s="1265"/>
      <c r="Y39" s="336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64"/>
      <c r="Q40" s="1263">
        <f t="shared" si="11"/>
        <v>111</v>
      </c>
      <c r="R40" s="666" t="s">
        <v>14</v>
      </c>
      <c r="S40" s="667">
        <f t="shared" si="12"/>
        <v>100</v>
      </c>
      <c r="T40" s="666" t="s">
        <v>14</v>
      </c>
      <c r="U40" s="667">
        <f t="shared" si="13"/>
        <v>100</v>
      </c>
      <c r="V40" s="666" t="s">
        <v>14</v>
      </c>
      <c r="W40" s="667">
        <f t="shared" si="14"/>
        <v>100</v>
      </c>
      <c r="X40" s="1265"/>
      <c r="Y40" s="336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3"/>
      <c r="L41" s="872"/>
      <c r="M41" s="860"/>
      <c r="N41" s="860"/>
      <c r="O41" s="860"/>
      <c r="P41" s="3351" t="str">
        <f>A41</f>
        <v>成交单价（元/平方米）</v>
      </c>
      <c r="Q41" s="3351"/>
      <c r="R41" s="3352">
        <f>E41</f>
        <v>0</v>
      </c>
      <c r="S41" s="3352"/>
      <c r="T41" s="3352">
        <f>G41</f>
        <v>0</v>
      </c>
      <c r="U41" s="3352"/>
      <c r="V41" s="3352">
        <f>I41</f>
        <v>0</v>
      </c>
      <c r="W41" s="3352"/>
      <c r="X41" s="385"/>
      <c r="Y41" s="672"/>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2"/>
      <c r="M42" s="860"/>
      <c r="N42" s="860"/>
      <c r="O42" s="860"/>
      <c r="P42" s="3351" t="str">
        <f>A42</f>
        <v>比较价值（元/平方米）</v>
      </c>
      <c r="Q42" s="3351"/>
      <c r="R42" s="3352" t="e">
        <f>IF(F1="售价",ROUND(PRODUCT(R41,AA7:AA40),0),ROUND(PRODUCT(R41,AA7:AA40),1))</f>
        <v>#DIV/0!</v>
      </c>
      <c r="S42" s="3352"/>
      <c r="T42" s="3352" t="e">
        <f>IF(F1="售价",ROUND(PRODUCT(T41,AB7:AB40),0),ROUND(PRODUCT(T41,AB7:AB40),1))</f>
        <v>#DIV/0!</v>
      </c>
      <c r="U42" s="3352"/>
      <c r="V42" s="3352" t="e">
        <f>IF(F1="售价",ROUND(PRODUCT(V41,AC7:AC40),0),ROUND(PRODUCT(V41,AC7:AC40),1))</f>
        <v>#DIV/0!</v>
      </c>
      <c r="W42" s="3352"/>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440" t="str">
        <f>A43</f>
        <v>估价对象XX用房的比较价值（楼面单价，元/平方米）</v>
      </c>
      <c r="Q43" s="3441"/>
      <c r="R43" s="3442" t="e">
        <f>IF(F1="售价",ROUND(IF(D42="简单平均",AVERAGE(R42:V42),R42*F42+T42*H42+V42*J42),0),ROUND(IF(D42="简单平均",AVERAGE(R42:V42),R42*F42+T42*H42+V42*J42),1))</f>
        <v>#DIV/0!</v>
      </c>
      <c r="S43" s="3442"/>
      <c r="T43" s="3442"/>
      <c r="U43" s="3442"/>
      <c r="V43" s="3442"/>
      <c r="W43" s="3442"/>
      <c r="X43" s="385"/>
      <c r="Y43" s="385"/>
      <c r="Z43" s="385"/>
      <c r="AA43" s="385"/>
      <c r="AB43" s="385"/>
      <c r="AC43" s="385"/>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5"/>
      <c r="M46" s="860"/>
      <c r="N46" s="860"/>
      <c r="O46" s="860"/>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5"/>
      <c r="M47" s="860"/>
      <c r="N47" s="860"/>
      <c r="O47" s="860"/>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5"/>
      <c r="M48" s="873"/>
      <c r="N48" s="873"/>
      <c r="O48" s="873"/>
    </row>
    <row r="49" spans="1:17" s="437"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3" t="str">
        <f>YEAR(C7)&amp;"-"&amp;MONTH(C7)</f>
        <v>2024-6</v>
      </c>
      <c r="D52" s="1104">
        <f>EDATE(C52,-1)</f>
        <v>45413</v>
      </c>
      <c r="E52" s="1104">
        <f t="shared" ref="E52:O52" si="16">EDATE(D52,-1)</f>
        <v>45383</v>
      </c>
      <c r="F52" s="1104">
        <f t="shared" si="16"/>
        <v>45352</v>
      </c>
      <c r="G52" s="1104">
        <f t="shared" si="16"/>
        <v>45323</v>
      </c>
      <c r="H52" s="1104">
        <f t="shared" si="16"/>
        <v>45292</v>
      </c>
      <c r="I52" s="1104">
        <f t="shared" si="16"/>
        <v>45261</v>
      </c>
      <c r="J52" s="1104">
        <f t="shared" si="16"/>
        <v>45231</v>
      </c>
      <c r="K52" s="1104">
        <f t="shared" si="16"/>
        <v>45200</v>
      </c>
      <c r="L52" s="1104">
        <f t="shared" si="16"/>
        <v>45170</v>
      </c>
      <c r="M52" s="1104">
        <f t="shared" si="16"/>
        <v>45139</v>
      </c>
      <c r="N52" s="1104">
        <f t="shared" si="16"/>
        <v>45108</v>
      </c>
      <c r="O52" s="1104">
        <f t="shared" si="16"/>
        <v>45078</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3" t="e">
        <f ca="1">IF(E1="项目模式",SUMIF(INDIRECT("'"&amp;F2&amp;"'"&amp;"!A:A"),"承租人权益价值",INDIRECT("'"&amp;F2&amp;"'"&amp;"!c:c")),SUMIF(INDIRECT("'"&amp;F2&amp;"'"&amp;"!A:A"),"承租人权益价值（单套）",INDIRECT("'"&amp;F2&amp;"'"&amp;"!c:c")))</f>
        <v>#REF!</v>
      </c>
      <c r="E2" s="1738" t="s">
        <v>1463</v>
      </c>
      <c r="F2" s="1739"/>
      <c r="G2" s="854"/>
      <c r="H2" s="854"/>
      <c r="I2" s="854"/>
      <c r="J2" s="854"/>
      <c r="K2" s="856"/>
      <c r="L2" s="2501"/>
      <c r="M2" s="2502"/>
      <c r="N2" s="2502"/>
      <c r="O2" s="2502"/>
      <c r="P2" s="1086"/>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5"/>
      <c r="AC3" s="662"/>
    </row>
    <row r="4" spans="1:29" ht="15">
      <c r="A4" s="345" t="s">
        <v>1769</v>
      </c>
      <c r="B4" s="346"/>
      <c r="C4" s="3382" t="s">
        <v>1770</v>
      </c>
      <c r="D4" s="3383"/>
      <c r="E4" s="3384" t="s">
        <v>1771</v>
      </c>
      <c r="F4" s="3385"/>
      <c r="G4" s="3382" t="s">
        <v>1772</v>
      </c>
      <c r="H4" s="3383"/>
      <c r="I4" s="3382" t="s">
        <v>1773</v>
      </c>
      <c r="J4" s="3383"/>
      <c r="K4" s="537" t="s">
        <v>1774</v>
      </c>
      <c r="L4" s="2484"/>
      <c r="M4" s="2485"/>
      <c r="N4" s="2485"/>
      <c r="O4" s="2485"/>
      <c r="P4" s="3444" t="s">
        <v>1775</v>
      </c>
      <c r="Q4" s="3445"/>
      <c r="R4" s="3448" t="s">
        <v>1771</v>
      </c>
      <c r="S4" s="3449"/>
      <c r="T4" s="3448" t="s">
        <v>1772</v>
      </c>
      <c r="U4" s="3449"/>
      <c r="V4" s="3352" t="s">
        <v>1773</v>
      </c>
      <c r="W4" s="3352"/>
      <c r="X4" s="1265"/>
      <c r="Y4" s="3448" t="s">
        <v>1775</v>
      </c>
      <c r="Z4" s="3449"/>
      <c r="AA4" s="3443" t="s">
        <v>1771</v>
      </c>
      <c r="AB4" s="3376" t="s">
        <v>1772</v>
      </c>
      <c r="AC4" s="3443" t="s">
        <v>1773</v>
      </c>
    </row>
    <row r="5" spans="1:29" ht="15">
      <c r="A5" s="348"/>
      <c r="B5" s="349"/>
      <c r="C5" s="3450" t="s">
        <v>1673</v>
      </c>
      <c r="D5" s="3393"/>
      <c r="E5" s="3451" t="s">
        <v>1674</v>
      </c>
      <c r="F5" s="3395"/>
      <c r="G5" s="3450" t="s">
        <v>1675</v>
      </c>
      <c r="H5" s="3393"/>
      <c r="I5" s="3450" t="s">
        <v>1676</v>
      </c>
      <c r="J5" s="3393"/>
      <c r="K5" s="537"/>
      <c r="L5" s="2484"/>
      <c r="M5" s="2485"/>
      <c r="N5" s="2485"/>
      <c r="O5" s="2485"/>
      <c r="P5" s="3446"/>
      <c r="Q5" s="3389"/>
      <c r="R5" s="3371"/>
      <c r="S5" s="3372"/>
      <c r="T5" s="3371"/>
      <c r="U5" s="3372"/>
      <c r="V5" s="3352"/>
      <c r="W5" s="3352"/>
      <c r="X5" s="1265"/>
      <c r="Y5" s="3371"/>
      <c r="Z5" s="3372"/>
      <c r="AA5" s="3376"/>
      <c r="AB5" s="3376"/>
      <c r="AC5" s="3376"/>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47"/>
      <c r="Q6" s="3391"/>
      <c r="R6" s="3371"/>
      <c r="S6" s="3372"/>
      <c r="T6" s="3373"/>
      <c r="U6" s="3374"/>
      <c r="V6" s="3352"/>
      <c r="W6" s="3352"/>
      <c r="X6" s="1265"/>
      <c r="Y6" s="3373"/>
      <c r="Z6" s="3374"/>
      <c r="AA6" s="3377"/>
      <c r="AB6" s="3377"/>
      <c r="AC6" s="3377"/>
    </row>
    <row r="7" spans="1:29" s="102" customFormat="1" ht="15.75" thickBot="1">
      <c r="A7" s="352" t="s">
        <v>1679</v>
      </c>
      <c r="B7" s="353"/>
      <c r="C7" s="354">
        <f>'数据-取费表'!B2</f>
        <v>45450</v>
      </c>
      <c r="D7" s="355">
        <v>100</v>
      </c>
      <c r="E7" s="356"/>
      <c r="F7" s="357">
        <f>SUMIF(48:48,YEAR(E7)&amp;"-"&amp;MONTH(E7),49:49)</f>
        <v>0</v>
      </c>
      <c r="G7" s="356"/>
      <c r="H7" s="355">
        <f>SUMIF(48:48,YEAR(G7)&amp;"-"&amp;MONTH(G7),49:49)</f>
        <v>0</v>
      </c>
      <c r="I7" s="356"/>
      <c r="J7" s="355">
        <f>SUMIF(48:48,YEAR(I7)&amp;"-"&amp;MONTH(I7),49:49)</f>
        <v>0</v>
      </c>
      <c r="K7" s="38"/>
      <c r="L7" s="2486"/>
      <c r="M7" s="2438"/>
      <c r="N7" s="2438"/>
      <c r="O7" s="2438"/>
      <c r="P7" s="3367" t="s">
        <v>1680</v>
      </c>
      <c r="Q7" s="3378"/>
      <c r="R7" s="663" t="s">
        <v>14</v>
      </c>
      <c r="S7" s="664">
        <f t="shared" ref="S7:S14" si="0">F7</f>
        <v>0</v>
      </c>
      <c r="T7" s="663" t="s">
        <v>14</v>
      </c>
      <c r="U7" s="664">
        <f t="shared" ref="U7:U14" si="1">H7</f>
        <v>0</v>
      </c>
      <c r="V7" s="663" t="s">
        <v>14</v>
      </c>
      <c r="W7" s="664">
        <f t="shared" ref="W7:W14" si="2">J7</f>
        <v>0</v>
      </c>
      <c r="X7" s="665"/>
      <c r="Y7" s="3367" t="s">
        <v>1680</v>
      </c>
      <c r="Z7" s="336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67" t="s">
        <v>1683</v>
      </c>
      <c r="Q8" s="3366"/>
      <c r="R8" s="663" t="s">
        <v>14</v>
      </c>
      <c r="S8" s="664">
        <f t="shared" si="0"/>
        <v>100</v>
      </c>
      <c r="T8" s="663" t="s">
        <v>14</v>
      </c>
      <c r="U8" s="664">
        <f t="shared" si="1"/>
        <v>100</v>
      </c>
      <c r="V8" s="663" t="s">
        <v>14</v>
      </c>
      <c r="W8" s="664">
        <f t="shared" si="2"/>
        <v>100</v>
      </c>
      <c r="X8" s="665"/>
      <c r="Y8" s="3367" t="s">
        <v>1683</v>
      </c>
      <c r="Z8" s="336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51" t="s">
        <v>1686</v>
      </c>
      <c r="Q9" s="530" t="str">
        <f t="shared" ref="Q9:Q14" si="6">B9</f>
        <v>用途</v>
      </c>
      <c r="R9" s="663" t="s">
        <v>14</v>
      </c>
      <c r="S9" s="664">
        <f t="shared" si="0"/>
        <v>100</v>
      </c>
      <c r="T9" s="663" t="s">
        <v>14</v>
      </c>
      <c r="U9" s="664">
        <f t="shared" si="1"/>
        <v>100</v>
      </c>
      <c r="V9" s="663" t="s">
        <v>14</v>
      </c>
      <c r="W9" s="664">
        <f t="shared" si="2"/>
        <v>100</v>
      </c>
      <c r="X9" s="665"/>
      <c r="Y9" s="3249"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51"/>
      <c r="Q10" s="530"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51"/>
      <c r="Q11" s="530">
        <f t="shared" si="6"/>
        <v>111</v>
      </c>
      <c r="R11" s="663" t="s">
        <v>14</v>
      </c>
      <c r="S11" s="664">
        <f t="shared" si="0"/>
        <v>100</v>
      </c>
      <c r="T11" s="663" t="s">
        <v>14</v>
      </c>
      <c r="U11" s="664">
        <f t="shared" si="1"/>
        <v>100</v>
      </c>
      <c r="V11" s="663" t="s">
        <v>14</v>
      </c>
      <c r="W11" s="664">
        <f t="shared" si="2"/>
        <v>100</v>
      </c>
      <c r="X11" s="665"/>
      <c r="Y11" s="324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51"/>
      <c r="Q12" s="530">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51"/>
      <c r="Q13" s="530">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58" t="s">
        <v>1691</v>
      </c>
      <c r="Q14" s="1263" t="str">
        <f t="shared" si="6"/>
        <v>交通便捷度</v>
      </c>
      <c r="R14" s="666" t="s">
        <v>14</v>
      </c>
      <c r="S14" s="667">
        <f t="shared" si="0"/>
        <v>100</v>
      </c>
      <c r="T14" s="666" t="s">
        <v>14</v>
      </c>
      <c r="U14" s="667">
        <f t="shared" si="1"/>
        <v>100</v>
      </c>
      <c r="V14" s="666" t="s">
        <v>14</v>
      </c>
      <c r="W14" s="667">
        <f t="shared" si="2"/>
        <v>100</v>
      </c>
      <c r="X14" s="1265"/>
      <c r="Y14" s="335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59"/>
      <c r="Q15" s="1263"/>
      <c r="R15" s="666"/>
      <c r="S15" s="667"/>
      <c r="T15" s="666"/>
      <c r="U15" s="667"/>
      <c r="V15" s="666"/>
      <c r="W15" s="667"/>
      <c r="X15" s="1265"/>
      <c r="Y15" s="3359"/>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59"/>
      <c r="Q16" s="1263" t="str">
        <f>B16</f>
        <v>公共配套设施</v>
      </c>
      <c r="R16" s="666" t="s">
        <v>14</v>
      </c>
      <c r="S16" s="667">
        <f>F16</f>
        <v>100</v>
      </c>
      <c r="T16" s="666" t="s">
        <v>14</v>
      </c>
      <c r="U16" s="667">
        <f>H16</f>
        <v>100</v>
      </c>
      <c r="V16" s="666" t="s">
        <v>14</v>
      </c>
      <c r="W16" s="667">
        <f>J16</f>
        <v>100</v>
      </c>
      <c r="X16" s="1265"/>
      <c r="Y16" s="335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59"/>
      <c r="Q17" s="1263"/>
      <c r="R17" s="666"/>
      <c r="S17" s="667"/>
      <c r="T17" s="666"/>
      <c r="U17" s="667"/>
      <c r="V17" s="666"/>
      <c r="W17" s="667"/>
      <c r="X17" s="1265"/>
      <c r="Y17" s="3359"/>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59"/>
      <c r="Q18" s="1263" t="str">
        <f>B18</f>
        <v>基础设施水平</v>
      </c>
      <c r="R18" s="666" t="s">
        <v>14</v>
      </c>
      <c r="S18" s="667">
        <f>F18</f>
        <v>100</v>
      </c>
      <c r="T18" s="666" t="s">
        <v>14</v>
      </c>
      <c r="U18" s="667">
        <f>H18</f>
        <v>100</v>
      </c>
      <c r="V18" s="666" t="s">
        <v>14</v>
      </c>
      <c r="W18" s="667">
        <f>J18</f>
        <v>100</v>
      </c>
      <c r="X18" s="1265"/>
      <c r="Y18" s="335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59"/>
      <c r="Q19" s="1263"/>
      <c r="R19" s="666"/>
      <c r="S19" s="667"/>
      <c r="T19" s="666"/>
      <c r="U19" s="667"/>
      <c r="V19" s="666"/>
      <c r="W19" s="667"/>
      <c r="X19" s="1265"/>
      <c r="Y19" s="3359"/>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59"/>
      <c r="Q20" s="1263" t="str">
        <f>B20</f>
        <v>自然及人文环境</v>
      </c>
      <c r="R20" s="666" t="s">
        <v>14</v>
      </c>
      <c r="S20" s="667">
        <f>F20</f>
        <v>100</v>
      </c>
      <c r="T20" s="666" t="s">
        <v>14</v>
      </c>
      <c r="U20" s="667">
        <f>H20</f>
        <v>100</v>
      </c>
      <c r="V20" s="666" t="s">
        <v>14</v>
      </c>
      <c r="W20" s="667">
        <f>J20</f>
        <v>100</v>
      </c>
      <c r="X20" s="1265"/>
      <c r="Y20" s="335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59"/>
      <c r="Q21" s="1263"/>
      <c r="R21" s="666"/>
      <c r="S21" s="667"/>
      <c r="T21" s="666"/>
      <c r="U21" s="667"/>
      <c r="V21" s="666"/>
      <c r="W21" s="667"/>
      <c r="X21" s="1265"/>
      <c r="Y21" s="335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59"/>
      <c r="Q22" s="1263" t="str">
        <f>B22</f>
        <v>楼层</v>
      </c>
      <c r="R22" s="666" t="s">
        <v>14</v>
      </c>
      <c r="S22" s="667">
        <f>F22</f>
        <v>100</v>
      </c>
      <c r="T22" s="666" t="s">
        <v>14</v>
      </c>
      <c r="U22" s="667">
        <f>H22</f>
        <v>100</v>
      </c>
      <c r="V22" s="666" t="s">
        <v>14</v>
      </c>
      <c r="W22" s="667">
        <f>J22</f>
        <v>100</v>
      </c>
      <c r="X22" s="1265"/>
      <c r="Y22" s="335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59"/>
      <c r="Q23" s="1263">
        <f>B23</f>
        <v>111</v>
      </c>
      <c r="R23" s="666" t="s">
        <v>14</v>
      </c>
      <c r="S23" s="667">
        <f>F23</f>
        <v>100</v>
      </c>
      <c r="T23" s="666" t="s">
        <v>14</v>
      </c>
      <c r="U23" s="667">
        <f>H23</f>
        <v>100</v>
      </c>
      <c r="V23" s="666" t="s">
        <v>14</v>
      </c>
      <c r="W23" s="667">
        <f>J23</f>
        <v>100</v>
      </c>
      <c r="X23" s="1265"/>
      <c r="Y23" s="335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59"/>
      <c r="Q24" s="1263">
        <f t="shared" ref="Q24:Q36" si="11">B24</f>
        <v>111</v>
      </c>
      <c r="R24" s="666" t="s">
        <v>14</v>
      </c>
      <c r="S24" s="667">
        <f>F24</f>
        <v>100</v>
      </c>
      <c r="T24" s="666" t="s">
        <v>14</v>
      </c>
      <c r="U24" s="667">
        <f>H24</f>
        <v>100</v>
      </c>
      <c r="V24" s="666" t="s">
        <v>14</v>
      </c>
      <c r="W24" s="667">
        <f>J24</f>
        <v>100</v>
      </c>
      <c r="X24" s="1265"/>
      <c r="Y24" s="335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59"/>
      <c r="Q25" s="530">
        <f t="shared" si="11"/>
        <v>111</v>
      </c>
      <c r="R25" s="663" t="s">
        <v>14</v>
      </c>
      <c r="S25" s="664">
        <f>F25</f>
        <v>100</v>
      </c>
      <c r="T25" s="663" t="s">
        <v>14</v>
      </c>
      <c r="U25" s="664">
        <f>H25</f>
        <v>100</v>
      </c>
      <c r="V25" s="663" t="s">
        <v>14</v>
      </c>
      <c r="W25" s="664">
        <f>J25</f>
        <v>100</v>
      </c>
      <c r="X25" s="665"/>
      <c r="Y25" s="335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2" t="s">
        <v>1696</v>
      </c>
      <c r="Q26" s="1263" t="str">
        <f t="shared" si="11"/>
        <v>配套类型</v>
      </c>
      <c r="R26" s="666" t="s">
        <v>14</v>
      </c>
      <c r="S26" s="667">
        <f t="shared" ref="S26:S36" si="12">F26</f>
        <v>0</v>
      </c>
      <c r="T26" s="666" t="s">
        <v>14</v>
      </c>
      <c r="U26" s="667">
        <f t="shared" ref="U26:U36" si="13">H26</f>
        <v>0</v>
      </c>
      <c r="V26" s="666" t="s">
        <v>14</v>
      </c>
      <c r="W26" s="667">
        <f t="shared" ref="W26:W36" si="14">J26</f>
        <v>0</v>
      </c>
      <c r="X26" s="1265"/>
      <c r="Y26" s="336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63"/>
      <c r="Q27" s="531" t="str">
        <f t="shared" si="11"/>
        <v>项目停车位配比</v>
      </c>
      <c r="R27" s="668" t="s">
        <v>14</v>
      </c>
      <c r="S27" s="669">
        <f t="shared" si="12"/>
        <v>100</v>
      </c>
      <c r="T27" s="668" t="s">
        <v>14</v>
      </c>
      <c r="U27" s="669">
        <f t="shared" si="13"/>
        <v>100</v>
      </c>
      <c r="V27" s="668" t="s">
        <v>14</v>
      </c>
      <c r="W27" s="669">
        <f t="shared" si="14"/>
        <v>100</v>
      </c>
      <c r="X27" s="670"/>
      <c r="Y27" s="3363"/>
      <c r="Z27" s="671"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63"/>
      <c r="Q28" s="1263" t="str">
        <f t="shared" si="11"/>
        <v>公共部分装修</v>
      </c>
      <c r="R28" s="666" t="s">
        <v>14</v>
      </c>
      <c r="S28" s="667">
        <f t="shared" si="12"/>
        <v>100</v>
      </c>
      <c r="T28" s="666" t="s">
        <v>14</v>
      </c>
      <c r="U28" s="667">
        <f t="shared" si="13"/>
        <v>100</v>
      </c>
      <c r="V28" s="666" t="s">
        <v>14</v>
      </c>
      <c r="W28" s="667">
        <f t="shared" si="14"/>
        <v>100</v>
      </c>
      <c r="X28" s="1265"/>
      <c r="Y28" s="336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63"/>
      <c r="Q29" s="1263" t="str">
        <f t="shared" si="11"/>
        <v>成新率</v>
      </c>
      <c r="R29" s="666" t="s">
        <v>14</v>
      </c>
      <c r="S29" s="667" t="e">
        <f t="shared" si="12"/>
        <v>#N/A</v>
      </c>
      <c r="T29" s="666" t="s">
        <v>14</v>
      </c>
      <c r="U29" s="667" t="e">
        <f t="shared" si="13"/>
        <v>#N/A</v>
      </c>
      <c r="V29" s="666" t="s">
        <v>14</v>
      </c>
      <c r="W29" s="667" t="e">
        <f t="shared" si="14"/>
        <v>#N/A</v>
      </c>
      <c r="X29" s="1265"/>
      <c r="Y29" s="336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63"/>
      <c r="Q30" s="1263" t="str">
        <f t="shared" si="11"/>
        <v>物业等级</v>
      </c>
      <c r="R30" s="666" t="s">
        <v>14</v>
      </c>
      <c r="S30" s="667">
        <f t="shared" si="12"/>
        <v>100</v>
      </c>
      <c r="T30" s="666" t="s">
        <v>14</v>
      </c>
      <c r="U30" s="667">
        <f t="shared" si="13"/>
        <v>100</v>
      </c>
      <c r="V30" s="666" t="s">
        <v>14</v>
      </c>
      <c r="W30" s="667">
        <f t="shared" si="14"/>
        <v>100</v>
      </c>
      <c r="X30" s="1265"/>
      <c r="Y30" s="336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63"/>
      <c r="Q31" s="530" t="str">
        <f t="shared" si="11"/>
        <v>停车位面积</v>
      </c>
      <c r="R31" s="663" t="s">
        <v>14</v>
      </c>
      <c r="S31" s="664" t="e">
        <f t="shared" si="12"/>
        <v>#N/A</v>
      </c>
      <c r="T31" s="663" t="s">
        <v>14</v>
      </c>
      <c r="U31" s="664" t="e">
        <f t="shared" si="13"/>
        <v>#N/A</v>
      </c>
      <c r="V31" s="663" t="s">
        <v>14</v>
      </c>
      <c r="W31" s="664" t="e">
        <f t="shared" si="14"/>
        <v>#N/A</v>
      </c>
      <c r="X31" s="665"/>
      <c r="Y31" s="336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63" t="s">
        <v>1696</v>
      </c>
      <c r="Q32" s="1263" t="str">
        <f t="shared" si="11"/>
        <v>车位类型</v>
      </c>
      <c r="R32" s="666" t="s">
        <v>14</v>
      </c>
      <c r="S32" s="667">
        <f t="shared" si="12"/>
        <v>100</v>
      </c>
      <c r="T32" s="666" t="s">
        <v>14</v>
      </c>
      <c r="U32" s="667">
        <f t="shared" si="13"/>
        <v>100</v>
      </c>
      <c r="V32" s="666" t="s">
        <v>14</v>
      </c>
      <c r="W32" s="667">
        <f t="shared" si="14"/>
        <v>100</v>
      </c>
      <c r="X32" s="1265"/>
      <c r="Y32" s="336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63"/>
      <c r="Q33" s="1263" t="str">
        <f t="shared" si="11"/>
        <v>是否直接入户</v>
      </c>
      <c r="R33" s="666" t="s">
        <v>14</v>
      </c>
      <c r="S33" s="667">
        <f t="shared" si="12"/>
        <v>100</v>
      </c>
      <c r="T33" s="666" t="s">
        <v>14</v>
      </c>
      <c r="U33" s="667">
        <f t="shared" si="13"/>
        <v>100</v>
      </c>
      <c r="V33" s="666" t="s">
        <v>14</v>
      </c>
      <c r="W33" s="667">
        <f t="shared" si="14"/>
        <v>100</v>
      </c>
      <c r="X33" s="1265"/>
      <c r="Y33" s="336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63"/>
      <c r="Q34" s="1263">
        <f t="shared" si="11"/>
        <v>111</v>
      </c>
      <c r="R34" s="666" t="s">
        <v>14</v>
      </c>
      <c r="S34" s="667">
        <f t="shared" si="12"/>
        <v>100</v>
      </c>
      <c r="T34" s="666" t="s">
        <v>14</v>
      </c>
      <c r="U34" s="667">
        <f t="shared" si="13"/>
        <v>100</v>
      </c>
      <c r="V34" s="666" t="s">
        <v>14</v>
      </c>
      <c r="W34" s="667">
        <f t="shared" si="14"/>
        <v>100</v>
      </c>
      <c r="X34" s="1265"/>
      <c r="Y34" s="336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63"/>
      <c r="Q35" s="531">
        <f t="shared" si="11"/>
        <v>111</v>
      </c>
      <c r="R35" s="668" t="s">
        <v>14</v>
      </c>
      <c r="S35" s="669">
        <f t="shared" si="12"/>
        <v>100</v>
      </c>
      <c r="T35" s="668" t="s">
        <v>14</v>
      </c>
      <c r="U35" s="669">
        <f t="shared" si="13"/>
        <v>100</v>
      </c>
      <c r="V35" s="668" t="s">
        <v>14</v>
      </c>
      <c r="W35" s="669">
        <f t="shared" si="14"/>
        <v>100</v>
      </c>
      <c r="X35" s="670"/>
      <c r="Y35" s="3363"/>
      <c r="Z35" s="671">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63"/>
      <c r="Q36" s="1263">
        <f t="shared" si="11"/>
        <v>111</v>
      </c>
      <c r="R36" s="666" t="s">
        <v>14</v>
      </c>
      <c r="S36" s="667">
        <f t="shared" si="12"/>
        <v>100</v>
      </c>
      <c r="T36" s="666" t="s">
        <v>14</v>
      </c>
      <c r="U36" s="667">
        <f t="shared" si="13"/>
        <v>100</v>
      </c>
      <c r="V36" s="666" t="s">
        <v>14</v>
      </c>
      <c r="W36" s="667">
        <f t="shared" si="14"/>
        <v>100</v>
      </c>
      <c r="X36" s="1265"/>
      <c r="Y36" s="3363"/>
      <c r="Z36" s="1264">
        <f t="shared" si="15"/>
        <v>111</v>
      </c>
      <c r="AA36" s="1264">
        <f t="shared" si="3"/>
        <v>1</v>
      </c>
      <c r="AB36" s="1264">
        <f t="shared" si="4"/>
        <v>1</v>
      </c>
      <c r="AC36" s="1264">
        <f t="shared" si="5"/>
        <v>1</v>
      </c>
    </row>
    <row r="37" spans="1:29" ht="15">
      <c r="A37" s="416" t="s">
        <v>1844</v>
      </c>
      <c r="B37" s="1821" t="s">
        <v>3356</v>
      </c>
      <c r="C37" s="1081" t="s">
        <v>0</v>
      </c>
      <c r="D37" s="418"/>
      <c r="E37" s="419"/>
      <c r="F37" s="420"/>
      <c r="G37" s="421"/>
      <c r="H37" s="422"/>
      <c r="I37" s="419"/>
      <c r="J37" s="422"/>
      <c r="K37" s="545"/>
      <c r="L37" s="2492"/>
      <c r="M37" s="2485"/>
      <c r="N37" s="2485"/>
      <c r="O37" s="2485"/>
      <c r="P37" s="3351" t="str">
        <f>A37</f>
        <v>成交单价</v>
      </c>
      <c r="Q37" s="3351"/>
      <c r="R37" s="3352">
        <f>E37</f>
        <v>0</v>
      </c>
      <c r="S37" s="3352"/>
      <c r="T37" s="3352">
        <f>G37</f>
        <v>0</v>
      </c>
      <c r="U37" s="3352"/>
      <c r="V37" s="3352">
        <f>I37</f>
        <v>0</v>
      </c>
      <c r="W37" s="3352"/>
      <c r="X37" s="385"/>
      <c r="Y37" s="672"/>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2"/>
      <c r="M38" s="2485"/>
      <c r="N38" s="2485"/>
      <c r="O38" s="2485"/>
      <c r="P38" s="3351" t="str">
        <f>A38</f>
        <v>比较价值（元/平方米）</v>
      </c>
      <c r="Q38" s="3351"/>
      <c r="R38" s="3352" t="e">
        <f>IF(F1="售价",ROUND(PRODUCT(R37,AA7:AA36),0),ROUND(PRODUCT(R37,AA7:AA36),1))</f>
        <v>#DIV/0!</v>
      </c>
      <c r="S38" s="3352"/>
      <c r="T38" s="3352" t="e">
        <f>IF(F1="售价",ROUND(PRODUCT(T37,AB7:AB36),0),ROUND(PRODUCT(T37,AB7:AB36),1))</f>
        <v>#DIV/0!</v>
      </c>
      <c r="U38" s="3352"/>
      <c r="V38" s="3352" t="e">
        <f>IF(F1="售价",ROUND(PRODUCT(V37,AC7:AC36),0),ROUND(PRODUCT(V37,AC7:AC36),1))</f>
        <v>#DIV/0!</v>
      </c>
      <c r="W38" s="335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40" t="str">
        <f>A39</f>
        <v>估价对象XX用房的比较价值（楼面单价，元/平方米）</v>
      </c>
      <c r="Q39" s="3441"/>
      <c r="R39" s="3453" t="e">
        <f>IF(F1="售价",ROUND(IF(D38="简单平均",AVERAGE(R38:W38),R38*F38+T38*H38+V38*J38),0),ROUND(IF(D38="简单平均",AVERAGE(R38:V38),R38*F38+T38*H38+V38*J38),1))</f>
        <v>#DIV/0!</v>
      </c>
      <c r="S39" s="3453"/>
      <c r="T39" s="3453"/>
      <c r="U39" s="3453"/>
      <c r="V39" s="3453"/>
      <c r="W39" s="3453"/>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0"/>
      <c r="C47" s="885"/>
      <c r="D47" s="885"/>
      <c r="E47" s="885"/>
      <c r="F47" s="1088"/>
      <c r="G47" s="1088"/>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2024-6</v>
      </c>
      <c r="D48" s="1104">
        <f>EDATE(C48,-1)</f>
        <v>45413</v>
      </c>
      <c r="E48" s="1104">
        <f t="shared" ref="E48:O48" si="16">EDATE(D48,-1)</f>
        <v>45383</v>
      </c>
      <c r="F48" s="1104">
        <f t="shared" si="16"/>
        <v>45352</v>
      </c>
      <c r="G48" s="1104">
        <f t="shared" si="16"/>
        <v>45323</v>
      </c>
      <c r="H48" s="1104">
        <f t="shared" si="16"/>
        <v>45292</v>
      </c>
      <c r="I48" s="1104">
        <f t="shared" si="16"/>
        <v>45261</v>
      </c>
      <c r="J48" s="1104">
        <f t="shared" si="16"/>
        <v>45231</v>
      </c>
      <c r="K48" s="1104">
        <f t="shared" si="16"/>
        <v>45200</v>
      </c>
      <c r="L48" s="1104">
        <f t="shared" si="16"/>
        <v>45170</v>
      </c>
      <c r="M48" s="1104">
        <f t="shared" si="16"/>
        <v>45139</v>
      </c>
      <c r="N48" s="1104">
        <f t="shared" si="16"/>
        <v>45108</v>
      </c>
      <c r="O48" s="1104">
        <f t="shared" si="16"/>
        <v>45078</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3" t="e">
        <f ca="1">IF(E1="项目模式",SUMIF(INDIRECT("'"&amp;F2&amp;"'"&amp;"!A:A"),"承租人权益价值",INDIRECT("'"&amp;F2&amp;"'"&amp;"!c:c")),SUMIF(INDIRECT("'"&amp;F2&amp;"'"&amp;"!A:A"),"承租人权益价值（单套）",INDIRECT("'"&amp;F2&amp;"'"&amp;"!c:c")))</f>
        <v>#REF!</v>
      </c>
      <c r="E2" s="1738" t="s">
        <v>1463</v>
      </c>
      <c r="F2" s="1739"/>
      <c r="G2" s="854"/>
      <c r="H2" s="854"/>
      <c r="I2" s="854"/>
      <c r="J2" s="854"/>
      <c r="K2" s="856"/>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1"/>
      <c r="M3" s="2502"/>
      <c r="N3" s="2502"/>
      <c r="O3" s="2502"/>
      <c r="P3" s="341"/>
      <c r="Q3" s="341"/>
      <c r="R3" s="341"/>
      <c r="S3" s="341"/>
      <c r="T3" s="341"/>
      <c r="U3" s="341"/>
      <c r="V3" s="341"/>
      <c r="W3" s="341"/>
      <c r="X3" s="341"/>
      <c r="Y3" s="341"/>
      <c r="Z3" s="341"/>
      <c r="AA3" s="341"/>
      <c r="AB3" s="675"/>
      <c r="AC3" s="662"/>
    </row>
    <row r="4" spans="1:29" ht="15">
      <c r="A4" s="345" t="s">
        <v>1769</v>
      </c>
      <c r="B4" s="346"/>
      <c r="C4" s="3382" t="s">
        <v>1770</v>
      </c>
      <c r="D4" s="3383"/>
      <c r="E4" s="3384" t="s">
        <v>1771</v>
      </c>
      <c r="F4" s="3385"/>
      <c r="G4" s="3382" t="s">
        <v>1772</v>
      </c>
      <c r="H4" s="3383"/>
      <c r="I4" s="3382" t="s">
        <v>1773</v>
      </c>
      <c r="J4" s="3383"/>
      <c r="K4" s="537" t="s">
        <v>1774</v>
      </c>
      <c r="L4" s="2484"/>
      <c r="M4" s="2485"/>
      <c r="N4" s="2485"/>
      <c r="O4" s="2485"/>
      <c r="P4" s="3444" t="s">
        <v>1775</v>
      </c>
      <c r="Q4" s="3445"/>
      <c r="R4" s="3448" t="s">
        <v>1771</v>
      </c>
      <c r="S4" s="3449"/>
      <c r="T4" s="3448" t="s">
        <v>1772</v>
      </c>
      <c r="U4" s="3449"/>
      <c r="V4" s="3352" t="s">
        <v>1773</v>
      </c>
      <c r="W4" s="3352"/>
      <c r="X4" s="1265"/>
      <c r="Y4" s="3448" t="s">
        <v>1775</v>
      </c>
      <c r="Z4" s="3449"/>
      <c r="AA4" s="3443" t="s">
        <v>1771</v>
      </c>
      <c r="AB4" s="3376" t="s">
        <v>1772</v>
      </c>
      <c r="AC4" s="3443" t="s">
        <v>1773</v>
      </c>
    </row>
    <row r="5" spans="1:29" ht="15">
      <c r="A5" s="348"/>
      <c r="B5" s="349"/>
      <c r="C5" s="3450" t="s">
        <v>1673</v>
      </c>
      <c r="D5" s="3393"/>
      <c r="E5" s="3451" t="s">
        <v>1674</v>
      </c>
      <c r="F5" s="3395"/>
      <c r="G5" s="3450" t="s">
        <v>1675</v>
      </c>
      <c r="H5" s="3393"/>
      <c r="I5" s="3450" t="s">
        <v>1676</v>
      </c>
      <c r="J5" s="3393"/>
      <c r="K5" s="537"/>
      <c r="L5" s="2484"/>
      <c r="M5" s="2485"/>
      <c r="N5" s="2485"/>
      <c r="O5" s="2485"/>
      <c r="P5" s="3446"/>
      <c r="Q5" s="3389"/>
      <c r="R5" s="3371"/>
      <c r="S5" s="3372"/>
      <c r="T5" s="3371"/>
      <c r="U5" s="3372"/>
      <c r="V5" s="3352"/>
      <c r="W5" s="3352"/>
      <c r="X5" s="1265"/>
      <c r="Y5" s="3371"/>
      <c r="Z5" s="3372"/>
      <c r="AA5" s="3376"/>
      <c r="AB5" s="3376"/>
      <c r="AC5" s="3376"/>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47"/>
      <c r="Q6" s="3391"/>
      <c r="R6" s="3371"/>
      <c r="S6" s="3372"/>
      <c r="T6" s="3373"/>
      <c r="U6" s="3374"/>
      <c r="V6" s="3352"/>
      <c r="W6" s="3352"/>
      <c r="X6" s="1265"/>
      <c r="Y6" s="3373"/>
      <c r="Z6" s="3374"/>
      <c r="AA6" s="3377"/>
      <c r="AB6" s="3377"/>
      <c r="AC6" s="3377"/>
    </row>
    <row r="7" spans="1:29" s="102" customFormat="1" ht="15.75" thickBot="1">
      <c r="A7" s="352" t="s">
        <v>1679</v>
      </c>
      <c r="B7" s="353"/>
      <c r="C7" s="354">
        <f>'数据-取费表'!B2</f>
        <v>45450</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67" t="s">
        <v>1680</v>
      </c>
      <c r="Q7" s="3378"/>
      <c r="R7" s="663" t="s">
        <v>14</v>
      </c>
      <c r="S7" s="664">
        <f t="shared" ref="S7:S14" si="0">F7</f>
        <v>0</v>
      </c>
      <c r="T7" s="663" t="s">
        <v>14</v>
      </c>
      <c r="U7" s="664">
        <f t="shared" ref="U7:U14" si="1">H7</f>
        <v>0</v>
      </c>
      <c r="V7" s="663" t="s">
        <v>14</v>
      </c>
      <c r="W7" s="664">
        <f t="shared" ref="W7:W14" si="2">J7</f>
        <v>0</v>
      </c>
      <c r="X7" s="665"/>
      <c r="Y7" s="3367" t="s">
        <v>1680</v>
      </c>
      <c r="Z7" s="336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67" t="s">
        <v>1683</v>
      </c>
      <c r="Q8" s="3366"/>
      <c r="R8" s="663" t="s">
        <v>14</v>
      </c>
      <c r="S8" s="664">
        <f t="shared" si="0"/>
        <v>100</v>
      </c>
      <c r="T8" s="663" t="s">
        <v>14</v>
      </c>
      <c r="U8" s="664">
        <f t="shared" si="1"/>
        <v>100</v>
      </c>
      <c r="V8" s="663" t="s">
        <v>14</v>
      </c>
      <c r="W8" s="664">
        <f t="shared" si="2"/>
        <v>100</v>
      </c>
      <c r="X8" s="665"/>
      <c r="Y8" s="3367" t="s">
        <v>1683</v>
      </c>
      <c r="Z8" s="336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51" t="s">
        <v>1686</v>
      </c>
      <c r="Q9" s="530" t="str">
        <f t="shared" ref="Q9:Q14" si="6">B9</f>
        <v>用途</v>
      </c>
      <c r="R9" s="663" t="s">
        <v>14</v>
      </c>
      <c r="S9" s="664">
        <f t="shared" si="0"/>
        <v>100</v>
      </c>
      <c r="T9" s="663" t="s">
        <v>14</v>
      </c>
      <c r="U9" s="664">
        <f t="shared" si="1"/>
        <v>100</v>
      </c>
      <c r="V9" s="663" t="s">
        <v>14</v>
      </c>
      <c r="W9" s="664">
        <f t="shared" si="2"/>
        <v>100</v>
      </c>
      <c r="X9" s="665"/>
      <c r="Y9" s="3249"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51"/>
      <c r="Q10" s="530"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51"/>
      <c r="Q11" s="530">
        <f t="shared" si="6"/>
        <v>111</v>
      </c>
      <c r="R11" s="663" t="s">
        <v>14</v>
      </c>
      <c r="S11" s="664">
        <f t="shared" si="0"/>
        <v>100</v>
      </c>
      <c r="T11" s="663" t="s">
        <v>14</v>
      </c>
      <c r="U11" s="664">
        <f t="shared" si="1"/>
        <v>100</v>
      </c>
      <c r="V11" s="663" t="s">
        <v>14</v>
      </c>
      <c r="W11" s="664">
        <f t="shared" si="2"/>
        <v>100</v>
      </c>
      <c r="X11" s="665"/>
      <c r="Y11" s="324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51"/>
      <c r="Q12" s="530">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51"/>
      <c r="Q13" s="530">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58" t="s">
        <v>1691</v>
      </c>
      <c r="Q14" s="1263" t="str">
        <f t="shared" si="6"/>
        <v>交通便捷度</v>
      </c>
      <c r="R14" s="666" t="s">
        <v>14</v>
      </c>
      <c r="S14" s="667">
        <f t="shared" si="0"/>
        <v>100</v>
      </c>
      <c r="T14" s="666" t="s">
        <v>14</v>
      </c>
      <c r="U14" s="667">
        <f t="shared" si="1"/>
        <v>100</v>
      </c>
      <c r="V14" s="666" t="s">
        <v>14</v>
      </c>
      <c r="W14" s="667">
        <f t="shared" si="2"/>
        <v>100</v>
      </c>
      <c r="X14" s="1265"/>
      <c r="Y14" s="335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59"/>
      <c r="Q15" s="1263"/>
      <c r="R15" s="666"/>
      <c r="S15" s="667"/>
      <c r="T15" s="666"/>
      <c r="U15" s="667"/>
      <c r="V15" s="666"/>
      <c r="W15" s="667"/>
      <c r="X15" s="1265"/>
      <c r="Y15" s="3359"/>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59"/>
      <c r="Q16" s="1263" t="str">
        <f>B16</f>
        <v>公共配套设施</v>
      </c>
      <c r="R16" s="666" t="s">
        <v>14</v>
      </c>
      <c r="S16" s="667">
        <f>F16</f>
        <v>100</v>
      </c>
      <c r="T16" s="666" t="s">
        <v>14</v>
      </c>
      <c r="U16" s="667">
        <f>H16</f>
        <v>100</v>
      </c>
      <c r="V16" s="666" t="s">
        <v>14</v>
      </c>
      <c r="W16" s="667">
        <f>J16</f>
        <v>100</v>
      </c>
      <c r="X16" s="1265"/>
      <c r="Y16" s="335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59"/>
      <c r="Q17" s="1263"/>
      <c r="R17" s="666"/>
      <c r="S17" s="667"/>
      <c r="T17" s="666"/>
      <c r="U17" s="667"/>
      <c r="V17" s="666"/>
      <c r="W17" s="667"/>
      <c r="X17" s="1265"/>
      <c r="Y17" s="3359"/>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59"/>
      <c r="Q18" s="1263" t="str">
        <f>B18</f>
        <v>基础设施水平</v>
      </c>
      <c r="R18" s="666" t="s">
        <v>14</v>
      </c>
      <c r="S18" s="667">
        <f>F18</f>
        <v>100</v>
      </c>
      <c r="T18" s="666" t="s">
        <v>14</v>
      </c>
      <c r="U18" s="667">
        <f>H18</f>
        <v>100</v>
      </c>
      <c r="V18" s="666" t="s">
        <v>14</v>
      </c>
      <c r="W18" s="667">
        <f>J18</f>
        <v>100</v>
      </c>
      <c r="X18" s="1265"/>
      <c r="Y18" s="335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59"/>
      <c r="Q19" s="1263"/>
      <c r="R19" s="666"/>
      <c r="S19" s="667"/>
      <c r="T19" s="666"/>
      <c r="U19" s="667"/>
      <c r="V19" s="666"/>
      <c r="W19" s="667"/>
      <c r="X19" s="1265"/>
      <c r="Y19" s="3359"/>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59"/>
      <c r="Q20" s="1263" t="str">
        <f>B20</f>
        <v>自然及人文环境</v>
      </c>
      <c r="R20" s="666" t="s">
        <v>14</v>
      </c>
      <c r="S20" s="667">
        <f>F20</f>
        <v>100</v>
      </c>
      <c r="T20" s="666" t="s">
        <v>14</v>
      </c>
      <c r="U20" s="667">
        <f>H20</f>
        <v>100</v>
      </c>
      <c r="V20" s="666" t="s">
        <v>14</v>
      </c>
      <c r="W20" s="667">
        <f>J20</f>
        <v>100</v>
      </c>
      <c r="X20" s="1265"/>
      <c r="Y20" s="335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59"/>
      <c r="Q21" s="1263"/>
      <c r="R21" s="666"/>
      <c r="S21" s="667"/>
      <c r="T21" s="666"/>
      <c r="U21" s="667"/>
      <c r="V21" s="666"/>
      <c r="W21" s="667"/>
      <c r="X21" s="1265"/>
      <c r="Y21" s="335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59"/>
      <c r="Q22" s="1263" t="str">
        <f>B22</f>
        <v>楼层</v>
      </c>
      <c r="R22" s="666" t="s">
        <v>14</v>
      </c>
      <c r="S22" s="667">
        <f>F22</f>
        <v>100</v>
      </c>
      <c r="T22" s="666" t="s">
        <v>14</v>
      </c>
      <c r="U22" s="667">
        <f>H22</f>
        <v>100</v>
      </c>
      <c r="V22" s="666" t="s">
        <v>14</v>
      </c>
      <c r="W22" s="667">
        <f>J22</f>
        <v>100</v>
      </c>
      <c r="X22" s="1265"/>
      <c r="Y22" s="335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59"/>
      <c r="Q23" s="1263">
        <f>B23</f>
        <v>111</v>
      </c>
      <c r="R23" s="666" t="s">
        <v>14</v>
      </c>
      <c r="S23" s="667">
        <f>F23</f>
        <v>100</v>
      </c>
      <c r="T23" s="666" t="s">
        <v>14</v>
      </c>
      <c r="U23" s="667">
        <f>H23</f>
        <v>100</v>
      </c>
      <c r="V23" s="666" t="s">
        <v>14</v>
      </c>
      <c r="W23" s="667">
        <f>J23</f>
        <v>100</v>
      </c>
      <c r="X23" s="1265"/>
      <c r="Y23" s="335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59"/>
      <c r="Q24" s="1263">
        <f t="shared" ref="Q24:Q34" si="11">B24</f>
        <v>111</v>
      </c>
      <c r="R24" s="666" t="s">
        <v>14</v>
      </c>
      <c r="S24" s="667">
        <f>F24</f>
        <v>100</v>
      </c>
      <c r="T24" s="666" t="s">
        <v>14</v>
      </c>
      <c r="U24" s="667">
        <f>H24</f>
        <v>100</v>
      </c>
      <c r="V24" s="666" t="s">
        <v>14</v>
      </c>
      <c r="W24" s="667">
        <f>J24</f>
        <v>100</v>
      </c>
      <c r="X24" s="1265"/>
      <c r="Y24" s="335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59"/>
      <c r="Q25" s="530">
        <f t="shared" si="11"/>
        <v>111</v>
      </c>
      <c r="R25" s="663" t="s">
        <v>14</v>
      </c>
      <c r="S25" s="664">
        <f>F25</f>
        <v>100</v>
      </c>
      <c r="T25" s="663" t="s">
        <v>14</v>
      </c>
      <c r="U25" s="664">
        <f>H25</f>
        <v>100</v>
      </c>
      <c r="V25" s="663" t="s">
        <v>14</v>
      </c>
      <c r="W25" s="664">
        <f>J25</f>
        <v>100</v>
      </c>
      <c r="X25" s="665"/>
      <c r="Y25" s="335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52" t="s">
        <v>1696</v>
      </c>
      <c r="Q26" s="1263" t="str">
        <f t="shared" si="11"/>
        <v>公共部分装修</v>
      </c>
      <c r="R26" s="666" t="s">
        <v>14</v>
      </c>
      <c r="S26" s="667">
        <f t="shared" ref="S26:S34" si="12">F26</f>
        <v>100</v>
      </c>
      <c r="T26" s="666" t="s">
        <v>14</v>
      </c>
      <c r="U26" s="667">
        <f t="shared" ref="U26:U34" si="13">H26</f>
        <v>100</v>
      </c>
      <c r="V26" s="666" t="s">
        <v>14</v>
      </c>
      <c r="W26" s="667">
        <f t="shared" ref="W26:W34" si="14">J26</f>
        <v>100</v>
      </c>
      <c r="X26" s="1265"/>
      <c r="Y26" s="336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63"/>
      <c r="Q27" s="531" t="str">
        <f t="shared" si="11"/>
        <v>成新率</v>
      </c>
      <c r="R27" s="668" t="s">
        <v>14</v>
      </c>
      <c r="S27" s="669" t="e">
        <f t="shared" si="12"/>
        <v>#N/A</v>
      </c>
      <c r="T27" s="668" t="s">
        <v>14</v>
      </c>
      <c r="U27" s="669" t="e">
        <f t="shared" si="13"/>
        <v>#N/A</v>
      </c>
      <c r="V27" s="668" t="s">
        <v>14</v>
      </c>
      <c r="W27" s="669" t="e">
        <f t="shared" si="14"/>
        <v>#N/A</v>
      </c>
      <c r="X27" s="670"/>
      <c r="Y27" s="3363"/>
      <c r="Z27" s="671"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63"/>
      <c r="Q28" s="1263" t="str">
        <f t="shared" si="11"/>
        <v>物业等级</v>
      </c>
      <c r="R28" s="666" t="s">
        <v>14</v>
      </c>
      <c r="S28" s="667">
        <f t="shared" si="12"/>
        <v>100</v>
      </c>
      <c r="T28" s="666" t="s">
        <v>14</v>
      </c>
      <c r="U28" s="667">
        <f t="shared" si="13"/>
        <v>100</v>
      </c>
      <c r="V28" s="666" t="s">
        <v>14</v>
      </c>
      <c r="W28" s="667">
        <f t="shared" si="14"/>
        <v>100</v>
      </c>
      <c r="X28" s="1265"/>
      <c r="Y28" s="336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63"/>
      <c r="Q29" s="1263" t="str">
        <f t="shared" si="11"/>
        <v>有无电梯</v>
      </c>
      <c r="R29" s="666" t="s">
        <v>14</v>
      </c>
      <c r="S29" s="667">
        <f t="shared" si="12"/>
        <v>100</v>
      </c>
      <c r="T29" s="666" t="s">
        <v>14</v>
      </c>
      <c r="U29" s="667">
        <f t="shared" si="13"/>
        <v>100</v>
      </c>
      <c r="V29" s="666" t="s">
        <v>14</v>
      </c>
      <c r="W29" s="667">
        <f t="shared" si="14"/>
        <v>100</v>
      </c>
      <c r="X29" s="1265"/>
      <c r="Y29" s="336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63"/>
      <c r="Q30" s="1263" t="str">
        <f t="shared" si="11"/>
        <v>建筑面积</v>
      </c>
      <c r="R30" s="666" t="s">
        <v>14</v>
      </c>
      <c r="S30" s="667" t="e">
        <f t="shared" si="12"/>
        <v>#N/A</v>
      </c>
      <c r="T30" s="666" t="s">
        <v>14</v>
      </c>
      <c r="U30" s="667" t="e">
        <f t="shared" si="13"/>
        <v>#N/A</v>
      </c>
      <c r="V30" s="666" t="s">
        <v>14</v>
      </c>
      <c r="W30" s="667" t="e">
        <f t="shared" si="14"/>
        <v>#N/A</v>
      </c>
      <c r="X30" s="1265"/>
      <c r="Y30" s="336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63"/>
      <c r="Q31" s="530" t="str">
        <f t="shared" si="11"/>
        <v>是否封闭</v>
      </c>
      <c r="R31" s="663" t="s">
        <v>14</v>
      </c>
      <c r="S31" s="664">
        <f t="shared" si="12"/>
        <v>100</v>
      </c>
      <c r="T31" s="663" t="s">
        <v>14</v>
      </c>
      <c r="U31" s="664">
        <f t="shared" si="13"/>
        <v>100</v>
      </c>
      <c r="V31" s="663" t="s">
        <v>14</v>
      </c>
      <c r="W31" s="664">
        <f t="shared" si="14"/>
        <v>100</v>
      </c>
      <c r="X31" s="665"/>
      <c r="Y31" s="336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63" t="s">
        <v>1696</v>
      </c>
      <c r="Q32" s="1263">
        <f t="shared" si="11"/>
        <v>111</v>
      </c>
      <c r="R32" s="666" t="s">
        <v>14</v>
      </c>
      <c r="S32" s="667">
        <f t="shared" si="12"/>
        <v>100</v>
      </c>
      <c r="T32" s="666" t="s">
        <v>14</v>
      </c>
      <c r="U32" s="667">
        <f t="shared" si="13"/>
        <v>100</v>
      </c>
      <c r="V32" s="666" t="s">
        <v>14</v>
      </c>
      <c r="W32" s="667">
        <f t="shared" si="14"/>
        <v>100</v>
      </c>
      <c r="X32" s="1265"/>
      <c r="Y32" s="336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63"/>
      <c r="Q33" s="1263">
        <f t="shared" si="11"/>
        <v>111</v>
      </c>
      <c r="R33" s="666" t="s">
        <v>14</v>
      </c>
      <c r="S33" s="667">
        <f t="shared" si="12"/>
        <v>100</v>
      </c>
      <c r="T33" s="666" t="s">
        <v>14</v>
      </c>
      <c r="U33" s="667">
        <f t="shared" si="13"/>
        <v>100</v>
      </c>
      <c r="V33" s="666" t="s">
        <v>14</v>
      </c>
      <c r="W33" s="667">
        <f t="shared" si="14"/>
        <v>100</v>
      </c>
      <c r="X33" s="1265"/>
      <c r="Y33" s="336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63"/>
      <c r="Q34" s="1263">
        <f t="shared" si="11"/>
        <v>111</v>
      </c>
      <c r="R34" s="666" t="s">
        <v>14</v>
      </c>
      <c r="S34" s="667">
        <f t="shared" si="12"/>
        <v>100</v>
      </c>
      <c r="T34" s="666" t="s">
        <v>14</v>
      </c>
      <c r="U34" s="667">
        <f t="shared" si="13"/>
        <v>100</v>
      </c>
      <c r="V34" s="666" t="s">
        <v>14</v>
      </c>
      <c r="W34" s="667">
        <f t="shared" si="14"/>
        <v>100</v>
      </c>
      <c r="X34" s="1265"/>
      <c r="Y34" s="336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3"/>
      <c r="L35" s="2492"/>
      <c r="M35" s="2485"/>
      <c r="N35" s="2485"/>
      <c r="O35" s="2485"/>
      <c r="P35" s="3351" t="str">
        <f>A35</f>
        <v>成交单价（元/平方米）</v>
      </c>
      <c r="Q35" s="3351"/>
      <c r="R35" s="3352">
        <f>E35</f>
        <v>0</v>
      </c>
      <c r="S35" s="3352"/>
      <c r="T35" s="3352">
        <f>G35</f>
        <v>0</v>
      </c>
      <c r="U35" s="3352"/>
      <c r="V35" s="3352">
        <f>I35</f>
        <v>0</v>
      </c>
      <c r="W35" s="3352"/>
      <c r="X35" s="385"/>
      <c r="Y35" s="672"/>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2"/>
      <c r="M36" s="2485"/>
      <c r="N36" s="2485"/>
      <c r="O36" s="2485"/>
      <c r="P36" s="3351" t="str">
        <f>A36</f>
        <v>比较价值（元/平方米）</v>
      </c>
      <c r="Q36" s="3351"/>
      <c r="R36" s="3352" t="e">
        <f>IF(F1="售价",ROUND(PRODUCT(R35,AA7:AA34),0),ROUND(PRODUCT(R35,AA7:AA34),1))</f>
        <v>#DIV/0!</v>
      </c>
      <c r="S36" s="3352"/>
      <c r="T36" s="3352" t="e">
        <f>IF(F1="售价",ROUND(PRODUCT(T35,AB7:AB34),0),ROUND(PRODUCT(T35,AB7:AB34),1))</f>
        <v>#DIV/0!</v>
      </c>
      <c r="U36" s="3352"/>
      <c r="V36" s="3352" t="e">
        <f>IF(F1="售价",ROUND(PRODUCT(V35,AC7:AC34),0),ROUND(PRODUCT(V35,AC7:AC34),1))</f>
        <v>#DIV/0!</v>
      </c>
      <c r="W36" s="3352"/>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2"/>
      <c r="M37" s="2485"/>
      <c r="N37" s="2485"/>
      <c r="O37" s="2485"/>
      <c r="P37" s="3440" t="str">
        <f>A37</f>
        <v>估价对象XX用房的比较价值（楼面单价，元/平方米）</v>
      </c>
      <c r="Q37" s="3441"/>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7" t="s">
        <v>1798</v>
      </c>
      <c r="B45" s="385"/>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2024-6</v>
      </c>
      <c r="D46" s="1104">
        <f>EDATE(C46,-1)</f>
        <v>45413</v>
      </c>
      <c r="E46" s="1104">
        <f t="shared" ref="E46:O46" si="16">EDATE(D46,-1)</f>
        <v>45383</v>
      </c>
      <c r="F46" s="1104">
        <f t="shared" si="16"/>
        <v>45352</v>
      </c>
      <c r="G46" s="1104">
        <f t="shared" si="16"/>
        <v>45323</v>
      </c>
      <c r="H46" s="1104">
        <f t="shared" si="16"/>
        <v>45292</v>
      </c>
      <c r="I46" s="1104">
        <f t="shared" si="16"/>
        <v>45261</v>
      </c>
      <c r="J46" s="1104">
        <f t="shared" si="16"/>
        <v>45231</v>
      </c>
      <c r="K46" s="1104">
        <f t="shared" si="16"/>
        <v>45200</v>
      </c>
      <c r="L46" s="1104">
        <f t="shared" si="16"/>
        <v>45170</v>
      </c>
      <c r="M46" s="1104">
        <f t="shared" si="16"/>
        <v>45139</v>
      </c>
      <c r="N46" s="1104">
        <f t="shared" si="16"/>
        <v>45108</v>
      </c>
      <c r="O46" s="1104">
        <f t="shared" si="16"/>
        <v>45078</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1"/>
      <c r="E3" s="854"/>
      <c r="F3" s="855"/>
      <c r="G3" s="854"/>
      <c r="H3" s="854"/>
      <c r="I3" s="854"/>
      <c r="J3" s="854"/>
      <c r="K3" s="856"/>
      <c r="L3" s="2501"/>
      <c r="M3" s="2502"/>
      <c r="N3" s="2502"/>
      <c r="O3" s="2502"/>
      <c r="P3" s="341"/>
      <c r="Q3" s="341"/>
      <c r="R3" s="341"/>
      <c r="S3" s="341"/>
      <c r="T3" s="341"/>
      <c r="U3" s="341"/>
      <c r="V3" s="341"/>
      <c r="W3" s="341"/>
      <c r="X3" s="341"/>
      <c r="Y3" s="341"/>
      <c r="Z3" s="341"/>
      <c r="AA3" s="341"/>
      <c r="AB3" s="675"/>
      <c r="AC3" s="662"/>
    </row>
    <row r="4" spans="1:29" ht="15">
      <c r="A4" s="345" t="s">
        <v>1769</v>
      </c>
      <c r="B4" s="346"/>
      <c r="C4" s="3382" t="s">
        <v>1770</v>
      </c>
      <c r="D4" s="3383"/>
      <c r="E4" s="3384" t="s">
        <v>1771</v>
      </c>
      <c r="F4" s="3385"/>
      <c r="G4" s="3382" t="s">
        <v>1772</v>
      </c>
      <c r="H4" s="3383"/>
      <c r="I4" s="3382" t="s">
        <v>1773</v>
      </c>
      <c r="J4" s="3383"/>
      <c r="K4" s="537" t="s">
        <v>1774</v>
      </c>
      <c r="L4" s="2484"/>
      <c r="M4" s="2485"/>
      <c r="N4" s="2485"/>
      <c r="O4" s="2485"/>
      <c r="P4" s="3444" t="s">
        <v>1775</v>
      </c>
      <c r="Q4" s="3445"/>
      <c r="R4" s="3448" t="s">
        <v>1771</v>
      </c>
      <c r="S4" s="3449"/>
      <c r="T4" s="3448" t="s">
        <v>1772</v>
      </c>
      <c r="U4" s="3449"/>
      <c r="V4" s="3352" t="s">
        <v>1773</v>
      </c>
      <c r="W4" s="3352"/>
      <c r="X4" s="1265"/>
      <c r="Y4" s="3448" t="s">
        <v>1775</v>
      </c>
      <c r="Z4" s="3449"/>
      <c r="AA4" s="3443" t="s">
        <v>1771</v>
      </c>
      <c r="AB4" s="3376" t="s">
        <v>1772</v>
      </c>
      <c r="AC4" s="3443" t="s">
        <v>1773</v>
      </c>
    </row>
    <row r="5" spans="1:29" ht="15">
      <c r="A5" s="348"/>
      <c r="B5" s="349"/>
      <c r="C5" s="3450" t="s">
        <v>1673</v>
      </c>
      <c r="D5" s="3393"/>
      <c r="E5" s="3451" t="s">
        <v>1674</v>
      </c>
      <c r="F5" s="3395"/>
      <c r="G5" s="3450" t="s">
        <v>1675</v>
      </c>
      <c r="H5" s="3393"/>
      <c r="I5" s="3450" t="s">
        <v>1676</v>
      </c>
      <c r="J5" s="3393"/>
      <c r="K5" s="537"/>
      <c r="L5" s="2484"/>
      <c r="M5" s="2485"/>
      <c r="N5" s="2485"/>
      <c r="O5" s="2485"/>
      <c r="P5" s="3446"/>
      <c r="Q5" s="3389"/>
      <c r="R5" s="3371"/>
      <c r="S5" s="3372"/>
      <c r="T5" s="3371"/>
      <c r="U5" s="3372"/>
      <c r="V5" s="3352"/>
      <c r="W5" s="3352"/>
      <c r="X5" s="1265"/>
      <c r="Y5" s="3371"/>
      <c r="Z5" s="3372"/>
      <c r="AA5" s="3376"/>
      <c r="AB5" s="3376"/>
      <c r="AC5" s="3376"/>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47"/>
      <c r="Q6" s="3391"/>
      <c r="R6" s="3371"/>
      <c r="S6" s="3372"/>
      <c r="T6" s="3373"/>
      <c r="U6" s="3374"/>
      <c r="V6" s="3352"/>
      <c r="W6" s="3352"/>
      <c r="X6" s="1265"/>
      <c r="Y6" s="3373"/>
      <c r="Z6" s="3374"/>
      <c r="AA6" s="3377"/>
      <c r="AB6" s="3377"/>
      <c r="AC6" s="3377"/>
    </row>
    <row r="7" spans="1:29" s="102" customFormat="1" ht="15.75" thickBot="1">
      <c r="A7" s="352" t="s">
        <v>1679</v>
      </c>
      <c r="B7" s="353"/>
      <c r="C7" s="354">
        <f>'数据-取费表'!B2</f>
        <v>45450</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67" t="s">
        <v>1680</v>
      </c>
      <c r="Q7" s="3378"/>
      <c r="R7" s="663" t="s">
        <v>14</v>
      </c>
      <c r="S7" s="664">
        <f t="shared" ref="S7:S15" si="0">F7</f>
        <v>0</v>
      </c>
      <c r="T7" s="663" t="s">
        <v>14</v>
      </c>
      <c r="U7" s="664">
        <f t="shared" ref="U7:U15" si="1">H7</f>
        <v>0</v>
      </c>
      <c r="V7" s="663" t="s">
        <v>14</v>
      </c>
      <c r="W7" s="664">
        <f t="shared" ref="W7:W15" si="2">J7</f>
        <v>0</v>
      </c>
      <c r="X7" s="665"/>
      <c r="Y7" s="3367" t="s">
        <v>1680</v>
      </c>
      <c r="Z7" s="336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67" t="s">
        <v>1683</v>
      </c>
      <c r="Q8" s="3366"/>
      <c r="R8" s="663" t="s">
        <v>14</v>
      </c>
      <c r="S8" s="664">
        <f t="shared" si="0"/>
        <v>0</v>
      </c>
      <c r="T8" s="663" t="s">
        <v>14</v>
      </c>
      <c r="U8" s="664">
        <f t="shared" si="1"/>
        <v>0</v>
      </c>
      <c r="V8" s="663" t="s">
        <v>14</v>
      </c>
      <c r="W8" s="664">
        <f t="shared" si="2"/>
        <v>0</v>
      </c>
      <c r="X8" s="665"/>
      <c r="Y8" s="3367" t="s">
        <v>1683</v>
      </c>
      <c r="Z8" s="336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51" t="s">
        <v>1686</v>
      </c>
      <c r="Q9" s="530"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151</v>
      </c>
      <c r="G10" s="402"/>
      <c r="H10" s="119">
        <f>ROUND(100/'数据-取费表'!G16,0)</f>
        <v>151</v>
      </c>
      <c r="I10" s="402"/>
      <c r="J10" s="119">
        <f>ROUND(100/'数据-取费表'!G16,0)</f>
        <v>151</v>
      </c>
      <c r="K10" s="592"/>
      <c r="L10" s="2487"/>
      <c r="M10" s="2488"/>
      <c r="N10" s="2488"/>
      <c r="O10" s="2539"/>
      <c r="P10" s="3351"/>
      <c r="Q10" s="530" t="str">
        <f t="shared" si="6"/>
        <v>土地使用年限（年）</v>
      </c>
      <c r="R10" s="663" t="s">
        <v>14</v>
      </c>
      <c r="S10" s="664">
        <f t="shared" si="0"/>
        <v>151</v>
      </c>
      <c r="T10" s="663" t="s">
        <v>14</v>
      </c>
      <c r="U10" s="664">
        <f t="shared" si="1"/>
        <v>151</v>
      </c>
      <c r="V10" s="663" t="s">
        <v>14</v>
      </c>
      <c r="W10" s="664">
        <f t="shared" si="2"/>
        <v>151</v>
      </c>
      <c r="X10" s="665"/>
      <c r="Y10" s="3249"/>
      <c r="Z10" s="50" t="str">
        <f t="shared" si="7"/>
        <v>土地使用年限（年）</v>
      </c>
      <c r="AA10" s="50">
        <f t="shared" si="3"/>
        <v>0.66225165562913912</v>
      </c>
      <c r="AB10" s="50">
        <f t="shared" si="4"/>
        <v>0.66225165562913912</v>
      </c>
      <c r="AC10" s="50">
        <f t="shared" si="5"/>
        <v>0.66225165562913912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51"/>
      <c r="Q11" s="530" t="str">
        <f t="shared" si="6"/>
        <v>容积率</v>
      </c>
      <c r="R11" s="663" t="s">
        <v>14</v>
      </c>
      <c r="S11" s="664" t="e">
        <f t="shared" si="0"/>
        <v>#N/A</v>
      </c>
      <c r="T11" s="663" t="s">
        <v>14</v>
      </c>
      <c r="U11" s="664" t="e">
        <f t="shared" si="1"/>
        <v>#N/A</v>
      </c>
      <c r="V11" s="663" t="s">
        <v>14</v>
      </c>
      <c r="W11" s="664" t="e">
        <f t="shared" si="2"/>
        <v>#N/A</v>
      </c>
      <c r="X11" s="665"/>
      <c r="Y11" s="324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51"/>
      <c r="Q12" s="530" t="str">
        <f t="shared" si="6"/>
        <v>配建</v>
      </c>
      <c r="R12" s="663" t="s">
        <v>14</v>
      </c>
      <c r="S12" s="664">
        <f t="shared" si="0"/>
        <v>100</v>
      </c>
      <c r="T12" s="663" t="s">
        <v>14</v>
      </c>
      <c r="U12" s="664">
        <f t="shared" si="1"/>
        <v>100</v>
      </c>
      <c r="V12" s="663" t="s">
        <v>14</v>
      </c>
      <c r="W12" s="664">
        <f t="shared" si="2"/>
        <v>100</v>
      </c>
      <c r="X12" s="665"/>
      <c r="Y12" s="324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51"/>
      <c r="Q13" s="530">
        <f t="shared" si="6"/>
        <v>111</v>
      </c>
      <c r="R13" s="663" t="s">
        <v>14</v>
      </c>
      <c r="S13" s="664">
        <f t="shared" si="0"/>
        <v>100</v>
      </c>
      <c r="T13" s="663" t="s">
        <v>14</v>
      </c>
      <c r="U13" s="664">
        <f t="shared" si="1"/>
        <v>100</v>
      </c>
      <c r="V13" s="663" t="s">
        <v>14</v>
      </c>
      <c r="W13" s="664">
        <f t="shared" si="2"/>
        <v>100</v>
      </c>
      <c r="X13" s="665"/>
      <c r="Y13" s="324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51"/>
      <c r="Q14" s="530">
        <f t="shared" si="6"/>
        <v>111</v>
      </c>
      <c r="R14" s="663" t="s">
        <v>14</v>
      </c>
      <c r="S14" s="664">
        <f t="shared" si="0"/>
        <v>100</v>
      </c>
      <c r="T14" s="663" t="s">
        <v>14</v>
      </c>
      <c r="U14" s="664">
        <f t="shared" si="1"/>
        <v>100</v>
      </c>
      <c r="V14" s="663" t="s">
        <v>14</v>
      </c>
      <c r="W14" s="664">
        <f t="shared" si="2"/>
        <v>100</v>
      </c>
      <c r="X14" s="665"/>
      <c r="Y14" s="3249"/>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58" t="s">
        <v>1691</v>
      </c>
      <c r="Q15" s="1263" t="str">
        <f t="shared" si="6"/>
        <v>居住社区成熟度</v>
      </c>
      <c r="R15" s="666" t="s">
        <v>14</v>
      </c>
      <c r="S15" s="667">
        <f t="shared" si="0"/>
        <v>100</v>
      </c>
      <c r="T15" s="666" t="s">
        <v>14</v>
      </c>
      <c r="U15" s="667">
        <f t="shared" si="1"/>
        <v>100</v>
      </c>
      <c r="V15" s="666" t="s">
        <v>14</v>
      </c>
      <c r="W15" s="667">
        <f t="shared" si="2"/>
        <v>100</v>
      </c>
      <c r="X15" s="1265"/>
      <c r="Y15" s="335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59"/>
      <c r="Q16" s="1263"/>
      <c r="R16" s="666"/>
      <c r="S16" s="667"/>
      <c r="T16" s="666"/>
      <c r="U16" s="667"/>
      <c r="V16" s="666"/>
      <c r="W16" s="667"/>
      <c r="X16" s="1265"/>
      <c r="Y16" s="3359"/>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59"/>
      <c r="Q17" s="1263" t="str">
        <f>B17</f>
        <v>商业繁华度</v>
      </c>
      <c r="R17" s="666" t="s">
        <v>14</v>
      </c>
      <c r="S17" s="667">
        <f>F17</f>
        <v>100</v>
      </c>
      <c r="T17" s="666" t="s">
        <v>14</v>
      </c>
      <c r="U17" s="667">
        <f>H17</f>
        <v>100</v>
      </c>
      <c r="V17" s="666" t="s">
        <v>14</v>
      </c>
      <c r="W17" s="667">
        <f>J17</f>
        <v>100</v>
      </c>
      <c r="X17" s="1265"/>
      <c r="Y17" s="335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59"/>
      <c r="Q18" s="1263"/>
      <c r="R18" s="666"/>
      <c r="S18" s="667"/>
      <c r="T18" s="666"/>
      <c r="U18" s="667"/>
      <c r="V18" s="666"/>
      <c r="W18" s="667"/>
      <c r="X18" s="1265"/>
      <c r="Y18" s="3359"/>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59"/>
      <c r="Q19" s="1263" t="str">
        <f>B19</f>
        <v>办公集聚程度</v>
      </c>
      <c r="R19" s="666" t="s">
        <v>14</v>
      </c>
      <c r="S19" s="667">
        <f>F19</f>
        <v>100</v>
      </c>
      <c r="T19" s="666" t="s">
        <v>14</v>
      </c>
      <c r="U19" s="667">
        <f>H19</f>
        <v>100</v>
      </c>
      <c r="V19" s="666" t="s">
        <v>14</v>
      </c>
      <c r="W19" s="667">
        <f>J19</f>
        <v>100</v>
      </c>
      <c r="X19" s="1265"/>
      <c r="Y19" s="335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59"/>
      <c r="Q20" s="1263"/>
      <c r="R20" s="666"/>
      <c r="S20" s="667"/>
      <c r="T20" s="666"/>
      <c r="U20" s="667"/>
      <c r="V20" s="666"/>
      <c r="W20" s="667"/>
      <c r="X20" s="1265"/>
      <c r="Y20" s="3359"/>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59"/>
      <c r="Q21" s="1263" t="str">
        <f>B21</f>
        <v>交通便捷度</v>
      </c>
      <c r="R21" s="666" t="s">
        <v>14</v>
      </c>
      <c r="S21" s="667">
        <f>F21</f>
        <v>100</v>
      </c>
      <c r="T21" s="666" t="s">
        <v>14</v>
      </c>
      <c r="U21" s="667">
        <f>H21</f>
        <v>100</v>
      </c>
      <c r="V21" s="666" t="s">
        <v>14</v>
      </c>
      <c r="W21" s="667">
        <f>J21</f>
        <v>100</v>
      </c>
      <c r="X21" s="1265"/>
      <c r="Y21" s="335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59"/>
      <c r="Q22" s="1263"/>
      <c r="R22" s="666"/>
      <c r="S22" s="667"/>
      <c r="T22" s="666"/>
      <c r="U22" s="667"/>
      <c r="V22" s="666"/>
      <c r="W22" s="667"/>
      <c r="X22" s="1265"/>
      <c r="Y22" s="335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59"/>
      <c r="Q23" s="1263" t="str">
        <f t="shared" ref="Q23:Q37" si="8">B23</f>
        <v>区域土地利用方向</v>
      </c>
      <c r="R23" s="666" t="s">
        <v>14</v>
      </c>
      <c r="S23" s="667">
        <f>F23</f>
        <v>100</v>
      </c>
      <c r="T23" s="666" t="s">
        <v>14</v>
      </c>
      <c r="U23" s="667">
        <f>H23</f>
        <v>100</v>
      </c>
      <c r="V23" s="666" t="s">
        <v>14</v>
      </c>
      <c r="W23" s="667">
        <f>J23</f>
        <v>100</v>
      </c>
      <c r="X23" s="1265"/>
      <c r="Y23" s="335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7"/>
      <c r="L24" s="2490"/>
      <c r="M24" s="2485"/>
      <c r="N24" s="2485"/>
      <c r="O24" s="2540"/>
      <c r="P24" s="3359"/>
      <c r="Q24" s="1263"/>
      <c r="R24" s="666"/>
      <c r="S24" s="667"/>
      <c r="T24" s="666"/>
      <c r="U24" s="667"/>
      <c r="V24" s="666"/>
      <c r="W24" s="667"/>
      <c r="X24" s="1265"/>
      <c r="Y24" s="3359"/>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59"/>
      <c r="Q25" s="1263" t="str">
        <f t="shared" si="8"/>
        <v>自然及人文环境状况</v>
      </c>
      <c r="R25" s="666" t="s">
        <v>14</v>
      </c>
      <c r="S25" s="667">
        <f>F25</f>
        <v>100</v>
      </c>
      <c r="T25" s="666" t="s">
        <v>14</v>
      </c>
      <c r="U25" s="667">
        <f>H25</f>
        <v>100</v>
      </c>
      <c r="V25" s="666" t="s">
        <v>14</v>
      </c>
      <c r="W25" s="667">
        <f>J25</f>
        <v>100</v>
      </c>
      <c r="X25" s="1265"/>
      <c r="Y25" s="335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59"/>
      <c r="Q26" s="1263"/>
      <c r="R26" s="666"/>
      <c r="S26" s="667"/>
      <c r="T26" s="666"/>
      <c r="U26" s="667"/>
      <c r="V26" s="666"/>
      <c r="W26" s="667"/>
      <c r="X26" s="1265"/>
      <c r="Y26" s="3359"/>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59"/>
      <c r="Q27" s="530" t="str">
        <f t="shared" si="8"/>
        <v>公共配套设施</v>
      </c>
      <c r="R27" s="663" t="s">
        <v>14</v>
      </c>
      <c r="S27" s="664">
        <f>F27</f>
        <v>100</v>
      </c>
      <c r="T27" s="663" t="s">
        <v>14</v>
      </c>
      <c r="U27" s="664">
        <f>H27</f>
        <v>100</v>
      </c>
      <c r="V27" s="663" t="s">
        <v>14</v>
      </c>
      <c r="W27" s="664">
        <f>J27</f>
        <v>100</v>
      </c>
      <c r="X27" s="665"/>
      <c r="Y27" s="335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59"/>
      <c r="Q28" s="530"/>
      <c r="R28" s="663"/>
      <c r="S28" s="664"/>
      <c r="T28" s="663"/>
      <c r="U28" s="664"/>
      <c r="V28" s="663"/>
      <c r="W28" s="664"/>
      <c r="X28" s="665"/>
      <c r="Y28" s="3359"/>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59"/>
      <c r="Q29" s="530" t="str">
        <f t="shared" ref="Q29" si="9">B29</f>
        <v>基础设施水平</v>
      </c>
      <c r="R29" s="663" t="s">
        <v>14</v>
      </c>
      <c r="S29" s="664">
        <f>F29</f>
        <v>100</v>
      </c>
      <c r="T29" s="663" t="s">
        <v>14</v>
      </c>
      <c r="U29" s="664">
        <f>H29</f>
        <v>100</v>
      </c>
      <c r="V29" s="663" t="s">
        <v>14</v>
      </c>
      <c r="W29" s="664">
        <f>J29</f>
        <v>100</v>
      </c>
      <c r="X29" s="665"/>
      <c r="Y29" s="335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59"/>
      <c r="Q30" s="530"/>
      <c r="R30" s="663"/>
      <c r="S30" s="664"/>
      <c r="T30" s="663"/>
      <c r="U30" s="664"/>
      <c r="V30" s="663"/>
      <c r="W30" s="664"/>
      <c r="X30" s="665"/>
      <c r="Y30" s="335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59"/>
      <c r="Q31" s="1263" t="str">
        <f t="shared" si="8"/>
        <v>临街状况</v>
      </c>
      <c r="R31" s="666" t="s">
        <v>14</v>
      </c>
      <c r="S31" s="667">
        <f t="shared" ref="S31:S45" si="10">F31</f>
        <v>100</v>
      </c>
      <c r="T31" s="666" t="s">
        <v>14</v>
      </c>
      <c r="U31" s="667">
        <f t="shared" ref="U31:U45" si="11">H31</f>
        <v>100</v>
      </c>
      <c r="V31" s="666" t="s">
        <v>14</v>
      </c>
      <c r="W31" s="667">
        <f t="shared" ref="W31:W45" si="12">J31</f>
        <v>100</v>
      </c>
      <c r="X31" s="1265"/>
      <c r="Y31" s="335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59"/>
      <c r="Q32" s="1263" t="str">
        <f t="shared" si="8"/>
        <v>毗邻道路的类型与等级</v>
      </c>
      <c r="R32" s="666" t="s">
        <v>14</v>
      </c>
      <c r="S32" s="667">
        <f t="shared" si="10"/>
        <v>100</v>
      </c>
      <c r="T32" s="666" t="s">
        <v>14</v>
      </c>
      <c r="U32" s="667">
        <f t="shared" si="11"/>
        <v>100</v>
      </c>
      <c r="V32" s="666" t="s">
        <v>14</v>
      </c>
      <c r="W32" s="667">
        <f t="shared" si="12"/>
        <v>100</v>
      </c>
      <c r="X32" s="1265"/>
      <c r="Y32" s="335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59"/>
      <c r="Q33" s="1263"/>
      <c r="R33" s="666"/>
      <c r="S33" s="667"/>
      <c r="T33" s="666"/>
      <c r="U33" s="667"/>
      <c r="V33" s="666"/>
      <c r="W33" s="667"/>
      <c r="X33" s="1265"/>
      <c r="Y33" s="335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59"/>
      <c r="Q34" s="1263" t="str">
        <f t="shared" si="8"/>
        <v>土地级别</v>
      </c>
      <c r="R34" s="666" t="s">
        <v>14</v>
      </c>
      <c r="S34" s="667">
        <f t="shared" si="10"/>
        <v>100</v>
      </c>
      <c r="T34" s="666" t="s">
        <v>14</v>
      </c>
      <c r="U34" s="667">
        <f t="shared" si="11"/>
        <v>100</v>
      </c>
      <c r="V34" s="666" t="s">
        <v>14</v>
      </c>
      <c r="W34" s="667">
        <f t="shared" si="12"/>
        <v>100</v>
      </c>
      <c r="X34" s="1265"/>
      <c r="Y34" s="335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59"/>
      <c r="Q35" s="1263">
        <f t="shared" si="8"/>
        <v>111</v>
      </c>
      <c r="R35" s="666" t="s">
        <v>14</v>
      </c>
      <c r="S35" s="667">
        <f t="shared" si="10"/>
        <v>100</v>
      </c>
      <c r="T35" s="666" t="s">
        <v>14</v>
      </c>
      <c r="U35" s="667">
        <f t="shared" si="11"/>
        <v>100</v>
      </c>
      <c r="V35" s="666" t="s">
        <v>14</v>
      </c>
      <c r="W35" s="667">
        <f t="shared" si="12"/>
        <v>100</v>
      </c>
      <c r="X35" s="1265"/>
      <c r="Y35" s="335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2" t="s">
        <v>1696</v>
      </c>
      <c r="Q36" s="1263">
        <f t="shared" si="8"/>
        <v>111</v>
      </c>
      <c r="R36" s="666" t="s">
        <v>14</v>
      </c>
      <c r="S36" s="667">
        <f t="shared" si="10"/>
        <v>100</v>
      </c>
      <c r="T36" s="666" t="s">
        <v>14</v>
      </c>
      <c r="U36" s="667">
        <f t="shared" si="11"/>
        <v>100</v>
      </c>
      <c r="V36" s="666" t="s">
        <v>14</v>
      </c>
      <c r="W36" s="667">
        <f t="shared" si="12"/>
        <v>100</v>
      </c>
      <c r="X36" s="1265"/>
      <c r="Y36" s="336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63"/>
      <c r="Q37" s="1263">
        <f t="shared" si="8"/>
        <v>111</v>
      </c>
      <c r="R37" s="668" t="s">
        <v>14</v>
      </c>
      <c r="S37" s="669">
        <f t="shared" si="10"/>
        <v>100</v>
      </c>
      <c r="T37" s="668" t="s">
        <v>14</v>
      </c>
      <c r="U37" s="669">
        <f t="shared" si="11"/>
        <v>100</v>
      </c>
      <c r="V37" s="668" t="s">
        <v>14</v>
      </c>
      <c r="W37" s="669">
        <f t="shared" si="12"/>
        <v>100</v>
      </c>
      <c r="X37" s="670"/>
      <c r="Y37" s="3363"/>
      <c r="Z37" s="671">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63"/>
      <c r="Q38" s="1263" t="str">
        <f>B38</f>
        <v>宗地面积</v>
      </c>
      <c r="R38" s="666" t="s">
        <v>14</v>
      </c>
      <c r="S38" s="667" t="e">
        <f t="shared" si="10"/>
        <v>#N/A</v>
      </c>
      <c r="T38" s="666" t="s">
        <v>14</v>
      </c>
      <c r="U38" s="667" t="e">
        <f t="shared" si="11"/>
        <v>#N/A</v>
      </c>
      <c r="V38" s="666" t="s">
        <v>14</v>
      </c>
      <c r="W38" s="667" t="e">
        <f t="shared" si="12"/>
        <v>#N/A</v>
      </c>
      <c r="X38" s="1265"/>
      <c r="Y38" s="336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63"/>
      <c r="Q39" s="1263" t="str">
        <f t="shared" ref="Q39:Q45" si="14">B39</f>
        <v>宗地形状</v>
      </c>
      <c r="R39" s="666" t="s">
        <v>14</v>
      </c>
      <c r="S39" s="667">
        <f t="shared" si="10"/>
        <v>100</v>
      </c>
      <c r="T39" s="666" t="s">
        <v>14</v>
      </c>
      <c r="U39" s="667">
        <f t="shared" si="11"/>
        <v>100</v>
      </c>
      <c r="V39" s="666" t="s">
        <v>14</v>
      </c>
      <c r="W39" s="667">
        <f t="shared" si="12"/>
        <v>100</v>
      </c>
      <c r="X39" s="1265"/>
      <c r="Y39" s="336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63"/>
      <c r="Q40" s="1263" t="str">
        <f t="shared" si="14"/>
        <v>临街宽度及深度</v>
      </c>
      <c r="R40" s="666" t="s">
        <v>14</v>
      </c>
      <c r="S40" s="667">
        <f t="shared" si="10"/>
        <v>100</v>
      </c>
      <c r="T40" s="666" t="s">
        <v>14</v>
      </c>
      <c r="U40" s="667">
        <f t="shared" si="11"/>
        <v>100</v>
      </c>
      <c r="V40" s="666" t="s">
        <v>14</v>
      </c>
      <c r="W40" s="667">
        <f t="shared" si="12"/>
        <v>100</v>
      </c>
      <c r="X40" s="1265"/>
      <c r="Y40" s="336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63"/>
      <c r="Q41" s="1263" t="str">
        <f t="shared" si="14"/>
        <v>宗地开发程度</v>
      </c>
      <c r="R41" s="663" t="s">
        <v>14</v>
      </c>
      <c r="S41" s="664">
        <f t="shared" si="10"/>
        <v>100</v>
      </c>
      <c r="T41" s="663" t="s">
        <v>14</v>
      </c>
      <c r="U41" s="664">
        <f t="shared" si="11"/>
        <v>100</v>
      </c>
      <c r="V41" s="663" t="s">
        <v>14</v>
      </c>
      <c r="W41" s="664">
        <f t="shared" si="12"/>
        <v>100</v>
      </c>
      <c r="X41" s="665"/>
      <c r="Y41" s="336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63" t="s">
        <v>1696</v>
      </c>
      <c r="Q42" s="1263" t="str">
        <f t="shared" si="14"/>
        <v>工程地质条件</v>
      </c>
      <c r="R42" s="666" t="s">
        <v>14</v>
      </c>
      <c r="S42" s="667">
        <f t="shared" si="10"/>
        <v>100</v>
      </c>
      <c r="T42" s="666" t="s">
        <v>14</v>
      </c>
      <c r="U42" s="667">
        <f t="shared" si="11"/>
        <v>100</v>
      </c>
      <c r="V42" s="666" t="s">
        <v>14</v>
      </c>
      <c r="W42" s="667">
        <f t="shared" si="12"/>
        <v>100</v>
      </c>
      <c r="X42" s="1265"/>
      <c r="Y42" s="336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63"/>
      <c r="Q43" s="1263">
        <f t="shared" si="14"/>
        <v>111</v>
      </c>
      <c r="R43" s="666" t="s">
        <v>14</v>
      </c>
      <c r="S43" s="667">
        <f t="shared" si="10"/>
        <v>100</v>
      </c>
      <c r="T43" s="666" t="s">
        <v>14</v>
      </c>
      <c r="U43" s="667">
        <f t="shared" si="11"/>
        <v>100</v>
      </c>
      <c r="V43" s="666" t="s">
        <v>14</v>
      </c>
      <c r="W43" s="667">
        <f t="shared" si="12"/>
        <v>100</v>
      </c>
      <c r="X43" s="1265"/>
      <c r="Y43" s="336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63"/>
      <c r="Q44" s="1263">
        <f t="shared" si="14"/>
        <v>111</v>
      </c>
      <c r="R44" s="666" t="s">
        <v>14</v>
      </c>
      <c r="S44" s="667">
        <f t="shared" si="10"/>
        <v>100</v>
      </c>
      <c r="T44" s="666" t="s">
        <v>14</v>
      </c>
      <c r="U44" s="667">
        <f t="shared" si="11"/>
        <v>100</v>
      </c>
      <c r="V44" s="666" t="s">
        <v>14</v>
      </c>
      <c r="W44" s="667">
        <f t="shared" si="12"/>
        <v>100</v>
      </c>
      <c r="X44" s="1265"/>
      <c r="Y44" s="336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63"/>
      <c r="Q45" s="1263">
        <f t="shared" si="14"/>
        <v>111</v>
      </c>
      <c r="R45" s="668" t="s">
        <v>14</v>
      </c>
      <c r="S45" s="669">
        <f t="shared" si="10"/>
        <v>100</v>
      </c>
      <c r="T45" s="668" t="s">
        <v>14</v>
      </c>
      <c r="U45" s="669">
        <f t="shared" si="11"/>
        <v>100</v>
      </c>
      <c r="V45" s="668" t="s">
        <v>14</v>
      </c>
      <c r="W45" s="669">
        <f t="shared" si="12"/>
        <v>100</v>
      </c>
      <c r="X45" s="670"/>
      <c r="Y45" s="3363"/>
      <c r="Z45" s="671">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3"/>
      <c r="L46" s="2492"/>
      <c r="M46" s="2485"/>
      <c r="N46" s="2485"/>
      <c r="O46" s="2485"/>
      <c r="P46" s="3351" t="str">
        <f>A46</f>
        <v>成交单价</v>
      </c>
      <c r="Q46" s="3351"/>
      <c r="R46" s="3352">
        <f>E46</f>
        <v>0</v>
      </c>
      <c r="S46" s="3352"/>
      <c r="T46" s="3352">
        <f>G46</f>
        <v>0</v>
      </c>
      <c r="U46" s="3352"/>
      <c r="V46" s="3352">
        <f>I46</f>
        <v>0</v>
      </c>
      <c r="W46" s="3352"/>
      <c r="X46" s="385"/>
      <c r="Y46" s="672"/>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2"/>
      <c r="M47" s="2485"/>
      <c r="N47" s="2485"/>
      <c r="O47" s="2485"/>
      <c r="P47" s="3351" t="str">
        <f>A47</f>
        <v>比较价值（元/平方米）</v>
      </c>
      <c r="Q47" s="3351"/>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2"/>
      <c r="M48" s="2485"/>
      <c r="N48" s="2485"/>
      <c r="O48" s="2485"/>
      <c r="P48" s="3440" t="str">
        <f>A48</f>
        <v>估价对象XX用房的比较价值（楼面单价，元/平方米）</v>
      </c>
      <c r="Q48" s="3441"/>
      <c r="R48" s="3455" t="e">
        <f>ROUND(IF(D47="简单平均",AVERAGE(R47:W47),R47*F47+T47*H47+V47*J47),0)</f>
        <v>#DIV/0!</v>
      </c>
      <c r="S48" s="3455"/>
      <c r="T48" s="3455"/>
      <c r="U48" s="3455"/>
      <c r="V48" s="3455"/>
      <c r="W48" s="3455"/>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6" t="s">
        <v>1886</v>
      </c>
      <c r="G55" s="3382" t="s">
        <v>1887</v>
      </c>
      <c r="H55" s="3456"/>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89">
        <v>1</v>
      </c>
      <c r="E56" s="610">
        <f>'数据-汇总表'!E8+'数据-汇总表'!E9</f>
        <v>94.12</v>
      </c>
      <c r="F56" s="832" t="e">
        <f t="shared" ref="F56:F64" si="15">ROUND(B56*E56/10000,0)</f>
        <v>#DIV/0!</v>
      </c>
      <c r="G56" s="3350"/>
      <c r="H56" s="3351"/>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0">
        <v>0.25</v>
      </c>
      <c r="E57" s="614"/>
      <c r="F57" s="832" t="e">
        <f t="shared" si="15"/>
        <v>#DIV/0!</v>
      </c>
      <c r="G57" s="2748" t="s">
        <v>1892</v>
      </c>
      <c r="H57" s="833">
        <f>项目基本情况!B37</f>
        <v>0</v>
      </c>
      <c r="I57" s="837">
        <f>SUMIF(修正!A57:A68,H57,修正!B57:B68)</f>
        <v>0</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0">
        <v>0.25</v>
      </c>
      <c r="E58" s="614"/>
      <c r="F58" s="832" t="e">
        <f t="shared" si="15"/>
        <v>#DIV/0!</v>
      </c>
      <c r="G58" s="2749"/>
      <c r="H58" s="833">
        <f>项目基本情况!B37</f>
        <v>0</v>
      </c>
      <c r="I58" s="837">
        <f>SUMIF(修正!A57:A68,H58,修正!C57:C68)</f>
        <v>0</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0">
        <v>0.25</v>
      </c>
      <c r="E59" s="614"/>
      <c r="F59" s="832" t="e">
        <f t="shared" si="15"/>
        <v>#DIV/0!</v>
      </c>
      <c r="G59" s="2749"/>
      <c r="H59" s="833">
        <f>项目基本情况!B37</f>
        <v>0</v>
      </c>
      <c r="I59" s="837">
        <f>SUMIF(修正!A57:A68,H59,修正!D57:D68)</f>
        <v>0</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90">
        <v>0.25</v>
      </c>
      <c r="E60" s="209">
        <f>'数据-汇总表'!E11</f>
        <v>0</v>
      </c>
      <c r="F60" s="832" t="e">
        <f t="shared" si="15"/>
        <v>#DIV/0!</v>
      </c>
      <c r="G60" s="1835" t="s">
        <v>1896</v>
      </c>
      <c r="H60" s="833" t="str">
        <f>项目基本情况!C37</f>
        <v>三级</v>
      </c>
      <c r="I60" s="837">
        <f>SUMIF(修正!A57:A68,H60,修正!E57:E68)</f>
        <v>0.25</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90">
        <v>0.25</v>
      </c>
      <c r="E61" s="209">
        <f>'数据-汇总表'!E12</f>
        <v>0</v>
      </c>
      <c r="F61" s="832" t="e">
        <f t="shared" si="15"/>
        <v>#DIV/0!</v>
      </c>
      <c r="G61" s="838" t="s">
        <v>1898</v>
      </c>
      <c r="H61" s="833" t="str">
        <f>IF(G61="商业",项目基本情况!B37,IF(G61="办公",项目基本情况!C37,IF(G61="住宅",项目基本情况!D37,项目基本情况!E37)))</f>
        <v>三级</v>
      </c>
      <c r="I61" s="837">
        <f>SUMIF(修正!A57:A68,H61,修正!F57:F68)</f>
        <v>0.25</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0">
        <v>0.25</v>
      </c>
      <c r="E63" s="209">
        <f>'数据-汇总表'!E14</f>
        <v>0</v>
      </c>
      <c r="F63" s="832" t="e">
        <f t="shared" si="15"/>
        <v>#DIV/0!</v>
      </c>
      <c r="G63" s="1835" t="s">
        <v>1892</v>
      </c>
      <c r="H63" s="833">
        <f>项目基本情况!B37</f>
        <v>0</v>
      </c>
      <c r="I63" s="837">
        <f>SUMIF(修正!A57:A68,H63,修正!G57:G68)</f>
        <v>0</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0.15</v>
      </c>
      <c r="D64" s="890">
        <v>0.25</v>
      </c>
      <c r="E64" s="209">
        <f>'数据-汇总表'!E15</f>
        <v>0</v>
      </c>
      <c r="F64" s="832" t="e">
        <f t="shared" si="15"/>
        <v>#DIV/0!</v>
      </c>
      <c r="G64" s="1836" t="s">
        <v>1896</v>
      </c>
      <c r="H64" s="843" t="str">
        <f>项目基本情况!C37</f>
        <v>三级</v>
      </c>
      <c r="I64" s="839">
        <f>SUMIF(修正!A57:A68,H64,修正!G57:G68)</f>
        <v>0.15</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94.12</v>
      </c>
      <c r="F65" s="617"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5"/>
      <c r="C66" s="656"/>
      <c r="D66" s="385"/>
      <c r="E66" s="385"/>
      <c r="F66" s="385"/>
      <c r="G66" s="385"/>
      <c r="H66" s="385"/>
      <c r="I66" s="385"/>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5"/>
      <c r="B67" s="655"/>
      <c r="C67" s="655" t="str">
        <f>YEAR(C7)&amp;"-"&amp;MONTH(C7)&amp;"-1"</f>
        <v>2024-6-1</v>
      </c>
      <c r="D67" s="655">
        <f>EDATE(C67,-3)</f>
        <v>45352</v>
      </c>
      <c r="E67" s="655">
        <f>EDATE(D67,-3)</f>
        <v>45261</v>
      </c>
      <c r="F67" s="655">
        <f t="shared" ref="F67:O67" si="18">EDATE(E67,-3)</f>
        <v>45170</v>
      </c>
      <c r="G67" s="655">
        <f t="shared" si="18"/>
        <v>45078</v>
      </c>
      <c r="H67" s="655">
        <f t="shared" si="18"/>
        <v>44986</v>
      </c>
      <c r="I67" s="655">
        <f t="shared" si="18"/>
        <v>44896</v>
      </c>
      <c r="J67" s="655">
        <f t="shared" si="18"/>
        <v>44805</v>
      </c>
      <c r="K67" s="655">
        <f t="shared" si="18"/>
        <v>44713</v>
      </c>
      <c r="L67" s="655">
        <f t="shared" si="18"/>
        <v>44621</v>
      </c>
      <c r="M67" s="655">
        <f t="shared" si="18"/>
        <v>44531</v>
      </c>
      <c r="N67" s="655">
        <f t="shared" si="18"/>
        <v>44440</v>
      </c>
      <c r="O67" s="655">
        <f t="shared" si="18"/>
        <v>44348</v>
      </c>
      <c r="P67" s="2485"/>
      <c r="Q67" s="2485"/>
      <c r="R67" s="2485"/>
      <c r="S67" s="2485"/>
      <c r="T67" s="2485"/>
      <c r="U67" s="2485"/>
      <c r="V67" s="2485"/>
      <c r="W67" s="2485"/>
      <c r="X67" s="2485"/>
      <c r="Y67" s="2485"/>
      <c r="Z67" s="2485"/>
      <c r="AA67" s="2485"/>
      <c r="AB67" s="2485"/>
      <c r="AC67" s="2485"/>
    </row>
    <row r="68" spans="1:29" ht="21.75" thickBot="1">
      <c r="A68" s="657" t="s">
        <v>1798</v>
      </c>
      <c r="B68" s="385"/>
      <c r="C68" s="658"/>
      <c r="D68" s="658"/>
      <c r="E68" s="658"/>
      <c r="F68" s="659"/>
      <c r="G68" s="659"/>
      <c r="H68" s="658"/>
      <c r="I68" s="658"/>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2024-2</v>
      </c>
      <c r="D69" s="1101" t="str">
        <f>YEAR(D67)&amp;"-"&amp;ROUNDUP(MONTH(D67)/3,0)</f>
        <v>2024-1</v>
      </c>
      <c r="E69" s="1101" t="str">
        <f t="shared" ref="E69:O69" si="19">YEAR(E67)&amp;"-"&amp;ROUNDUP(MONTH(E67)/3,0)</f>
        <v>2023-4</v>
      </c>
      <c r="F69" s="1101" t="str">
        <f t="shared" si="19"/>
        <v>2023-3</v>
      </c>
      <c r="G69" s="1101" t="str">
        <f t="shared" si="19"/>
        <v>2023-2</v>
      </c>
      <c r="H69" s="1101" t="str">
        <f t="shared" si="19"/>
        <v>2023-1</v>
      </c>
      <c r="I69" s="1101" t="str">
        <f t="shared" si="19"/>
        <v>2022-4</v>
      </c>
      <c r="J69" s="1101" t="str">
        <f t="shared" si="19"/>
        <v>2022-3</v>
      </c>
      <c r="K69" s="1101" t="str">
        <f t="shared" si="19"/>
        <v>2022-2</v>
      </c>
      <c r="L69" s="1101" t="str">
        <f t="shared" si="19"/>
        <v>2022-1</v>
      </c>
      <c r="M69" s="1101" t="str">
        <f t="shared" si="19"/>
        <v>2021-4</v>
      </c>
      <c r="N69" s="1101" t="str">
        <f t="shared" si="19"/>
        <v>2021-3</v>
      </c>
      <c r="O69" s="1101" t="str">
        <f t="shared" si="19"/>
        <v>2021-2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8"/>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1"/>
      <c r="E3" s="854"/>
      <c r="F3" s="855"/>
      <c r="G3" s="854"/>
      <c r="H3" s="854"/>
      <c r="I3" s="854"/>
      <c r="J3" s="854"/>
      <c r="K3" s="856"/>
      <c r="L3" s="2501"/>
      <c r="M3" s="2502"/>
      <c r="N3" s="2502"/>
      <c r="O3" s="2502"/>
      <c r="P3" s="341"/>
      <c r="Q3" s="341"/>
      <c r="R3" s="341"/>
      <c r="S3" s="341"/>
      <c r="T3" s="341"/>
      <c r="U3" s="341"/>
      <c r="V3" s="341"/>
      <c r="W3" s="341"/>
      <c r="X3" s="341"/>
      <c r="Y3" s="341"/>
      <c r="Z3" s="341"/>
      <c r="AA3" s="341"/>
      <c r="AB3" s="675"/>
      <c r="AC3" s="662"/>
    </row>
    <row r="4" spans="1:29" ht="15">
      <c r="A4" s="345" t="s">
        <v>1769</v>
      </c>
      <c r="B4" s="346"/>
      <c r="C4" s="3382" t="s">
        <v>1770</v>
      </c>
      <c r="D4" s="3383"/>
      <c r="E4" s="3384" t="s">
        <v>1771</v>
      </c>
      <c r="F4" s="3385"/>
      <c r="G4" s="3382" t="s">
        <v>1772</v>
      </c>
      <c r="H4" s="3383"/>
      <c r="I4" s="3382" t="s">
        <v>1773</v>
      </c>
      <c r="J4" s="3383"/>
      <c r="K4" s="537" t="s">
        <v>1774</v>
      </c>
      <c r="L4" s="2484"/>
      <c r="M4" s="2485"/>
      <c r="N4" s="2485"/>
      <c r="O4" s="2485"/>
      <c r="P4" s="3444" t="s">
        <v>1775</v>
      </c>
      <c r="Q4" s="3445"/>
      <c r="R4" s="3448" t="s">
        <v>1771</v>
      </c>
      <c r="S4" s="3449"/>
      <c r="T4" s="3448" t="s">
        <v>1772</v>
      </c>
      <c r="U4" s="3449"/>
      <c r="V4" s="3352" t="s">
        <v>1773</v>
      </c>
      <c r="W4" s="3352"/>
      <c r="X4" s="1265"/>
      <c r="Y4" s="3448" t="s">
        <v>1775</v>
      </c>
      <c r="Z4" s="3449"/>
      <c r="AA4" s="3443" t="s">
        <v>1771</v>
      </c>
      <c r="AB4" s="3376" t="s">
        <v>1772</v>
      </c>
      <c r="AC4" s="3443" t="s">
        <v>1773</v>
      </c>
    </row>
    <row r="5" spans="1:29" ht="15">
      <c r="A5" s="348"/>
      <c r="B5" s="349"/>
      <c r="C5" s="3450" t="s">
        <v>1673</v>
      </c>
      <c r="D5" s="3393"/>
      <c r="E5" s="3451" t="s">
        <v>1674</v>
      </c>
      <c r="F5" s="3395"/>
      <c r="G5" s="3450" t="s">
        <v>1675</v>
      </c>
      <c r="H5" s="3393"/>
      <c r="I5" s="3450" t="s">
        <v>1676</v>
      </c>
      <c r="J5" s="3393"/>
      <c r="K5" s="537"/>
      <c r="L5" s="2484"/>
      <c r="M5" s="2485"/>
      <c r="N5" s="2485"/>
      <c r="O5" s="2485"/>
      <c r="P5" s="3446"/>
      <c r="Q5" s="3389"/>
      <c r="R5" s="3371"/>
      <c r="S5" s="3372"/>
      <c r="T5" s="3371"/>
      <c r="U5" s="3372"/>
      <c r="V5" s="3352"/>
      <c r="W5" s="3352"/>
      <c r="X5" s="1265"/>
      <c r="Y5" s="3371"/>
      <c r="Z5" s="3372"/>
      <c r="AA5" s="3376"/>
      <c r="AB5" s="3376"/>
      <c r="AC5" s="3376"/>
    </row>
    <row r="6" spans="1:29" ht="15.75" thickBot="1">
      <c r="A6" s="350"/>
      <c r="B6" s="351"/>
      <c r="C6" s="3457" t="s">
        <v>1919</v>
      </c>
      <c r="D6" s="3458"/>
      <c r="E6" s="3459" t="s">
        <v>1919</v>
      </c>
      <c r="F6" s="3460"/>
      <c r="G6" s="3457" t="s">
        <v>1919</v>
      </c>
      <c r="H6" s="3458"/>
      <c r="I6" s="3457" t="s">
        <v>1919</v>
      </c>
      <c r="J6" s="3458"/>
      <c r="K6" s="537" t="s">
        <v>1678</v>
      </c>
      <c r="L6" s="2484"/>
      <c r="M6" s="2485"/>
      <c r="N6" s="2485"/>
      <c r="O6" s="2485"/>
      <c r="P6" s="3447"/>
      <c r="Q6" s="3391"/>
      <c r="R6" s="3371"/>
      <c r="S6" s="3372"/>
      <c r="T6" s="3373"/>
      <c r="U6" s="3374"/>
      <c r="V6" s="3352"/>
      <c r="W6" s="3352"/>
      <c r="X6" s="1265"/>
      <c r="Y6" s="3373"/>
      <c r="Z6" s="3374"/>
      <c r="AA6" s="3377"/>
      <c r="AB6" s="3377"/>
      <c r="AC6" s="3377"/>
    </row>
    <row r="7" spans="1:29" s="102" customFormat="1" ht="15.75" thickBot="1">
      <c r="A7" s="352" t="s">
        <v>1679</v>
      </c>
      <c r="B7" s="353"/>
      <c r="C7" s="354">
        <f>'数据-取费表'!B2</f>
        <v>45450</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67" t="s">
        <v>1680</v>
      </c>
      <c r="Q7" s="3378"/>
      <c r="R7" s="663" t="s">
        <v>14</v>
      </c>
      <c r="S7" s="664">
        <f t="shared" ref="S7:S15" si="0">F7</f>
        <v>0</v>
      </c>
      <c r="T7" s="663" t="s">
        <v>14</v>
      </c>
      <c r="U7" s="664">
        <f t="shared" ref="U7:U15" si="1">H7</f>
        <v>0</v>
      </c>
      <c r="V7" s="663" t="s">
        <v>14</v>
      </c>
      <c r="W7" s="664">
        <f t="shared" ref="W7:W15" si="2">J7</f>
        <v>0</v>
      </c>
      <c r="X7" s="665"/>
      <c r="Y7" s="3367" t="s">
        <v>1680</v>
      </c>
      <c r="Z7" s="336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67" t="s">
        <v>1683</v>
      </c>
      <c r="Q8" s="3366"/>
      <c r="R8" s="663" t="s">
        <v>14</v>
      </c>
      <c r="S8" s="664">
        <f t="shared" si="0"/>
        <v>0</v>
      </c>
      <c r="T8" s="663" t="s">
        <v>14</v>
      </c>
      <c r="U8" s="664">
        <f t="shared" si="1"/>
        <v>0</v>
      </c>
      <c r="V8" s="663" t="s">
        <v>14</v>
      </c>
      <c r="W8" s="664">
        <f t="shared" si="2"/>
        <v>0</v>
      </c>
      <c r="X8" s="665"/>
      <c r="Y8" s="3367" t="s">
        <v>1683</v>
      </c>
      <c r="Z8" s="336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51" t="s">
        <v>1686</v>
      </c>
      <c r="Q9" s="530"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151</v>
      </c>
      <c r="G10" s="371"/>
      <c r="H10" s="119">
        <f>ROUND(100/'数据-取费表'!G16,0)</f>
        <v>151</v>
      </c>
      <c r="I10" s="371"/>
      <c r="J10" s="119">
        <f>ROUND(100/'数据-取费表'!G16,0)</f>
        <v>151</v>
      </c>
      <c r="K10" s="592"/>
      <c r="L10" s="2487"/>
      <c r="M10" s="2488"/>
      <c r="N10" s="2488"/>
      <c r="O10" s="2539"/>
      <c r="P10" s="3351"/>
      <c r="Q10" s="530" t="str">
        <f t="shared" si="6"/>
        <v>土地使用年限（年）</v>
      </c>
      <c r="R10" s="663" t="s">
        <v>14</v>
      </c>
      <c r="S10" s="664">
        <f t="shared" si="0"/>
        <v>151</v>
      </c>
      <c r="T10" s="663" t="s">
        <v>14</v>
      </c>
      <c r="U10" s="664">
        <f t="shared" si="1"/>
        <v>151</v>
      </c>
      <c r="V10" s="663" t="s">
        <v>14</v>
      </c>
      <c r="W10" s="664">
        <f t="shared" si="2"/>
        <v>151</v>
      </c>
      <c r="X10" s="665"/>
      <c r="Y10" s="3249"/>
      <c r="Z10" s="50" t="str">
        <f t="shared" si="7"/>
        <v>土地使用年限（年）</v>
      </c>
      <c r="AA10" s="50">
        <f t="shared" si="3"/>
        <v>0.66225165562913912</v>
      </c>
      <c r="AB10" s="50">
        <f t="shared" si="4"/>
        <v>0.66225165562913912</v>
      </c>
      <c r="AC10" s="50">
        <f t="shared" si="5"/>
        <v>0.66225165562913912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51"/>
      <c r="Q11" s="530" t="str">
        <f t="shared" si="6"/>
        <v>容积率</v>
      </c>
      <c r="R11" s="663" t="s">
        <v>14</v>
      </c>
      <c r="S11" s="664" t="e">
        <f t="shared" si="0"/>
        <v>#N/A</v>
      </c>
      <c r="T11" s="663" t="s">
        <v>14</v>
      </c>
      <c r="U11" s="664" t="e">
        <f t="shared" si="1"/>
        <v>#N/A</v>
      </c>
      <c r="V11" s="663" t="s">
        <v>14</v>
      </c>
      <c r="W11" s="664" t="e">
        <f t="shared" si="2"/>
        <v>#N/A</v>
      </c>
      <c r="X11" s="665"/>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51"/>
      <c r="Q12" s="530">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51"/>
      <c r="Q13" s="530">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51"/>
      <c r="Q14" s="530">
        <f t="shared" si="6"/>
        <v>111</v>
      </c>
      <c r="R14" s="663" t="s">
        <v>14</v>
      </c>
      <c r="S14" s="664">
        <f t="shared" si="0"/>
        <v>100</v>
      </c>
      <c r="T14" s="663" t="s">
        <v>14</v>
      </c>
      <c r="U14" s="664">
        <f t="shared" si="1"/>
        <v>100</v>
      </c>
      <c r="V14" s="663" t="s">
        <v>14</v>
      </c>
      <c r="W14" s="664">
        <f t="shared" si="2"/>
        <v>100</v>
      </c>
      <c r="X14" s="665"/>
      <c r="Y14" s="3249"/>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58" t="s">
        <v>1691</v>
      </c>
      <c r="Q15" s="1263" t="str">
        <f t="shared" si="6"/>
        <v>产业集聚程度</v>
      </c>
      <c r="R15" s="666" t="s">
        <v>14</v>
      </c>
      <c r="S15" s="667">
        <f t="shared" si="0"/>
        <v>100</v>
      </c>
      <c r="T15" s="666" t="s">
        <v>14</v>
      </c>
      <c r="U15" s="667">
        <f t="shared" si="1"/>
        <v>100</v>
      </c>
      <c r="V15" s="666" t="s">
        <v>14</v>
      </c>
      <c r="W15" s="667">
        <f t="shared" si="2"/>
        <v>100</v>
      </c>
      <c r="X15" s="1265"/>
      <c r="Y15" s="335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59"/>
      <c r="Q16" s="1263"/>
      <c r="R16" s="666"/>
      <c r="S16" s="667"/>
      <c r="T16" s="666"/>
      <c r="U16" s="667"/>
      <c r="V16" s="666"/>
      <c r="W16" s="667"/>
      <c r="X16" s="1265"/>
      <c r="Y16" s="335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59"/>
      <c r="Q17" s="1263" t="str">
        <f>B17</f>
        <v>交通便捷度</v>
      </c>
      <c r="R17" s="666" t="s">
        <v>14</v>
      </c>
      <c r="S17" s="667">
        <f>F17</f>
        <v>100</v>
      </c>
      <c r="T17" s="666" t="s">
        <v>14</v>
      </c>
      <c r="U17" s="667">
        <f>H17</f>
        <v>100</v>
      </c>
      <c r="V17" s="666" t="s">
        <v>14</v>
      </c>
      <c r="W17" s="667">
        <f>J17</f>
        <v>100</v>
      </c>
      <c r="X17" s="1265"/>
      <c r="Y17" s="335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59"/>
      <c r="Q18" s="1263"/>
      <c r="R18" s="666"/>
      <c r="S18" s="667"/>
      <c r="T18" s="666"/>
      <c r="U18" s="667"/>
      <c r="V18" s="666"/>
      <c r="W18" s="667"/>
      <c r="X18" s="1265"/>
      <c r="Y18" s="335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59"/>
      <c r="Q19" s="1263" t="str">
        <f t="shared" ref="Q19:Q33" si="8">B19</f>
        <v>区域土地利用方向</v>
      </c>
      <c r="R19" s="666" t="s">
        <v>14</v>
      </c>
      <c r="S19" s="667">
        <f>F19</f>
        <v>100</v>
      </c>
      <c r="T19" s="666" t="s">
        <v>14</v>
      </c>
      <c r="U19" s="667">
        <f>H19</f>
        <v>100</v>
      </c>
      <c r="V19" s="666" t="s">
        <v>14</v>
      </c>
      <c r="W19" s="667">
        <f>J19</f>
        <v>100</v>
      </c>
      <c r="X19" s="1265"/>
      <c r="Y19" s="335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7"/>
      <c r="L20" s="2490"/>
      <c r="M20" s="2485"/>
      <c r="N20" s="2485"/>
      <c r="O20" s="2540"/>
      <c r="P20" s="3359"/>
      <c r="Q20" s="1263"/>
      <c r="R20" s="666"/>
      <c r="S20" s="667"/>
      <c r="T20" s="666"/>
      <c r="U20" s="667"/>
      <c r="V20" s="666"/>
      <c r="W20" s="667"/>
      <c r="X20" s="1265"/>
      <c r="Y20" s="335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59"/>
      <c r="Q21" s="1263" t="str">
        <f t="shared" si="8"/>
        <v>环境状况</v>
      </c>
      <c r="R21" s="666" t="s">
        <v>14</v>
      </c>
      <c r="S21" s="667">
        <f>F21</f>
        <v>100</v>
      </c>
      <c r="T21" s="666" t="s">
        <v>14</v>
      </c>
      <c r="U21" s="667">
        <f>H21</f>
        <v>100</v>
      </c>
      <c r="V21" s="666" t="s">
        <v>14</v>
      </c>
      <c r="W21" s="667">
        <f>J21</f>
        <v>100</v>
      </c>
      <c r="X21" s="1265"/>
      <c r="Y21" s="335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59"/>
      <c r="Q22" s="1263"/>
      <c r="R22" s="666"/>
      <c r="S22" s="667"/>
      <c r="T22" s="666"/>
      <c r="U22" s="667"/>
      <c r="V22" s="666"/>
      <c r="W22" s="667"/>
      <c r="X22" s="1265"/>
      <c r="Y22" s="335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59"/>
      <c r="Q23" s="530" t="str">
        <f t="shared" si="8"/>
        <v>公共配套设施</v>
      </c>
      <c r="R23" s="663" t="s">
        <v>14</v>
      </c>
      <c r="S23" s="664">
        <f>F23</f>
        <v>100</v>
      </c>
      <c r="T23" s="663" t="s">
        <v>14</v>
      </c>
      <c r="U23" s="664">
        <f>H23</f>
        <v>100</v>
      </c>
      <c r="V23" s="663" t="s">
        <v>14</v>
      </c>
      <c r="W23" s="664">
        <f>J23</f>
        <v>100</v>
      </c>
      <c r="X23" s="665"/>
      <c r="Y23" s="335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59"/>
      <c r="Q24" s="530"/>
      <c r="R24" s="663"/>
      <c r="S24" s="664"/>
      <c r="T24" s="663"/>
      <c r="U24" s="664"/>
      <c r="V24" s="663"/>
      <c r="W24" s="664"/>
      <c r="X24" s="665"/>
      <c r="Y24" s="335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59"/>
      <c r="Q25" s="530" t="str">
        <f t="shared" ref="Q25" si="9">B25</f>
        <v>基础设施水平</v>
      </c>
      <c r="R25" s="663" t="s">
        <v>14</v>
      </c>
      <c r="S25" s="664">
        <f>F25</f>
        <v>100</v>
      </c>
      <c r="T25" s="663" t="s">
        <v>14</v>
      </c>
      <c r="U25" s="664">
        <f>H25</f>
        <v>100</v>
      </c>
      <c r="V25" s="663" t="s">
        <v>14</v>
      </c>
      <c r="W25" s="664">
        <f>J25</f>
        <v>100</v>
      </c>
      <c r="X25" s="665"/>
      <c r="Y25" s="335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59"/>
      <c r="Q26" s="530"/>
      <c r="R26" s="663"/>
      <c r="S26" s="664"/>
      <c r="T26" s="663"/>
      <c r="U26" s="664"/>
      <c r="V26" s="663"/>
      <c r="W26" s="664"/>
      <c r="X26" s="665"/>
      <c r="Y26" s="335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59"/>
      <c r="Q27" s="1263" t="str">
        <f t="shared" si="8"/>
        <v>临街状况</v>
      </c>
      <c r="R27" s="666" t="s">
        <v>14</v>
      </c>
      <c r="S27" s="667">
        <f t="shared" ref="S27:S40" si="10">F27</f>
        <v>100</v>
      </c>
      <c r="T27" s="666" t="s">
        <v>14</v>
      </c>
      <c r="U27" s="667">
        <f t="shared" ref="U27:U40" si="11">H27</f>
        <v>100</v>
      </c>
      <c r="V27" s="666" t="s">
        <v>14</v>
      </c>
      <c r="W27" s="667">
        <f t="shared" ref="W27:W40" si="12">J27</f>
        <v>100</v>
      </c>
      <c r="X27" s="1265"/>
      <c r="Y27" s="335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59"/>
      <c r="Q28" s="1263" t="str">
        <f t="shared" si="8"/>
        <v>毗邻道路的类型与等级</v>
      </c>
      <c r="R28" s="666" t="s">
        <v>14</v>
      </c>
      <c r="S28" s="667">
        <f t="shared" si="10"/>
        <v>100</v>
      </c>
      <c r="T28" s="666" t="s">
        <v>14</v>
      </c>
      <c r="U28" s="667">
        <f t="shared" si="11"/>
        <v>100</v>
      </c>
      <c r="V28" s="666" t="s">
        <v>14</v>
      </c>
      <c r="W28" s="667">
        <f t="shared" si="12"/>
        <v>100</v>
      </c>
      <c r="X28" s="1265"/>
      <c r="Y28" s="335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59"/>
      <c r="Q29" s="1263"/>
      <c r="R29" s="666"/>
      <c r="S29" s="667"/>
      <c r="T29" s="666"/>
      <c r="U29" s="667"/>
      <c r="V29" s="666"/>
      <c r="W29" s="667"/>
      <c r="X29" s="1265"/>
      <c r="Y29" s="335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59"/>
      <c r="Q30" s="1263" t="str">
        <f t="shared" si="8"/>
        <v>土地级别</v>
      </c>
      <c r="R30" s="666" t="s">
        <v>14</v>
      </c>
      <c r="S30" s="667">
        <f t="shared" si="10"/>
        <v>100</v>
      </c>
      <c r="T30" s="666" t="s">
        <v>14</v>
      </c>
      <c r="U30" s="667">
        <f t="shared" si="11"/>
        <v>100</v>
      </c>
      <c r="V30" s="666" t="s">
        <v>14</v>
      </c>
      <c r="W30" s="667">
        <f t="shared" si="12"/>
        <v>100</v>
      </c>
      <c r="X30" s="1265"/>
      <c r="Y30" s="335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59"/>
      <c r="Q31" s="1263">
        <f t="shared" si="8"/>
        <v>111</v>
      </c>
      <c r="R31" s="666" t="s">
        <v>14</v>
      </c>
      <c r="S31" s="667">
        <f t="shared" si="10"/>
        <v>100</v>
      </c>
      <c r="T31" s="666" t="s">
        <v>14</v>
      </c>
      <c r="U31" s="667">
        <f t="shared" si="11"/>
        <v>100</v>
      </c>
      <c r="V31" s="666" t="s">
        <v>14</v>
      </c>
      <c r="W31" s="667">
        <f t="shared" si="12"/>
        <v>100</v>
      </c>
      <c r="X31" s="1265"/>
      <c r="Y31" s="335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2" t="s">
        <v>1696</v>
      </c>
      <c r="Q32" s="1263">
        <f t="shared" si="8"/>
        <v>111</v>
      </c>
      <c r="R32" s="666" t="s">
        <v>14</v>
      </c>
      <c r="S32" s="667">
        <f t="shared" si="10"/>
        <v>100</v>
      </c>
      <c r="T32" s="666" t="s">
        <v>14</v>
      </c>
      <c r="U32" s="667">
        <f t="shared" si="11"/>
        <v>100</v>
      </c>
      <c r="V32" s="666" t="s">
        <v>14</v>
      </c>
      <c r="W32" s="667">
        <f t="shared" si="12"/>
        <v>100</v>
      </c>
      <c r="X32" s="1265"/>
      <c r="Y32" s="3363"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63"/>
      <c r="Q33" s="1263">
        <f t="shared" si="8"/>
        <v>111</v>
      </c>
      <c r="R33" s="668" t="s">
        <v>14</v>
      </c>
      <c r="S33" s="669">
        <f t="shared" si="10"/>
        <v>100</v>
      </c>
      <c r="T33" s="668" t="s">
        <v>14</v>
      </c>
      <c r="U33" s="669">
        <f t="shared" si="11"/>
        <v>100</v>
      </c>
      <c r="V33" s="668" t="s">
        <v>14</v>
      </c>
      <c r="W33" s="669">
        <f t="shared" si="12"/>
        <v>100</v>
      </c>
      <c r="X33" s="670"/>
      <c r="Y33" s="3363"/>
      <c r="Z33" s="671">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63"/>
      <c r="Q34" s="1263" t="str">
        <f>B34</f>
        <v>宗地面积</v>
      </c>
      <c r="R34" s="666" t="s">
        <v>14</v>
      </c>
      <c r="S34" s="667" t="e">
        <f t="shared" si="10"/>
        <v>#N/A</v>
      </c>
      <c r="T34" s="666" t="s">
        <v>14</v>
      </c>
      <c r="U34" s="667" t="e">
        <f t="shared" si="11"/>
        <v>#N/A</v>
      </c>
      <c r="V34" s="666" t="s">
        <v>14</v>
      </c>
      <c r="W34" s="667" t="e">
        <f t="shared" si="12"/>
        <v>#N/A</v>
      </c>
      <c r="X34" s="1265"/>
      <c r="Y34" s="336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63"/>
      <c r="Q35" s="1263" t="str">
        <f t="shared" ref="Q35:Q40" si="14">B35</f>
        <v>宗地形状</v>
      </c>
      <c r="R35" s="666" t="s">
        <v>14</v>
      </c>
      <c r="S35" s="667">
        <f t="shared" si="10"/>
        <v>100</v>
      </c>
      <c r="T35" s="666" t="s">
        <v>14</v>
      </c>
      <c r="U35" s="667">
        <f t="shared" si="11"/>
        <v>100</v>
      </c>
      <c r="V35" s="666" t="s">
        <v>14</v>
      </c>
      <c r="W35" s="667">
        <f t="shared" si="12"/>
        <v>100</v>
      </c>
      <c r="X35" s="1265"/>
      <c r="Y35" s="336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63"/>
      <c r="Q36" s="1263" t="str">
        <f t="shared" si="14"/>
        <v>宗地开发程度</v>
      </c>
      <c r="R36" s="663" t="s">
        <v>14</v>
      </c>
      <c r="S36" s="664">
        <f t="shared" si="10"/>
        <v>100</v>
      </c>
      <c r="T36" s="663" t="s">
        <v>14</v>
      </c>
      <c r="U36" s="664">
        <f t="shared" si="11"/>
        <v>100</v>
      </c>
      <c r="V36" s="663" t="s">
        <v>14</v>
      </c>
      <c r="W36" s="664">
        <f t="shared" si="12"/>
        <v>100</v>
      </c>
      <c r="X36" s="665"/>
      <c r="Y36" s="336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63" t="s">
        <v>1696</v>
      </c>
      <c r="Q37" s="1263" t="str">
        <f t="shared" si="14"/>
        <v>工程地质条件</v>
      </c>
      <c r="R37" s="666" t="s">
        <v>14</v>
      </c>
      <c r="S37" s="667">
        <f t="shared" si="10"/>
        <v>100</v>
      </c>
      <c r="T37" s="666" t="s">
        <v>14</v>
      </c>
      <c r="U37" s="667">
        <f t="shared" si="11"/>
        <v>100</v>
      </c>
      <c r="V37" s="666" t="s">
        <v>14</v>
      </c>
      <c r="W37" s="667">
        <f t="shared" si="12"/>
        <v>100</v>
      </c>
      <c r="X37" s="1265"/>
      <c r="Y37" s="336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63"/>
      <c r="Q38" s="1263">
        <f t="shared" si="14"/>
        <v>111</v>
      </c>
      <c r="R38" s="666" t="s">
        <v>14</v>
      </c>
      <c r="S38" s="667">
        <f t="shared" si="10"/>
        <v>100</v>
      </c>
      <c r="T38" s="666" t="s">
        <v>14</v>
      </c>
      <c r="U38" s="667">
        <f t="shared" si="11"/>
        <v>100</v>
      </c>
      <c r="V38" s="666" t="s">
        <v>14</v>
      </c>
      <c r="W38" s="667">
        <f t="shared" si="12"/>
        <v>100</v>
      </c>
      <c r="X38" s="1265"/>
      <c r="Y38" s="336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63"/>
      <c r="Q39" s="1263">
        <f t="shared" si="14"/>
        <v>111</v>
      </c>
      <c r="R39" s="666" t="s">
        <v>14</v>
      </c>
      <c r="S39" s="667">
        <f t="shared" si="10"/>
        <v>100</v>
      </c>
      <c r="T39" s="666" t="s">
        <v>14</v>
      </c>
      <c r="U39" s="667">
        <f t="shared" si="11"/>
        <v>100</v>
      </c>
      <c r="V39" s="666" t="s">
        <v>14</v>
      </c>
      <c r="W39" s="667">
        <f t="shared" si="12"/>
        <v>100</v>
      </c>
      <c r="X39" s="1265"/>
      <c r="Y39" s="336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63"/>
      <c r="Q40" s="1263">
        <f t="shared" si="14"/>
        <v>111</v>
      </c>
      <c r="R40" s="668" t="s">
        <v>14</v>
      </c>
      <c r="S40" s="669">
        <f t="shared" si="10"/>
        <v>100</v>
      </c>
      <c r="T40" s="668" t="s">
        <v>14</v>
      </c>
      <c r="U40" s="669">
        <f t="shared" si="11"/>
        <v>100</v>
      </c>
      <c r="V40" s="668" t="s">
        <v>14</v>
      </c>
      <c r="W40" s="669">
        <f t="shared" si="12"/>
        <v>100</v>
      </c>
      <c r="X40" s="670"/>
      <c r="Y40" s="3363"/>
      <c r="Z40" s="671">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3"/>
      <c r="L41" s="2492"/>
      <c r="M41" s="2485"/>
      <c r="N41" s="2485"/>
      <c r="O41" s="2485"/>
      <c r="P41" s="3351" t="str">
        <f>A41</f>
        <v>成交单价</v>
      </c>
      <c r="Q41" s="3351"/>
      <c r="R41" s="3352">
        <f>E41</f>
        <v>0</v>
      </c>
      <c r="S41" s="3352"/>
      <c r="T41" s="3352">
        <f>G41</f>
        <v>0</v>
      </c>
      <c r="U41" s="3352"/>
      <c r="V41" s="3352">
        <f>I41</f>
        <v>0</v>
      </c>
      <c r="W41" s="3352"/>
      <c r="X41" s="385"/>
      <c r="Y41" s="672"/>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2"/>
      <c r="M42" s="2485"/>
      <c r="N42" s="2485"/>
      <c r="O42" s="2485"/>
      <c r="P42" s="3351" t="str">
        <f>A42</f>
        <v>比较价值（元/平方米）</v>
      </c>
      <c r="Q42" s="3351"/>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2"/>
      <c r="M43" s="2485"/>
      <c r="N43" s="2485"/>
      <c r="O43" s="2485"/>
      <c r="P43" s="3440" t="str">
        <f>A43</f>
        <v>估价对象XX用房的比较价值（楼面单价，元/平方米）</v>
      </c>
      <c r="Q43" s="3441"/>
      <c r="R43" s="3455" t="e">
        <f>ROUND(IF(D42="简单平均",AVERAGE(R42:W42),R42*F42+T42*H42+V42*J42),0)</f>
        <v>#DIV/0!</v>
      </c>
      <c r="S43" s="3455"/>
      <c r="T43" s="3455"/>
      <c r="U43" s="3455"/>
      <c r="V43" s="3455"/>
      <c r="W43" s="3455"/>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382" t="s">
        <v>1887</v>
      </c>
      <c r="H50" s="3456"/>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89">
        <v>1</v>
      </c>
      <c r="E51" s="610">
        <f>'数据-汇总表'!E8+'数据-汇总表'!E9</f>
        <v>94.12</v>
      </c>
      <c r="F51" s="611" t="e">
        <f t="shared" ref="F51:F60" si="15">ROUND(B51*E51/10000,0)</f>
        <v>#DIV/0!</v>
      </c>
      <c r="G51" s="3350"/>
      <c r="H51" s="3351"/>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0">
        <v>0.25</v>
      </c>
      <c r="E52" s="614"/>
      <c r="F52" s="611" t="e">
        <f t="shared" si="15"/>
        <v>#DIV/0!</v>
      </c>
      <c r="G52" s="2748" t="s">
        <v>1892</v>
      </c>
      <c r="H52" s="833">
        <f>项目基本情况!B37</f>
        <v>0</v>
      </c>
      <c r="I52" s="726">
        <f>SUMIF(修正!A57:A68,H52,修正!B57:B68)</f>
        <v>0</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0">
        <v>0.25</v>
      </c>
      <c r="E53" s="614"/>
      <c r="F53" s="611" t="e">
        <f t="shared" si="15"/>
        <v>#DIV/0!</v>
      </c>
      <c r="G53" s="2749"/>
      <c r="H53" s="833">
        <f>项目基本情况!B37</f>
        <v>0</v>
      </c>
      <c r="I53" s="726">
        <f>SUMIF(修正!A57:A68,H53,修正!C57:C68)</f>
        <v>0</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0">
        <v>0.25</v>
      </c>
      <c r="E54" s="614"/>
      <c r="F54" s="611" t="e">
        <f t="shared" si="15"/>
        <v>#DIV/0!</v>
      </c>
      <c r="G54" s="2749"/>
      <c r="H54" s="833">
        <f>项目基本情况!B37</f>
        <v>0</v>
      </c>
      <c r="I54" s="726">
        <f>SUMIF(修正!A57:A68,H54,修正!D57:D68)</f>
        <v>0</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0"/>
      <c r="E55" s="614"/>
      <c r="F55" s="611"/>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0">
        <v>0.25</v>
      </c>
      <c r="E56" s="209">
        <f>'数据-汇总表'!E11</f>
        <v>0</v>
      </c>
      <c r="F56" s="611" t="e">
        <f t="shared" si="15"/>
        <v>#DIV/0!</v>
      </c>
      <c r="G56" s="1835" t="s">
        <v>1896</v>
      </c>
      <c r="H56" s="833" t="str">
        <f>项目基本情况!C37</f>
        <v>三级</v>
      </c>
      <c r="I56" s="726">
        <f>SUMIF(修正!A57:A68,H56,修正!E57:E68)</f>
        <v>0.25</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0">
        <v>0.25</v>
      </c>
      <c r="E57" s="209">
        <f>'数据-汇总表'!E12</f>
        <v>0</v>
      </c>
      <c r="F57" s="611" t="e">
        <f t="shared" si="15"/>
        <v>#DIV/0!</v>
      </c>
      <c r="G57" s="838" t="s">
        <v>1898</v>
      </c>
      <c r="H57" s="833" t="str">
        <f>IF(G57="商业",项目基本情况!B37,IF(G57="办公",项目基本情况!C37,IF(G57="住宅",项目基本情况!D37,项目基本情况!E37)))</f>
        <v>三级</v>
      </c>
      <c r="I57" s="726">
        <f>SUMIF(修正!A57:A68,H57,修正!F57:F68)</f>
        <v>0.25</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0">
        <v>0.25</v>
      </c>
      <c r="E59" s="209">
        <f>'数据-汇总表'!E14</f>
        <v>0</v>
      </c>
      <c r="F59" s="611" t="e">
        <f t="shared" si="15"/>
        <v>#DIV/0!</v>
      </c>
      <c r="G59" s="1835" t="s">
        <v>1892</v>
      </c>
      <c r="H59" s="833">
        <f>项目基本情况!B37</f>
        <v>0</v>
      </c>
      <c r="I59" s="726">
        <f>SUMIF(修正!A57:A68,H59,修正!G57:G68)</f>
        <v>0</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0.15</v>
      </c>
      <c r="D60" s="890">
        <v>0.25</v>
      </c>
      <c r="E60" s="209">
        <f>'数据-汇总表'!E15</f>
        <v>0</v>
      </c>
      <c r="F60" s="611" t="e">
        <f t="shared" si="15"/>
        <v>#DIV/0!</v>
      </c>
      <c r="G60" s="1836" t="s">
        <v>1896</v>
      </c>
      <c r="H60" s="843" t="str">
        <f>项目基本情况!C37</f>
        <v>三级</v>
      </c>
      <c r="I60" s="726">
        <f>SUMIF(修正!A57:A68,H60,修正!G57:G68)</f>
        <v>0.15</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22.76</v>
      </c>
      <c r="F61" s="617"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5" t="str">
        <f>YEAR(C7)&amp;"-"&amp;MONTH(C7)&amp;"-1"</f>
        <v>2024-6-1</v>
      </c>
      <c r="D63" s="655">
        <f>EDATE(C63,-3)</f>
        <v>45352</v>
      </c>
      <c r="E63" s="655">
        <f>EDATE(D63,-3)</f>
        <v>45261</v>
      </c>
      <c r="F63" s="655">
        <f t="shared" ref="F63:O63" si="18">EDATE(E63,-3)</f>
        <v>45170</v>
      </c>
      <c r="G63" s="655">
        <f t="shared" si="18"/>
        <v>45078</v>
      </c>
      <c r="H63" s="655">
        <f t="shared" si="18"/>
        <v>44986</v>
      </c>
      <c r="I63" s="655">
        <f t="shared" si="18"/>
        <v>44896</v>
      </c>
      <c r="J63" s="655">
        <f t="shared" si="18"/>
        <v>44805</v>
      </c>
      <c r="K63" s="655">
        <f t="shared" si="18"/>
        <v>44713</v>
      </c>
      <c r="L63" s="655">
        <f t="shared" si="18"/>
        <v>44621</v>
      </c>
      <c r="M63" s="655">
        <f t="shared" si="18"/>
        <v>44531</v>
      </c>
      <c r="N63" s="655">
        <f t="shared" si="18"/>
        <v>44440</v>
      </c>
      <c r="O63" s="655">
        <f t="shared" si="18"/>
        <v>44348</v>
      </c>
      <c r="P63" s="2485"/>
      <c r="Q63" s="2485"/>
      <c r="R63" s="2485"/>
      <c r="S63" s="2485"/>
      <c r="T63" s="2485"/>
      <c r="U63" s="2485"/>
      <c r="V63" s="2485"/>
      <c r="W63" s="2485"/>
      <c r="X63" s="2485"/>
      <c r="Y63" s="2485"/>
      <c r="Z63" s="2485"/>
      <c r="AA63" s="2485"/>
      <c r="AB63" s="2485"/>
      <c r="AC63" s="2485"/>
      <c r="AD63" s="2485"/>
      <c r="AE63" s="2485"/>
    </row>
    <row r="64" spans="1:31" ht="21.75" thickBot="1">
      <c r="A64" s="657" t="s">
        <v>1798</v>
      </c>
      <c r="B64" s="385"/>
      <c r="C64" s="658"/>
      <c r="D64" s="658"/>
      <c r="E64" s="658"/>
      <c r="F64" s="659"/>
      <c r="G64" s="659"/>
      <c r="H64" s="658"/>
      <c r="I64" s="658"/>
      <c r="J64" s="658"/>
      <c r="K64" s="660"/>
      <c r="L64" s="661"/>
      <c r="M64" s="658"/>
      <c r="N64" s="658"/>
      <c r="O64" s="885"/>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2024-2</v>
      </c>
      <c r="D65" s="1101" t="str">
        <f t="shared" ref="D65:O65" si="19">YEAR(D63)&amp;"-"&amp;ROUNDUP(MONTH(D63)/3,0)</f>
        <v>2024-1</v>
      </c>
      <c r="E65" s="1101" t="str">
        <f t="shared" si="19"/>
        <v>2023-4</v>
      </c>
      <c r="F65" s="1101" t="str">
        <f t="shared" si="19"/>
        <v>2023-3</v>
      </c>
      <c r="G65" s="1101" t="str">
        <f t="shared" si="19"/>
        <v>2023-2</v>
      </c>
      <c r="H65" s="1101" t="str">
        <f t="shared" si="19"/>
        <v>2023-1</v>
      </c>
      <c r="I65" s="1101" t="str">
        <f t="shared" si="19"/>
        <v>2022-4</v>
      </c>
      <c r="J65" s="1101" t="str">
        <f t="shared" si="19"/>
        <v>2022-3</v>
      </c>
      <c r="K65" s="1101" t="str">
        <f t="shared" si="19"/>
        <v>2022-2</v>
      </c>
      <c r="L65" s="1101" t="str">
        <f t="shared" si="19"/>
        <v>2022-1</v>
      </c>
      <c r="M65" s="1101" t="str">
        <f t="shared" si="19"/>
        <v>2021-4</v>
      </c>
      <c r="N65" s="1101" t="str">
        <f t="shared" si="19"/>
        <v>2021-3</v>
      </c>
      <c r="O65" s="1101" t="str">
        <f t="shared" si="19"/>
        <v>2021-2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Normal="100" workbookViewId="0">
      <pane ySplit="24" topLeftCell="A25" activePane="bottomLeft" state="frozen"/>
      <selection activeCell="C50" sqref="C50"/>
      <selection pane="bottomLeft" activeCell="A26" sqref="A26"/>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64" t="s">
        <v>2084</v>
      </c>
      <c r="D1" s="3465"/>
      <c r="E1" s="3465"/>
      <c r="F1" s="3465"/>
      <c r="G1" s="3465"/>
      <c r="H1" s="3465"/>
      <c r="I1" s="3465"/>
      <c r="J1" s="3465"/>
      <c r="K1" s="3465"/>
      <c r="L1" s="3465"/>
      <c r="M1" s="3465"/>
      <c r="N1" s="3465"/>
      <c r="O1" s="3465"/>
      <c r="P1" s="3465"/>
      <c r="Q1" s="3465"/>
      <c r="R1" s="3465"/>
      <c r="S1" s="3466"/>
      <c r="T1" s="928" t="s">
        <v>2085</v>
      </c>
    </row>
    <row r="2" spans="1:45" s="625" customFormat="1" ht="25.5">
      <c r="A2" s="929"/>
      <c r="B2" s="622" t="s">
        <v>2086</v>
      </c>
      <c r="C2" s="14" t="str">
        <f t="shared" ref="C2:L2" si="0">C3&amp;"(含)"&amp;"-"&amp;D3</f>
        <v>0(含)-200</v>
      </c>
      <c r="D2" s="623" t="str">
        <f t="shared" si="0"/>
        <v>200(含)-400</v>
      </c>
      <c r="E2" s="623" t="str">
        <f t="shared" si="0"/>
        <v>400(含)-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6"/>
      <c r="C3" s="627">
        <f>'比较法-都会国际办公'!C104</f>
        <v>0</v>
      </c>
      <c r="D3" s="627">
        <f>'比较法-都会国际办公'!D104</f>
        <v>200</v>
      </c>
      <c r="E3" s="627">
        <f>'比较法-都会国际办公'!E104</f>
        <v>400</v>
      </c>
      <c r="F3" s="627"/>
      <c r="G3" s="1220"/>
      <c r="H3" s="1220"/>
      <c r="I3" s="1220"/>
      <c r="J3" s="1220"/>
      <c r="K3" s="1220"/>
      <c r="L3" s="1221"/>
      <c r="M3" s="1222"/>
      <c r="N3" s="1222"/>
      <c r="O3" s="1220"/>
      <c r="P3" s="1220"/>
      <c r="Q3" s="1220"/>
      <c r="R3" s="1220"/>
      <c r="S3" s="1223"/>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f>'比较法-都会国际办公'!C105</f>
        <v>100</v>
      </c>
      <c r="D4" s="934">
        <f>'比较法-都会国际办公'!D105</f>
        <v>99</v>
      </c>
      <c r="E4" s="934">
        <f>'比较法-都会国际办公'!E105</f>
        <v>98</v>
      </c>
      <c r="F4" s="934"/>
      <c r="G4" s="1224"/>
      <c r="H4" s="1224"/>
      <c r="I4" s="1224"/>
      <c r="J4" s="1224"/>
      <c r="K4" s="1224"/>
      <c r="L4" s="1224"/>
      <c r="M4" s="1225"/>
      <c r="N4" s="1225"/>
      <c r="O4" s="1224"/>
      <c r="P4" s="1224"/>
      <c r="Q4" s="1224"/>
      <c r="R4" s="1224"/>
      <c r="S4" s="1226"/>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9" t="s">
        <v>2087</v>
      </c>
      <c r="C5" s="939"/>
      <c r="D5" s="940"/>
      <c r="E5" s="940"/>
      <c r="F5" s="1227"/>
      <c r="G5" s="1227"/>
      <c r="H5" s="1227"/>
      <c r="I5" s="1227"/>
      <c r="J5" s="1227"/>
      <c r="K5" s="1227"/>
      <c r="L5" s="1228"/>
      <c r="M5" s="1229"/>
      <c r="N5" s="1229"/>
      <c r="O5" s="1227"/>
      <c r="P5" s="1227"/>
      <c r="Q5" s="1227"/>
      <c r="R5" s="1227"/>
      <c r="S5" s="1230"/>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50" t="s">
        <v>2088</v>
      </c>
      <c r="C7" s="850"/>
      <c r="D7" s="844"/>
      <c r="E7" s="844"/>
      <c r="F7" s="1232"/>
      <c r="G7" s="1232"/>
      <c r="H7" s="1232"/>
      <c r="I7" s="1232"/>
      <c r="J7" s="1232"/>
      <c r="K7" s="1232"/>
      <c r="L7" s="1232"/>
      <c r="M7" s="1233"/>
      <c r="N7" s="1234"/>
      <c r="O7" s="1235"/>
      <c r="P7" s="1235"/>
      <c r="Q7" s="1236"/>
      <c r="R7" s="1237"/>
      <c r="S7" s="1238"/>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hidden="1">
      <c r="A9" s="924"/>
      <c r="B9" s="1250" t="s">
        <v>2089</v>
      </c>
      <c r="C9" s="850"/>
      <c r="D9" s="844"/>
      <c r="E9" s="844"/>
      <c r="F9" s="1232"/>
      <c r="G9" s="1232"/>
      <c r="H9" s="1232"/>
      <c r="I9" s="1232"/>
      <c r="J9" s="1232"/>
      <c r="K9" s="1232"/>
      <c r="L9" s="1239"/>
      <c r="M9" s="1233"/>
      <c r="N9" s="1234"/>
      <c r="O9" s="1235"/>
      <c r="P9" s="1235"/>
      <c r="Q9" s="1236"/>
      <c r="R9" s="1237"/>
      <c r="S9" s="1238"/>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hidden="1" thickBot="1">
      <c r="A10" s="924"/>
      <c r="B10" s="933"/>
      <c r="C10" s="943">
        <v>100</v>
      </c>
      <c r="D10" s="714">
        <f>C10-$T9</f>
        <v>100</v>
      </c>
      <c r="E10" s="714">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hidden="1">
      <c r="A11" s="924"/>
      <c r="B11" s="1249"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hidden="1"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hidden="1">
      <c r="A13" s="924"/>
      <c r="B13" s="1249"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hidden="1"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hidden="1">
      <c r="A15" s="924"/>
      <c r="B15" s="1249"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hidden="1"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6" t="s">
        <v>2093</v>
      </c>
      <c r="B17" s="1987"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1" t="s">
        <v>2096</v>
      </c>
      <c r="B20" s="286">
        <f ca="1">IF(D20="——",S22,S22-F20)</f>
        <v>0</v>
      </c>
      <c r="C20" s="151"/>
      <c r="D20" s="1989" t="s">
        <v>43</v>
      </c>
      <c r="E20" s="1254"/>
      <c r="F20" s="928" t="e">
        <f ca="1">SUMIF(INDIRECT("'"&amp;H20&amp;"'"&amp;"!A:A"),"承租人权益价值",INDIRECT("'"&amp;H20&amp;"'"&amp;"!c:c"))</f>
        <v>#REF!</v>
      </c>
      <c r="G20" s="928" t="s">
        <v>2097</v>
      </c>
      <c r="H20" s="1990"/>
      <c r="I20" s="151"/>
      <c r="J20" s="151"/>
      <c r="K20" s="151"/>
      <c r="L20" s="151"/>
      <c r="M20" s="151"/>
      <c r="N20" s="151"/>
      <c r="O20" s="151"/>
      <c r="P20" s="151"/>
      <c r="Q20" s="151"/>
      <c r="R20" s="151"/>
      <c r="S20" s="121"/>
    </row>
    <row r="21" spans="1:45" ht="15.75">
      <c r="A21" s="631" t="s">
        <v>2098</v>
      </c>
      <c r="B21" s="286" t="e">
        <f ca="1">ROUND(B20*10000/B22,0)</f>
        <v>#DIV/0!</v>
      </c>
      <c r="C21" s="151"/>
      <c r="D21" s="151"/>
      <c r="E21" s="151"/>
      <c r="F21" s="151"/>
      <c r="G21" s="151"/>
      <c r="H21" s="151"/>
      <c r="I21" s="151"/>
      <c r="J21" s="151"/>
      <c r="K21" s="151"/>
      <c r="L21" s="151"/>
      <c r="M21" s="151"/>
      <c r="N21" s="151"/>
      <c r="O21" s="151"/>
      <c r="P21" s="151"/>
      <c r="Q21" s="151"/>
      <c r="R21" s="151"/>
      <c r="S21" s="121"/>
      <c r="T21" s="683">
        <f>20000*B22/10000</f>
        <v>0</v>
      </c>
    </row>
    <row r="22" spans="1:45">
      <c r="A22" s="308" t="s">
        <v>2099</v>
      </c>
      <c r="B22" s="21">
        <f>SUM(B24:B10000)</f>
        <v>0</v>
      </c>
      <c r="C22" s="3461" t="s">
        <v>27</v>
      </c>
      <c r="D22" s="3462"/>
      <c r="E22" s="3462"/>
      <c r="F22" s="3462"/>
      <c r="G22" s="3462"/>
      <c r="H22" s="3462"/>
      <c r="I22" s="3462"/>
      <c r="J22" s="3462"/>
      <c r="K22" s="3462"/>
      <c r="L22" s="3462"/>
      <c r="M22" s="3462"/>
      <c r="N22" s="3462"/>
      <c r="O22" s="3462"/>
      <c r="P22" s="3462"/>
      <c r="Q22" s="3463"/>
      <c r="R22" s="21" t="e">
        <f ca="1">ROUND(S22*10000/B22,0)</f>
        <v>#DIV/0!</v>
      </c>
      <c r="S22" s="21">
        <f ca="1">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3154"/>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c r="B24" s="632"/>
      <c r="C24" s="2568">
        <v>1</v>
      </c>
      <c r="D24" s="2569"/>
      <c r="E24" s="2568">
        <v>1</v>
      </c>
      <c r="F24" s="2569"/>
      <c r="G24" s="2568">
        <v>1</v>
      </c>
      <c r="H24" s="2569"/>
      <c r="I24" s="2568">
        <v>1</v>
      </c>
      <c r="J24" s="2569"/>
      <c r="K24" s="2568">
        <v>1</v>
      </c>
      <c r="L24" s="2569"/>
      <c r="M24" s="2568">
        <v>1</v>
      </c>
      <c r="N24" s="2569"/>
      <c r="O24" s="2568">
        <v>1</v>
      </c>
      <c r="P24" s="2569"/>
      <c r="Q24" s="2568">
        <v>1</v>
      </c>
      <c r="R24" s="632">
        <f ca="1">结果表!G20</f>
        <v>22011</v>
      </c>
      <c r="S24" s="633">
        <f t="shared" ref="S24:S54" ca="1"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63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c r="U25" s="688"/>
    </row>
    <row r="26" spans="1:45">
      <c r="A26" s="63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63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63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6">
        <f ca="1">SUMIF(B6:B13,"&lt;&gt;#ref!",B6:B13)</f>
        <v>146</v>
      </c>
      <c r="C2" s="1984" t="s">
        <v>2074</v>
      </c>
      <c r="D2" s="1984" t="s">
        <v>2075</v>
      </c>
      <c r="E2" s="2396">
        <f ca="1">SUMIF(E6:E13,"&lt;&gt;#ref!",E6:E13)</f>
        <v>94.12</v>
      </c>
      <c r="F2" s="2542"/>
      <c r="G2" s="2542"/>
      <c r="H2" s="2542"/>
      <c r="I2" s="2542"/>
      <c r="J2" s="2542"/>
      <c r="K2" s="2542"/>
      <c r="L2" s="2542"/>
      <c r="M2" s="2542"/>
      <c r="N2" s="2542"/>
      <c r="O2" s="2542"/>
      <c r="P2" s="2542"/>
    </row>
    <row r="3" spans="1:16" ht="15.75">
      <c r="A3" s="1984" t="s">
        <v>2076</v>
      </c>
      <c r="B3" s="2386">
        <f ca="1">ROUND(B2*10000/E2,0)</f>
        <v>15512</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5"/>
      <c r="D5" s="2542"/>
      <c r="E5" s="2395" t="s">
        <v>2079</v>
      </c>
      <c r="F5" s="2542"/>
      <c r="G5" s="2542"/>
      <c r="H5" s="2542"/>
      <c r="I5" s="2542"/>
      <c r="J5" s="2542"/>
      <c r="K5" s="2542"/>
      <c r="L5" s="2542"/>
      <c r="M5" s="2542"/>
      <c r="N5" s="2542"/>
      <c r="O5" s="2542"/>
      <c r="P5" s="2542"/>
    </row>
    <row r="6" spans="1:16" ht="15.75">
      <c r="A6" s="2393" t="s">
        <v>2080</v>
      </c>
      <c r="B6" s="2386">
        <f ca="1">SUMIF(INDIRECT("'"&amp;A6&amp;"'"&amp;"!A:A"),"总价",INDIRECT("'"&amp;A6&amp;"'"&amp;"!B:B"))</f>
        <v>146</v>
      </c>
      <c r="C6" s="1984" t="s">
        <v>2074</v>
      </c>
      <c r="D6" s="2542"/>
      <c r="E6" s="2396">
        <f ca="1">SUMIF(INDIRECT("'"&amp;A6&amp;"'"&amp;"!C:C"),"建筑面积",INDIRECT("'"&amp;A6&amp;"'"&amp;"!D:D"))</f>
        <v>94.12</v>
      </c>
      <c r="F6" s="2542"/>
      <c r="G6" s="2542"/>
      <c r="H6" s="2542"/>
      <c r="I6" s="2542"/>
      <c r="J6" s="2542"/>
      <c r="K6" s="2542"/>
      <c r="L6" s="2542"/>
      <c r="M6" s="2542"/>
      <c r="N6" s="2542"/>
      <c r="O6" s="2542"/>
      <c r="P6" s="2542"/>
    </row>
    <row r="7" spans="1:16" ht="15.7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C16" zoomScaleNormal="100" workbookViewId="0">
      <selection activeCell="I18" sqref="I18"/>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476" t="s">
        <v>2609</v>
      </c>
      <c r="B20" s="3471" t="s">
        <v>2630</v>
      </c>
      <c r="C20" s="2840" t="s">
        <v>2441</v>
      </c>
      <c r="D20" s="2841"/>
      <c r="E20" s="2842">
        <v>1</v>
      </c>
      <c r="F20" s="2843" t="s">
        <v>2442</v>
      </c>
      <c r="G20" s="2843"/>
    </row>
    <row r="21" spans="1:13" ht="19.5" customHeight="1">
      <c r="A21" s="3477"/>
      <c r="B21" s="3470"/>
      <c r="C21" s="2844" t="s">
        <v>2443</v>
      </c>
      <c r="D21" s="2845"/>
      <c r="E21" s="2846">
        <v>1</v>
      </c>
      <c r="F21" s="2843" t="s">
        <v>2444</v>
      </c>
      <c r="G21" s="2843"/>
    </row>
    <row r="22" spans="1:13" ht="19.5" customHeight="1">
      <c r="A22" s="3477"/>
      <c r="B22" s="3470"/>
      <c r="C22" s="2844" t="s">
        <v>2445</v>
      </c>
      <c r="D22" s="2845"/>
      <c r="E22" s="2846">
        <v>0.9</v>
      </c>
      <c r="F22" s="2843" t="s">
        <v>2446</v>
      </c>
      <c r="G22" s="2843"/>
    </row>
    <row r="23" spans="1:13" ht="19.5" customHeight="1">
      <c r="A23" s="3477"/>
      <c r="B23" s="3470"/>
      <c r="C23" s="2844" t="s">
        <v>2447</v>
      </c>
      <c r="D23" s="2845"/>
      <c r="E23" s="2846">
        <v>0.9</v>
      </c>
      <c r="F23" s="2843" t="s">
        <v>2448</v>
      </c>
      <c r="G23" s="2843"/>
    </row>
    <row r="24" spans="1:13" ht="19.5" customHeight="1">
      <c r="A24" s="3477"/>
      <c r="B24" s="3470"/>
      <c r="C24" s="2844" t="s">
        <v>2449</v>
      </c>
      <c r="D24" s="2845"/>
      <c r="E24" s="2846">
        <v>0.8</v>
      </c>
      <c r="F24" s="2843" t="s">
        <v>2450</v>
      </c>
      <c r="G24" s="2843"/>
    </row>
    <row r="25" spans="1:13" ht="19.5" customHeight="1" thickBot="1">
      <c r="A25" s="3478"/>
      <c r="B25" s="3472"/>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473" t="s">
        <v>2633</v>
      </c>
      <c r="B27" s="3471" t="s">
        <v>2614</v>
      </c>
      <c r="C27" s="2840" t="s">
        <v>2454</v>
      </c>
      <c r="D27" s="2841"/>
      <c r="E27" s="2842">
        <v>1</v>
      </c>
      <c r="F27" s="2843" t="s">
        <v>2455</v>
      </c>
      <c r="G27" s="2843"/>
    </row>
    <row r="28" spans="1:13" ht="19.5" customHeight="1">
      <c r="A28" s="3474"/>
      <c r="B28" s="3470"/>
      <c r="C28" s="2844" t="s">
        <v>2456</v>
      </c>
      <c r="D28" s="2845"/>
      <c r="E28" s="2846">
        <v>1</v>
      </c>
      <c r="F28" s="2843" t="s">
        <v>2457</v>
      </c>
      <c r="G28" s="2843"/>
    </row>
    <row r="29" spans="1:13" ht="19.5" customHeight="1">
      <c r="A29" s="3474"/>
      <c r="B29" s="3470"/>
      <c r="C29" s="2844" t="s">
        <v>2458</v>
      </c>
      <c r="D29" s="2845"/>
      <c r="E29" s="2846">
        <v>0.8</v>
      </c>
      <c r="F29" s="2843" t="s">
        <v>2459</v>
      </c>
      <c r="G29" s="2843"/>
    </row>
    <row r="30" spans="1:13" ht="19.5" customHeight="1">
      <c r="A30" s="3474"/>
      <c r="B30" s="3470"/>
      <c r="C30" s="2844" t="s">
        <v>2460</v>
      </c>
      <c r="D30" s="2845"/>
      <c r="E30" s="2846">
        <v>0.8</v>
      </c>
      <c r="F30" s="2843" t="s">
        <v>2461</v>
      </c>
      <c r="G30" s="2843"/>
    </row>
    <row r="31" spans="1:13" ht="19.5" customHeight="1">
      <c r="A31" s="3474"/>
      <c r="B31" s="3470"/>
      <c r="C31" s="2844" t="s">
        <v>2462</v>
      </c>
      <c r="D31" s="2845"/>
      <c r="E31" s="2846">
        <v>0.8</v>
      </c>
      <c r="F31" s="2843" t="s">
        <v>2463</v>
      </c>
      <c r="G31" s="2843"/>
    </row>
    <row r="32" spans="1:13" ht="19.5" customHeight="1">
      <c r="A32" s="3474"/>
      <c r="B32" s="3470"/>
      <c r="C32" s="2844" t="s">
        <v>2464</v>
      </c>
      <c r="D32" s="2845"/>
      <c r="E32" s="2846">
        <v>0.7</v>
      </c>
      <c r="F32" s="2843" t="s">
        <v>2465</v>
      </c>
      <c r="G32" s="2843"/>
    </row>
    <row r="33" spans="1:7" ht="19.5" customHeight="1">
      <c r="A33" s="3474"/>
      <c r="B33" s="3470"/>
      <c r="C33" s="2844" t="s">
        <v>2466</v>
      </c>
      <c r="D33" s="2845"/>
      <c r="E33" s="2846">
        <v>0.8</v>
      </c>
      <c r="F33" s="2843" t="s">
        <v>2467</v>
      </c>
      <c r="G33" s="2843"/>
    </row>
    <row r="34" spans="1:7" ht="19.5" customHeight="1">
      <c r="A34" s="3474"/>
      <c r="B34" s="3470"/>
      <c r="C34" s="2844" t="s">
        <v>2468</v>
      </c>
      <c r="D34" s="2845"/>
      <c r="E34" s="2846">
        <v>0.6</v>
      </c>
      <c r="F34" s="2843" t="s">
        <v>2469</v>
      </c>
      <c r="G34" s="2843"/>
    </row>
    <row r="35" spans="1:7" ht="19.5" customHeight="1">
      <c r="A35" s="3474"/>
      <c r="B35" s="3470"/>
      <c r="C35" s="2844" t="s">
        <v>2470</v>
      </c>
      <c r="D35" s="2845"/>
      <c r="E35" s="2846">
        <v>0.2</v>
      </c>
      <c r="F35" s="2843" t="s">
        <v>2471</v>
      </c>
      <c r="G35" s="2843"/>
    </row>
    <row r="36" spans="1:7" ht="19.5" customHeight="1">
      <c r="A36" s="3474"/>
      <c r="B36" s="3470"/>
      <c r="C36" s="2844" t="s">
        <v>2472</v>
      </c>
      <c r="D36" s="2845"/>
      <c r="E36" s="2846">
        <v>0.2</v>
      </c>
      <c r="F36" s="2843" t="s">
        <v>2473</v>
      </c>
      <c r="G36" s="2843"/>
    </row>
    <row r="37" spans="1:7" ht="19.5" customHeight="1">
      <c r="A37" s="3474"/>
      <c r="B37" s="3468" t="s">
        <v>2634</v>
      </c>
      <c r="C37" s="2844" t="s">
        <v>2474</v>
      </c>
      <c r="D37" s="2845"/>
      <c r="E37" s="2846">
        <v>0.6</v>
      </c>
      <c r="F37" s="2843" t="s">
        <v>2475</v>
      </c>
      <c r="G37" s="2843"/>
    </row>
    <row r="38" spans="1:7" ht="19.5" customHeight="1">
      <c r="A38" s="3474"/>
      <c r="B38" s="3470"/>
      <c r="C38" s="2844" t="s">
        <v>2476</v>
      </c>
      <c r="D38" s="2845"/>
      <c r="E38" s="2846">
        <v>0.6</v>
      </c>
      <c r="F38" s="2843" t="s">
        <v>2477</v>
      </c>
      <c r="G38" s="2843"/>
    </row>
    <row r="39" spans="1:7" ht="19.5" customHeight="1" thickBot="1">
      <c r="A39" s="3475"/>
      <c r="B39" s="3472"/>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476" t="s">
        <v>2612</v>
      </c>
      <c r="B41" s="3471" t="s">
        <v>2636</v>
      </c>
      <c r="C41" s="2840" t="s">
        <v>2481</v>
      </c>
      <c r="D41" s="2841"/>
      <c r="E41" s="2842">
        <v>1</v>
      </c>
      <c r="F41" s="2843" t="s">
        <v>2482</v>
      </c>
      <c r="G41" s="2843"/>
    </row>
    <row r="42" spans="1:7" ht="19.5" customHeight="1">
      <c r="A42" s="3477"/>
      <c r="B42" s="3470"/>
      <c r="C42" s="2844" t="s">
        <v>2483</v>
      </c>
      <c r="D42" s="2845"/>
      <c r="E42" s="2846">
        <v>1</v>
      </c>
      <c r="F42" s="2843" t="s">
        <v>2484</v>
      </c>
      <c r="G42" s="2843"/>
    </row>
    <row r="43" spans="1:7" ht="19.5" customHeight="1">
      <c r="A43" s="3477"/>
      <c r="B43" s="3469"/>
      <c r="C43" s="2844" t="s">
        <v>2485</v>
      </c>
      <c r="D43" s="2845"/>
      <c r="E43" s="2846">
        <v>1.5</v>
      </c>
      <c r="F43" s="2843" t="s">
        <v>2486</v>
      </c>
      <c r="G43" s="2843"/>
    </row>
    <row r="44" spans="1:7" ht="19.5" customHeight="1">
      <c r="A44" s="3477"/>
      <c r="B44" s="2855" t="s">
        <v>2637</v>
      </c>
      <c r="C44" s="2844" t="s">
        <v>2638</v>
      </c>
      <c r="D44" s="2845"/>
      <c r="E44" s="2846">
        <v>2</v>
      </c>
      <c r="F44" s="2843" t="s">
        <v>2487</v>
      </c>
      <c r="G44" s="2843"/>
    </row>
    <row r="45" spans="1:7" ht="19.5" customHeight="1">
      <c r="A45" s="3477"/>
      <c r="B45" s="3468" t="s">
        <v>2639</v>
      </c>
      <c r="C45" s="2844" t="s">
        <v>2488</v>
      </c>
      <c r="D45" s="2845"/>
      <c r="E45" s="2846">
        <v>1</v>
      </c>
      <c r="F45" s="2843" t="s">
        <v>2489</v>
      </c>
      <c r="G45" s="2843"/>
    </row>
    <row r="46" spans="1:7" ht="19.5" customHeight="1">
      <c r="A46" s="3477"/>
      <c r="B46" s="3470"/>
      <c r="C46" s="2844" t="s">
        <v>2490</v>
      </c>
      <c r="D46" s="2845"/>
      <c r="E46" s="2846">
        <v>1</v>
      </c>
      <c r="F46" s="2843" t="s">
        <v>2491</v>
      </c>
      <c r="G46" s="2843"/>
    </row>
    <row r="47" spans="1:7" ht="19.5" customHeight="1">
      <c r="A47" s="3477"/>
      <c r="B47" s="3470"/>
      <c r="C47" s="2844" t="s">
        <v>2492</v>
      </c>
      <c r="D47" s="2845"/>
      <c r="E47" s="2846">
        <v>1</v>
      </c>
      <c r="F47" s="2843" t="s">
        <v>2493</v>
      </c>
      <c r="G47" s="2843"/>
    </row>
    <row r="48" spans="1:7" ht="19.5" customHeight="1">
      <c r="A48" s="3477"/>
      <c r="B48" s="3470"/>
      <c r="C48" s="2844" t="s">
        <v>2494</v>
      </c>
      <c r="D48" s="2845"/>
      <c r="E48" s="2846">
        <v>1</v>
      </c>
      <c r="F48" s="2843" t="s">
        <v>2495</v>
      </c>
      <c r="G48" s="2843"/>
    </row>
    <row r="49" spans="1:7" ht="19.5" customHeight="1">
      <c r="A49" s="3477"/>
      <c r="B49" s="3470"/>
      <c r="C49" s="2844" t="s">
        <v>2496</v>
      </c>
      <c r="D49" s="2845"/>
      <c r="E49" s="2846">
        <v>1</v>
      </c>
      <c r="F49" s="2843" t="s">
        <v>2497</v>
      </c>
      <c r="G49" s="2843"/>
    </row>
    <row r="50" spans="1:7" ht="19.5" customHeight="1">
      <c r="A50" s="3477"/>
      <c r="B50" s="3470"/>
      <c r="C50" s="2844" t="s">
        <v>2498</v>
      </c>
      <c r="D50" s="2845"/>
      <c r="E50" s="2846">
        <v>1</v>
      </c>
      <c r="F50" s="2843" t="s">
        <v>2499</v>
      </c>
      <c r="G50" s="2843"/>
    </row>
    <row r="51" spans="1:7" ht="19.5" customHeight="1" thickBot="1">
      <c r="A51" s="3478"/>
      <c r="B51" s="3472"/>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3.5">
      <c r="A72" s="2855"/>
      <c r="B72" s="2855"/>
      <c r="C72" s="2855" t="s">
        <v>2652</v>
      </c>
      <c r="D72" s="2855"/>
      <c r="E72" s="2855" t="s">
        <v>2623</v>
      </c>
      <c r="F72" s="2855" t="s">
        <v>2623</v>
      </c>
    </row>
    <row r="73" spans="1:7" ht="13.5">
      <c r="A73" s="2855">
        <v>1</v>
      </c>
      <c r="B73" s="3468" t="s">
        <v>2653</v>
      </c>
      <c r="C73" s="2829" t="s">
        <v>2654</v>
      </c>
      <c r="D73" s="2829" t="s">
        <v>2655</v>
      </c>
      <c r="E73" s="2855">
        <v>0.2</v>
      </c>
      <c r="F73" s="2855">
        <v>25</v>
      </c>
    </row>
    <row r="74" spans="1:7" ht="24">
      <c r="A74" s="2855">
        <v>2</v>
      </c>
      <c r="B74" s="3470"/>
      <c r="C74" s="2829" t="s">
        <v>2656</v>
      </c>
      <c r="D74" s="2829" t="s">
        <v>2657</v>
      </c>
      <c r="E74" s="2855">
        <v>0.2</v>
      </c>
      <c r="F74" s="2855">
        <v>25</v>
      </c>
    </row>
    <row r="75" spans="1:7" ht="24">
      <c r="A75" s="2855">
        <v>3</v>
      </c>
      <c r="B75" s="3470"/>
      <c r="C75" s="2829" t="s">
        <v>2658</v>
      </c>
      <c r="D75" s="2829" t="s">
        <v>2659</v>
      </c>
      <c r="E75" s="2855">
        <v>0.2</v>
      </c>
      <c r="F75" s="2855">
        <v>25</v>
      </c>
    </row>
    <row r="76" spans="1:7" ht="13.5">
      <c r="A76" s="2855">
        <v>4</v>
      </c>
      <c r="B76" s="3470"/>
      <c r="C76" s="2829" t="s">
        <v>2660</v>
      </c>
      <c r="D76" s="2829" t="s">
        <v>2661</v>
      </c>
      <c r="E76" s="2855">
        <v>0.15</v>
      </c>
      <c r="F76" s="2855">
        <v>20</v>
      </c>
    </row>
    <row r="77" spans="1:7" ht="24">
      <c r="A77" s="2855">
        <v>5</v>
      </c>
      <c r="B77" s="3470"/>
      <c r="C77" s="2829" t="s">
        <v>2662</v>
      </c>
      <c r="D77" s="2829" t="s">
        <v>2663</v>
      </c>
      <c r="E77" s="2855">
        <v>0.15</v>
      </c>
      <c r="F77" s="2855">
        <v>20</v>
      </c>
    </row>
    <row r="78" spans="1:7" ht="24">
      <c r="A78" s="2855">
        <v>6</v>
      </c>
      <c r="B78" s="3470"/>
      <c r="C78" s="2829" t="s">
        <v>2664</v>
      </c>
      <c r="D78" s="2829" t="s">
        <v>2665</v>
      </c>
      <c r="E78" s="2855">
        <v>0.15</v>
      </c>
      <c r="F78" s="2855">
        <v>20</v>
      </c>
    </row>
    <row r="79" spans="1:7" ht="24">
      <c r="A79" s="2855">
        <v>7</v>
      </c>
      <c r="B79" s="3470"/>
      <c r="C79" s="2829" t="s">
        <v>2666</v>
      </c>
      <c r="D79" s="2829" t="s">
        <v>2667</v>
      </c>
      <c r="E79" s="2855">
        <v>0.15</v>
      </c>
      <c r="F79" s="2855">
        <v>20</v>
      </c>
    </row>
    <row r="80" spans="1:7" ht="24">
      <c r="A80" s="2855">
        <v>8</v>
      </c>
      <c r="B80" s="3470"/>
      <c r="C80" s="2829" t="s">
        <v>2668</v>
      </c>
      <c r="D80" s="2829" t="s">
        <v>2669</v>
      </c>
      <c r="E80" s="2855">
        <v>0.1</v>
      </c>
      <c r="F80" s="2855">
        <v>15</v>
      </c>
    </row>
    <row r="81" spans="1:6" ht="24">
      <c r="A81" s="2855">
        <v>9</v>
      </c>
      <c r="B81" s="3470"/>
      <c r="C81" s="2829" t="s">
        <v>2670</v>
      </c>
      <c r="D81" s="2829" t="s">
        <v>2671</v>
      </c>
      <c r="E81" s="2855">
        <v>0.1</v>
      </c>
      <c r="F81" s="2855">
        <v>15</v>
      </c>
    </row>
    <row r="82" spans="1:6" ht="24">
      <c r="A82" s="2855">
        <v>10</v>
      </c>
      <c r="B82" s="3470"/>
      <c r="C82" s="2829" t="s">
        <v>2672</v>
      </c>
      <c r="D82" s="2829" t="s">
        <v>2673</v>
      </c>
      <c r="E82" s="2855">
        <v>0.1</v>
      </c>
      <c r="F82" s="2855">
        <v>15</v>
      </c>
    </row>
    <row r="83" spans="1:6" ht="24">
      <c r="A83" s="2855">
        <v>11</v>
      </c>
      <c r="B83" s="3470"/>
      <c r="C83" s="2829" t="s">
        <v>2674</v>
      </c>
      <c r="D83" s="2829" t="s">
        <v>2675</v>
      </c>
      <c r="E83" s="2855">
        <v>0.1</v>
      </c>
      <c r="F83" s="2855">
        <v>15</v>
      </c>
    </row>
    <row r="84" spans="1:6" ht="24">
      <c r="A84" s="2855">
        <v>12</v>
      </c>
      <c r="B84" s="3470"/>
      <c r="C84" s="2829" t="s">
        <v>2676</v>
      </c>
      <c r="D84" s="2829" t="s">
        <v>2677</v>
      </c>
      <c r="E84" s="2855">
        <v>0.1</v>
      </c>
      <c r="F84" s="2855">
        <v>15</v>
      </c>
    </row>
    <row r="85" spans="1:6" ht="13.5">
      <c r="A85" s="2855">
        <v>13</v>
      </c>
      <c r="B85" s="3470"/>
      <c r="C85" s="2829" t="s">
        <v>2678</v>
      </c>
      <c r="D85" s="2829" t="s">
        <v>2679</v>
      </c>
      <c r="E85" s="2855">
        <v>0.1</v>
      </c>
      <c r="F85" s="2855">
        <v>15</v>
      </c>
    </row>
    <row r="86" spans="1:6" ht="13.5">
      <c r="A86" s="2855">
        <v>14</v>
      </c>
      <c r="B86" s="3470"/>
      <c r="C86" s="2829" t="s">
        <v>2680</v>
      </c>
      <c r="D86" s="2829" t="s">
        <v>2681</v>
      </c>
      <c r="E86" s="2855">
        <v>0.1</v>
      </c>
      <c r="F86" s="2855">
        <v>15</v>
      </c>
    </row>
    <row r="87" spans="1:6" ht="13.5">
      <c r="A87" s="2855">
        <v>15</v>
      </c>
      <c r="B87" s="3470"/>
      <c r="C87" s="2829" t="s">
        <v>2682</v>
      </c>
      <c r="D87" s="2829" t="s">
        <v>2683</v>
      </c>
      <c r="E87" s="2855">
        <v>0.1</v>
      </c>
      <c r="F87" s="2855">
        <v>15</v>
      </c>
    </row>
    <row r="88" spans="1:6" ht="24">
      <c r="A88" s="2855">
        <v>16</v>
      </c>
      <c r="B88" s="3470"/>
      <c r="C88" s="2829" t="s">
        <v>2684</v>
      </c>
      <c r="D88" s="2829" t="s">
        <v>2685</v>
      </c>
      <c r="E88" s="2855">
        <v>0.1</v>
      </c>
      <c r="F88" s="2855">
        <v>15</v>
      </c>
    </row>
    <row r="89" spans="1:6" ht="24">
      <c r="A89" s="2855">
        <v>17</v>
      </c>
      <c r="B89" s="3469"/>
      <c r="C89" s="2829" t="s">
        <v>2686</v>
      </c>
      <c r="D89" s="2829" t="s">
        <v>2687</v>
      </c>
      <c r="E89" s="2855">
        <v>0.1</v>
      </c>
      <c r="F89" s="2855">
        <v>15</v>
      </c>
    </row>
    <row r="90" spans="1:6" ht="13.5">
      <c r="A90" s="2855">
        <v>18</v>
      </c>
      <c r="B90" s="3468" t="s">
        <v>2688</v>
      </c>
      <c r="C90" s="2829" t="s">
        <v>2689</v>
      </c>
      <c r="D90" s="2829" t="s">
        <v>2690</v>
      </c>
      <c r="E90" s="2855">
        <v>0.2</v>
      </c>
      <c r="F90" s="2855">
        <v>25</v>
      </c>
    </row>
    <row r="91" spans="1:6" ht="24">
      <c r="A91" s="2855">
        <v>19</v>
      </c>
      <c r="B91" s="3470"/>
      <c r="C91" s="2829" t="s">
        <v>2691</v>
      </c>
      <c r="D91" s="2829" t="s">
        <v>2692</v>
      </c>
      <c r="E91" s="2855">
        <v>0.2</v>
      </c>
      <c r="F91" s="2855">
        <v>25</v>
      </c>
    </row>
    <row r="92" spans="1:6" ht="13.5">
      <c r="A92" s="2855">
        <v>20</v>
      </c>
      <c r="B92" s="3470"/>
      <c r="C92" s="2829" t="s">
        <v>2693</v>
      </c>
      <c r="D92" s="2829" t="s">
        <v>2694</v>
      </c>
      <c r="E92" s="2855">
        <v>0.15</v>
      </c>
      <c r="F92" s="2855">
        <v>20</v>
      </c>
    </row>
    <row r="93" spans="1:6" ht="13.5">
      <c r="A93" s="2855">
        <v>21</v>
      </c>
      <c r="B93" s="3470"/>
      <c r="C93" s="2829" t="s">
        <v>2695</v>
      </c>
      <c r="D93" s="2829" t="s">
        <v>2696</v>
      </c>
      <c r="E93" s="2855">
        <v>0.15</v>
      </c>
      <c r="F93" s="2855">
        <v>20</v>
      </c>
    </row>
    <row r="94" spans="1:6" ht="13.5">
      <c r="A94" s="2855">
        <v>22</v>
      </c>
      <c r="B94" s="3470"/>
      <c r="C94" s="2829" t="s">
        <v>2697</v>
      </c>
      <c r="D94" s="2829" t="s">
        <v>2698</v>
      </c>
      <c r="E94" s="2855">
        <v>0.15</v>
      </c>
      <c r="F94" s="2855">
        <v>20</v>
      </c>
    </row>
    <row r="95" spans="1:6" ht="36">
      <c r="A95" s="2855">
        <v>23</v>
      </c>
      <c r="B95" s="3470"/>
      <c r="C95" s="2829" t="s">
        <v>2699</v>
      </c>
      <c r="D95" s="2829" t="s">
        <v>2700</v>
      </c>
      <c r="E95" s="2855">
        <v>0.15</v>
      </c>
      <c r="F95" s="2855">
        <v>20</v>
      </c>
    </row>
    <row r="96" spans="1:6" ht="13.5">
      <c r="A96" s="2855">
        <v>24</v>
      </c>
      <c r="B96" s="3470"/>
      <c r="C96" s="2829" t="s">
        <v>2701</v>
      </c>
      <c r="D96" s="2829" t="s">
        <v>2702</v>
      </c>
      <c r="E96" s="2855">
        <v>0.1</v>
      </c>
      <c r="F96" s="2855">
        <v>15</v>
      </c>
    </row>
    <row r="97" spans="1:6" ht="13.5">
      <c r="A97" s="2855">
        <v>25</v>
      </c>
      <c r="B97" s="3470"/>
      <c r="C97" s="2829" t="s">
        <v>2703</v>
      </c>
      <c r="D97" s="2829" t="s">
        <v>2704</v>
      </c>
      <c r="E97" s="2855">
        <v>0.1</v>
      </c>
      <c r="F97" s="2855">
        <v>15</v>
      </c>
    </row>
    <row r="98" spans="1:6" ht="24">
      <c r="A98" s="2855">
        <v>26</v>
      </c>
      <c r="B98" s="3470"/>
      <c r="C98" s="2829" t="s">
        <v>2705</v>
      </c>
      <c r="D98" s="2829" t="s">
        <v>2706</v>
      </c>
      <c r="E98" s="2855">
        <v>0.1</v>
      </c>
      <c r="F98" s="2855">
        <v>15</v>
      </c>
    </row>
    <row r="99" spans="1:6" ht="24">
      <c r="A99" s="2855">
        <v>27</v>
      </c>
      <c r="B99" s="3470"/>
      <c r="C99" s="2829" t="s">
        <v>2707</v>
      </c>
      <c r="D99" s="2829" t="s">
        <v>2708</v>
      </c>
      <c r="E99" s="2855">
        <v>0.1</v>
      </c>
      <c r="F99" s="2855">
        <v>15</v>
      </c>
    </row>
    <row r="100" spans="1:6" ht="13.5">
      <c r="A100" s="2855">
        <v>28</v>
      </c>
      <c r="B100" s="3470"/>
      <c r="C100" s="2829" t="s">
        <v>2709</v>
      </c>
      <c r="D100" s="2829" t="s">
        <v>2710</v>
      </c>
      <c r="E100" s="2855">
        <v>0.1</v>
      </c>
      <c r="F100" s="2855">
        <v>15</v>
      </c>
    </row>
    <row r="101" spans="1:6" ht="13.5">
      <c r="A101" s="2855">
        <v>29</v>
      </c>
      <c r="B101" s="3470"/>
      <c r="C101" s="2829" t="s">
        <v>2711</v>
      </c>
      <c r="D101" s="2829" t="s">
        <v>2712</v>
      </c>
      <c r="E101" s="2855">
        <v>0.1</v>
      </c>
      <c r="F101" s="2855">
        <v>15</v>
      </c>
    </row>
    <row r="102" spans="1:6" ht="13.5">
      <c r="A102" s="2855">
        <v>30</v>
      </c>
      <c r="B102" s="3470"/>
      <c r="C102" s="2829" t="s">
        <v>2713</v>
      </c>
      <c r="D102" s="2829" t="s">
        <v>2714</v>
      </c>
      <c r="E102" s="2855">
        <v>0.1</v>
      </c>
      <c r="F102" s="2855">
        <v>15</v>
      </c>
    </row>
    <row r="103" spans="1:6" ht="24">
      <c r="A103" s="2855">
        <v>31</v>
      </c>
      <c r="B103" s="3470"/>
      <c r="C103" s="2829" t="s">
        <v>2715</v>
      </c>
      <c r="D103" s="2829" t="s">
        <v>2716</v>
      </c>
      <c r="E103" s="2855">
        <v>0.1</v>
      </c>
      <c r="F103" s="2855">
        <v>15</v>
      </c>
    </row>
    <row r="104" spans="1:6" ht="24">
      <c r="A104" s="2855">
        <v>32</v>
      </c>
      <c r="B104" s="3470"/>
      <c r="C104" s="2829" t="s">
        <v>2717</v>
      </c>
      <c r="D104" s="2829" t="s">
        <v>2718</v>
      </c>
      <c r="E104" s="2855">
        <v>0.1</v>
      </c>
      <c r="F104" s="2855">
        <v>15</v>
      </c>
    </row>
    <row r="105" spans="1:6" ht="24">
      <c r="A105" s="2855">
        <v>33</v>
      </c>
      <c r="B105" s="3470"/>
      <c r="C105" s="2829" t="s">
        <v>2719</v>
      </c>
      <c r="D105" s="2829" t="s">
        <v>2720</v>
      </c>
      <c r="E105" s="2855">
        <v>0.1</v>
      </c>
      <c r="F105" s="2855">
        <v>15</v>
      </c>
    </row>
    <row r="106" spans="1:6" ht="24">
      <c r="A106" s="2855">
        <v>34</v>
      </c>
      <c r="B106" s="3469"/>
      <c r="C106" s="2829" t="s">
        <v>2721</v>
      </c>
      <c r="D106" s="2829" t="s">
        <v>2722</v>
      </c>
      <c r="E106" s="2855">
        <v>0.1</v>
      </c>
      <c r="F106" s="2855">
        <v>15</v>
      </c>
    </row>
    <row r="107" spans="1:6" ht="24">
      <c r="A107" s="2855">
        <v>35</v>
      </c>
      <c r="B107" s="3468" t="s">
        <v>2723</v>
      </c>
      <c r="C107" s="2855" t="s">
        <v>2724</v>
      </c>
      <c r="D107" s="2829" t="s">
        <v>2725</v>
      </c>
      <c r="E107" s="2855">
        <v>0.15</v>
      </c>
      <c r="F107" s="2855">
        <v>20</v>
      </c>
    </row>
    <row r="108" spans="1:6" ht="13.5">
      <c r="A108" s="2855">
        <v>36</v>
      </c>
      <c r="B108" s="3470"/>
      <c r="C108" s="2855" t="s">
        <v>2726</v>
      </c>
      <c r="D108" s="2829" t="s">
        <v>2727</v>
      </c>
      <c r="E108" s="2855">
        <v>0.15</v>
      </c>
      <c r="F108" s="2855">
        <v>20</v>
      </c>
    </row>
    <row r="109" spans="1:6" ht="13.5">
      <c r="A109" s="2855">
        <v>37</v>
      </c>
      <c r="B109" s="3470"/>
      <c r="C109" s="2855" t="s">
        <v>2728</v>
      </c>
      <c r="D109" s="2829" t="s">
        <v>2729</v>
      </c>
      <c r="E109" s="2855">
        <v>0.15</v>
      </c>
      <c r="F109" s="2855">
        <v>20</v>
      </c>
    </row>
    <row r="110" spans="1:6" ht="13.5">
      <c r="A110" s="2855">
        <v>38</v>
      </c>
      <c r="B110" s="3470"/>
      <c r="C110" s="2855" t="s">
        <v>2730</v>
      </c>
      <c r="D110" s="2829" t="s">
        <v>2731</v>
      </c>
      <c r="E110" s="2855">
        <v>0.1</v>
      </c>
      <c r="F110" s="2855">
        <v>15</v>
      </c>
    </row>
    <row r="111" spans="1:6" ht="24">
      <c r="A111" s="2855">
        <v>39</v>
      </c>
      <c r="B111" s="3470"/>
      <c r="C111" s="2855" t="s">
        <v>2732</v>
      </c>
      <c r="D111" s="2829" t="s">
        <v>2733</v>
      </c>
      <c r="E111" s="2855">
        <v>0.1</v>
      </c>
      <c r="F111" s="2855">
        <v>15</v>
      </c>
    </row>
    <row r="112" spans="1:6" ht="24">
      <c r="A112" s="2855">
        <v>40</v>
      </c>
      <c r="B112" s="3469"/>
      <c r="C112" s="2855" t="s">
        <v>2734</v>
      </c>
      <c r="D112" s="2829" t="s">
        <v>2735</v>
      </c>
      <c r="E112" s="2855">
        <v>0.1</v>
      </c>
      <c r="F112" s="2855">
        <v>15</v>
      </c>
    </row>
    <row r="113" spans="1:6" ht="13.5">
      <c r="A113" s="2855">
        <v>41</v>
      </c>
      <c r="B113" s="3467" t="s">
        <v>2736</v>
      </c>
      <c r="C113" s="2855" t="s">
        <v>2737</v>
      </c>
      <c r="D113" s="2829" t="s">
        <v>2738</v>
      </c>
      <c r="E113" s="2855">
        <v>0.1</v>
      </c>
      <c r="F113" s="2855">
        <v>15</v>
      </c>
    </row>
    <row r="114" spans="1:6" ht="13.5">
      <c r="A114" s="2855">
        <v>42</v>
      </c>
      <c r="B114" s="3467"/>
      <c r="C114" s="2855" t="s">
        <v>2739</v>
      </c>
      <c r="D114" s="2829" t="s">
        <v>2740</v>
      </c>
      <c r="E114" s="2855">
        <v>0.1</v>
      </c>
      <c r="F114" s="2855">
        <v>15</v>
      </c>
    </row>
    <row r="115" spans="1:6" ht="24">
      <c r="A115" s="2855">
        <v>43</v>
      </c>
      <c r="B115" s="3467"/>
      <c r="C115" s="2855" t="s">
        <v>2741</v>
      </c>
      <c r="D115" s="2829" t="s">
        <v>2742</v>
      </c>
      <c r="E115" s="2855">
        <v>0.1</v>
      </c>
      <c r="F115" s="2855">
        <v>15</v>
      </c>
    </row>
    <row r="116" spans="1:6" ht="13.5">
      <c r="A116" s="2855">
        <v>44</v>
      </c>
      <c r="B116" s="3468" t="s">
        <v>2743</v>
      </c>
      <c r="C116" s="2855" t="s">
        <v>2744</v>
      </c>
      <c r="D116" s="2829" t="s">
        <v>2745</v>
      </c>
      <c r="E116" s="2855">
        <v>0.1</v>
      </c>
      <c r="F116" s="2855">
        <v>15</v>
      </c>
    </row>
    <row r="117" spans="1:6" ht="24">
      <c r="A117" s="2855">
        <v>45</v>
      </c>
      <c r="B117" s="3469"/>
      <c r="C117" s="2829" t="s">
        <v>2746</v>
      </c>
      <c r="D117" s="2829" t="s">
        <v>2747</v>
      </c>
      <c r="E117" s="2855">
        <v>0.1</v>
      </c>
      <c r="F117" s="2855">
        <v>15</v>
      </c>
    </row>
    <row r="118" spans="1:6" ht="24">
      <c r="A118" s="2855">
        <v>46</v>
      </c>
      <c r="B118" s="3468" t="s">
        <v>2748</v>
      </c>
      <c r="C118" s="2855" t="s">
        <v>2749</v>
      </c>
      <c r="D118" s="2829" t="s">
        <v>2750</v>
      </c>
      <c r="E118" s="2855">
        <v>0.1</v>
      </c>
      <c r="F118" s="2855">
        <v>15</v>
      </c>
    </row>
    <row r="119" spans="1:6" ht="24">
      <c r="A119" s="2855">
        <v>47</v>
      </c>
      <c r="B119" s="3469"/>
      <c r="C119" s="2855" t="s">
        <v>2751</v>
      </c>
      <c r="D119" s="2829" t="s">
        <v>2752</v>
      </c>
      <c r="E119" s="2855">
        <v>0.1</v>
      </c>
      <c r="F119" s="2855">
        <v>15</v>
      </c>
    </row>
    <row r="120" spans="1:6" ht="13.5">
      <c r="A120" s="2855">
        <v>48</v>
      </c>
      <c r="B120" s="3468" t="s">
        <v>2753</v>
      </c>
      <c r="C120" s="2855" t="s">
        <v>2754</v>
      </c>
      <c r="D120" s="2829" t="s">
        <v>2755</v>
      </c>
      <c r="E120" s="2855">
        <v>0.1</v>
      </c>
      <c r="F120" s="2855">
        <v>15</v>
      </c>
    </row>
    <row r="121" spans="1:6" ht="13.5">
      <c r="A121" s="2855">
        <v>49</v>
      </c>
      <c r="B121" s="3469"/>
      <c r="C121" s="2855" t="s">
        <v>2756</v>
      </c>
      <c r="D121" s="2829" t="s">
        <v>2757</v>
      </c>
      <c r="E121" s="2855">
        <v>0.1</v>
      </c>
      <c r="F121" s="2855">
        <v>15</v>
      </c>
    </row>
    <row r="122" spans="1:6" ht="24">
      <c r="A122" s="2855">
        <v>50</v>
      </c>
      <c r="B122" s="3467" t="s">
        <v>2758</v>
      </c>
      <c r="C122" s="2855" t="s">
        <v>2759</v>
      </c>
      <c r="D122" s="2829" t="s">
        <v>2760</v>
      </c>
      <c r="E122" s="2855">
        <v>0.1</v>
      </c>
      <c r="F122" s="2855">
        <v>15</v>
      </c>
    </row>
    <row r="123" spans="1:6" ht="24">
      <c r="A123" s="2855">
        <v>51</v>
      </c>
      <c r="B123" s="3467"/>
      <c r="C123" s="2855" t="s">
        <v>2761</v>
      </c>
      <c r="D123" s="2829" t="s">
        <v>2762</v>
      </c>
      <c r="E123" s="2855">
        <v>0.1</v>
      </c>
      <c r="F123" s="2855">
        <v>15</v>
      </c>
    </row>
    <row r="124" spans="1:6" ht="24">
      <c r="A124" s="2855">
        <v>52</v>
      </c>
      <c r="B124" s="3467" t="s">
        <v>2763</v>
      </c>
      <c r="C124" s="2855" t="s">
        <v>2764</v>
      </c>
      <c r="D124" s="2829" t="s">
        <v>2765</v>
      </c>
      <c r="E124" s="2855">
        <v>0.1</v>
      </c>
      <c r="F124" s="2855">
        <v>15</v>
      </c>
    </row>
    <row r="125" spans="1:6" ht="24">
      <c r="A125" s="2855">
        <v>53</v>
      </c>
      <c r="B125" s="3467"/>
      <c r="C125" s="2855" t="s">
        <v>2766</v>
      </c>
      <c r="D125" s="2829" t="s">
        <v>2767</v>
      </c>
      <c r="E125" s="2855">
        <v>0.1</v>
      </c>
      <c r="F125" s="2855">
        <v>15</v>
      </c>
    </row>
    <row r="126" spans="1:6" ht="13.5">
      <c r="A126" s="2855">
        <v>54</v>
      </c>
      <c r="B126" s="2855" t="s">
        <v>2768</v>
      </c>
      <c r="C126" s="2855" t="s">
        <v>2769</v>
      </c>
      <c r="D126" s="2829" t="s">
        <v>2770</v>
      </c>
      <c r="E126" s="2855">
        <v>0.1</v>
      </c>
      <c r="F126" s="2855">
        <v>15</v>
      </c>
    </row>
    <row r="127" spans="1:6" ht="13.5">
      <c r="A127" s="2855">
        <v>55</v>
      </c>
      <c r="B127" s="3467" t="s">
        <v>2771</v>
      </c>
      <c r="C127" s="2855" t="s">
        <v>2772</v>
      </c>
      <c r="D127" s="2829" t="s">
        <v>2773</v>
      </c>
      <c r="E127" s="2855">
        <v>0.1</v>
      </c>
      <c r="F127" s="2855">
        <v>15</v>
      </c>
    </row>
    <row r="128" spans="1:6" ht="13.5">
      <c r="A128" s="2855">
        <v>56</v>
      </c>
      <c r="B128" s="3467"/>
      <c r="C128" s="2855" t="s">
        <v>2774</v>
      </c>
      <c r="D128" s="2829" t="s">
        <v>2775</v>
      </c>
      <c r="E128" s="2855">
        <v>0.1</v>
      </c>
      <c r="F128" s="2855">
        <v>15</v>
      </c>
    </row>
    <row r="129" spans="1:6" ht="24">
      <c r="A129" s="2855">
        <v>57</v>
      </c>
      <c r="B129" s="3467"/>
      <c r="C129" s="2855" t="s">
        <v>2776</v>
      </c>
      <c r="D129" s="2829" t="s">
        <v>2777</v>
      </c>
      <c r="E129" s="2855">
        <v>0.1</v>
      </c>
      <c r="F129" s="2855">
        <v>15</v>
      </c>
    </row>
    <row r="130" spans="1:6" ht="24">
      <c r="A130" s="2855">
        <v>58</v>
      </c>
      <c r="B130" s="3467" t="s">
        <v>2778</v>
      </c>
      <c r="C130" s="2855" t="s">
        <v>2779</v>
      </c>
      <c r="D130" s="2829" t="s">
        <v>2780</v>
      </c>
      <c r="E130" s="2855">
        <v>0.1</v>
      </c>
      <c r="F130" s="2855">
        <v>15</v>
      </c>
    </row>
    <row r="131" spans="1:6" ht="13.5">
      <c r="A131" s="2855">
        <v>59</v>
      </c>
      <c r="B131" s="3467"/>
      <c r="C131" s="2855" t="s">
        <v>2781</v>
      </c>
      <c r="D131" s="2829" t="s">
        <v>2782</v>
      </c>
      <c r="E131" s="2855">
        <v>0.1</v>
      </c>
      <c r="F131" s="2855">
        <v>15</v>
      </c>
    </row>
    <row r="132" spans="1:6" ht="13.5">
      <c r="A132" s="2855">
        <v>60</v>
      </c>
      <c r="B132" s="3468" t="s">
        <v>2783</v>
      </c>
      <c r="C132" s="2855" t="s">
        <v>2784</v>
      </c>
      <c r="D132" s="2829" t="s">
        <v>2785</v>
      </c>
      <c r="E132" s="2855">
        <v>0.1</v>
      </c>
      <c r="F132" s="2855">
        <v>15</v>
      </c>
    </row>
    <row r="133" spans="1:6" ht="13.5">
      <c r="A133" s="2855">
        <v>61</v>
      </c>
      <c r="B133" s="3469"/>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13.5">
      <c r="A135" s="2855">
        <v>63</v>
      </c>
      <c r="B135" s="3467" t="s">
        <v>2791</v>
      </c>
      <c r="C135" s="2855" t="s">
        <v>2792</v>
      </c>
      <c r="D135" s="2829" t="s">
        <v>2793</v>
      </c>
      <c r="E135" s="2855">
        <v>0.1</v>
      </c>
      <c r="F135" s="2855">
        <v>15</v>
      </c>
    </row>
    <row r="136" spans="1:6" ht="13.5">
      <c r="A136" s="2855">
        <v>64</v>
      </c>
      <c r="B136" s="3467"/>
      <c r="C136" s="2855" t="s">
        <v>2794</v>
      </c>
      <c r="D136" s="2829" t="s">
        <v>2795</v>
      </c>
      <c r="E136" s="2855">
        <v>0.1</v>
      </c>
      <c r="F136" s="2855">
        <v>15</v>
      </c>
    </row>
    <row r="137" spans="1:6" ht="13.5">
      <c r="A137" s="2855">
        <v>65</v>
      </c>
      <c r="B137" s="2855" t="s">
        <v>2796</v>
      </c>
      <c r="C137" s="2855" t="s">
        <v>2797</v>
      </c>
      <c r="D137" s="2829" t="s">
        <v>2798</v>
      </c>
      <c r="E137" s="2855">
        <v>0.1</v>
      </c>
      <c r="F137" s="2855">
        <v>15</v>
      </c>
    </row>
    <row r="138" spans="1:6" ht="13.5">
      <c r="A138" s="2855"/>
      <c r="B138" s="2855"/>
      <c r="C138" s="2855"/>
      <c r="D138" s="2855"/>
      <c r="E138" s="2855" t="s">
        <v>2799</v>
      </c>
      <c r="F138" s="285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8">
      <c r="A3" s="3166" t="str">
        <f>IF(项目基本情况!B9="房地产市场价值","估价结果一览表（市场价值不需“结果表-1”）","估价结果一览表")</f>
        <v>估价结果一览表</v>
      </c>
      <c r="B3" s="3166"/>
      <c r="C3" s="3166"/>
      <c r="D3" s="3166"/>
      <c r="E3" s="3166"/>
    </row>
    <row r="4" spans="1:5" ht="19.5" thickBot="1">
      <c r="A4" s="1391"/>
      <c r="B4" s="3164" t="s">
        <v>917</v>
      </c>
      <c r="C4" s="3164"/>
      <c r="D4" s="3164"/>
      <c r="E4" s="1391"/>
    </row>
    <row r="5" spans="1:5" ht="16.5" thickTop="1">
      <c r="B5" s="3162" t="s">
        <v>909</v>
      </c>
      <c r="C5" s="1392" t="s">
        <v>910</v>
      </c>
      <c r="D5" s="796">
        <f ca="1">结果表!H101</f>
        <v>207</v>
      </c>
    </row>
    <row r="6" spans="1:5" ht="15.75">
      <c r="B6" s="3162"/>
      <c r="C6" s="1392" t="s">
        <v>911</v>
      </c>
      <c r="D6" s="796" t="str">
        <f ca="1">NUMBERSTRING(INT(D5*10000),2)&amp;"元整"</f>
        <v>贰佰零柒万元整</v>
      </c>
    </row>
    <row r="7" spans="1:5" ht="15.75">
      <c r="B7" s="3167"/>
      <c r="C7" s="1393" t="s">
        <v>912</v>
      </c>
      <c r="D7" s="797">
        <f ca="1">结果表!H102</f>
        <v>22011</v>
      </c>
    </row>
    <row r="8" spans="1:5" ht="15.75">
      <c r="B8" s="3168" t="str">
        <f>结果表!E103</f>
        <v>2.估价师知悉的法定优先受偿款</v>
      </c>
      <c r="C8" s="1394" t="s">
        <v>913</v>
      </c>
      <c r="D8" s="797">
        <f>结果表!H103</f>
        <v>0</v>
      </c>
    </row>
    <row r="9" spans="1:5" ht="15.75">
      <c r="B9" s="3170"/>
      <c r="C9" s="1392" t="s">
        <v>911</v>
      </c>
      <c r="D9" s="796" t="str">
        <f>NUMBERSTRING(INT(D8*10000),2)&amp;"元整"</f>
        <v>零元整</v>
      </c>
    </row>
    <row r="10" spans="1:5" ht="15">
      <c r="B10" s="1395" t="s">
        <v>916</v>
      </c>
      <c r="C10" s="1396" t="s">
        <v>914</v>
      </c>
      <c r="D10" s="798">
        <f>结果表!H104</f>
        <v>0</v>
      </c>
    </row>
    <row r="11" spans="1:5" ht="15">
      <c r="B11" s="1395" t="s">
        <v>918</v>
      </c>
      <c r="C11" s="1396" t="s">
        <v>919</v>
      </c>
      <c r="D11" s="798">
        <f>结果表!H105</f>
        <v>0</v>
      </c>
    </row>
    <row r="12" spans="1:5" ht="15">
      <c r="B12" s="1395" t="s">
        <v>920</v>
      </c>
      <c r="C12" s="1396" t="s">
        <v>919</v>
      </c>
      <c r="D12" s="798">
        <f>结果表!H106</f>
        <v>0</v>
      </c>
    </row>
    <row r="13" spans="1:5" ht="15.75">
      <c r="B13" s="3161" t="str">
        <f>结果表!E107</f>
        <v>3.房地产抵押价值</v>
      </c>
      <c r="C13" s="1397" t="s">
        <v>910</v>
      </c>
      <c r="D13" s="799">
        <f ca="1">结果表!H107</f>
        <v>207</v>
      </c>
    </row>
    <row r="14" spans="1:5" ht="15.75">
      <c r="B14" s="3162"/>
      <c r="C14" s="1392" t="s">
        <v>911</v>
      </c>
      <c r="D14" s="796" t="str">
        <f ca="1">NUMBERSTRING(INT(D13*10000),2)&amp;"元整"</f>
        <v>贰佰零柒万元整</v>
      </c>
    </row>
    <row r="15" spans="1:5" ht="15">
      <c r="B15" s="3167"/>
      <c r="C15" s="1393" t="s">
        <v>921</v>
      </c>
      <c r="D15" s="805">
        <f ca="1">结果表!H108</f>
        <v>22011</v>
      </c>
    </row>
    <row r="16" spans="1:5" ht="15">
      <c r="B16" s="3168" t="str">
        <f>结果表!E109</f>
        <v>——</v>
      </c>
      <c r="C16" s="1397" t="s">
        <v>922</v>
      </c>
      <c r="D16" s="1398" t="str">
        <f>结果表!H109</f>
        <v>——</v>
      </c>
    </row>
    <row r="17" spans="1:5" ht="15.75">
      <c r="B17" s="3169"/>
      <c r="C17" s="1392" t="s">
        <v>923</v>
      </c>
      <c r="D17" s="796" t="e">
        <f>NUMBERSTRING(INT(D16*10000),2)&amp;"元整"</f>
        <v>#VALUE!</v>
      </c>
    </row>
    <row r="18" spans="1:5" ht="15">
      <c r="B18" s="3170"/>
      <c r="C18" s="1393" t="s">
        <v>912</v>
      </c>
      <c r="D18" s="805" t="str">
        <f>结果表!H110</f>
        <v>——</v>
      </c>
    </row>
    <row r="19" spans="1:5" ht="15.75">
      <c r="B19" s="3161" t="str">
        <f>结果表!E111</f>
        <v>——</v>
      </c>
      <c r="C19" s="1397" t="s">
        <v>910</v>
      </c>
      <c r="D19" s="797" t="str">
        <f>结果表!H111</f>
        <v>——</v>
      </c>
    </row>
    <row r="20" spans="1:5" ht="15.75">
      <c r="B20" s="3162"/>
      <c r="C20" s="1392" t="s">
        <v>923</v>
      </c>
      <c r="D20" s="796" t="e">
        <f>NUMBERSTRING(INT(D19*10000),2)&amp;"元整"</f>
        <v>#VALUE!</v>
      </c>
    </row>
    <row r="21" spans="1:5" ht="15.75" thickBot="1">
      <c r="B21" s="3163"/>
      <c r="C21" s="1399" t="s">
        <v>921</v>
      </c>
      <c r="D21" s="806"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2800</v>
      </c>
      <c r="B1" s="2863"/>
      <c r="C1" s="2863"/>
      <c r="D1" s="2863"/>
      <c r="E1" s="2863"/>
      <c r="F1" s="2863"/>
      <c r="G1" s="2863"/>
      <c r="H1" s="2863"/>
      <c r="I1" s="2863"/>
      <c r="J1" s="2863"/>
      <c r="K1" s="2863"/>
      <c r="L1" s="2863"/>
      <c r="M1" s="2863"/>
      <c r="N1" s="706"/>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0.91559999999999997</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0.87090000000000001</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27824</v>
      </c>
      <c r="C2" s="2" t="s">
        <v>106</v>
      </c>
      <c r="D2" s="191"/>
      <c r="E2" s="191"/>
      <c r="F2" s="191"/>
      <c r="G2" s="191"/>
    </row>
    <row r="3" spans="1:7" s="192" customFormat="1" ht="18" customHeight="1" thickBot="1">
      <c r="A3" s="195" t="s">
        <v>58</v>
      </c>
      <c r="B3" s="196">
        <f ca="1">ROUND(B2*10000/'数据-汇总表'!E3,0)</f>
        <v>2956226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2</v>
      </c>
      <c r="D10" s="794">
        <f>'数据-汇总表'!E6</f>
        <v>94.12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v>
      </c>
      <c r="D19" s="204">
        <f>'数据-汇总表'!E3</f>
        <v>94.12</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4"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1">
        <f ca="1">ROUND(SUM(C23:C25),0)</f>
        <v>1461</v>
      </c>
      <c r="D22" s="227">
        <f ca="1">C26</f>
        <v>6.9999999999999999E-4</v>
      </c>
      <c r="E22" s="228" t="s">
        <v>99</v>
      </c>
      <c r="F22" s="229">
        <f ca="1">'数据-取费表'!B40</f>
        <v>3.4500000000000003E-2</v>
      </c>
      <c r="G22" s="1004" t="str">
        <f>IF('数据-取费表'!B22&lt;=1,"单利计息","复利计息")</f>
        <v>复利计息</v>
      </c>
    </row>
    <row r="23" spans="1:7" s="206" customFormat="1" ht="13.5" customHeight="1">
      <c r="A23" s="733" t="s">
        <v>349</v>
      </c>
      <c r="B23" s="207" t="s">
        <v>423</v>
      </c>
      <c r="C23" s="1042">
        <f ca="1">ROUND(IF('数据-取费表'!B22&lt;=1,C5*F22*'数据-取费表'!B23,C5*(POWER((1+F22),'数据-取费表'!B23)-1)),0)</f>
        <v>1447</v>
      </c>
      <c r="D23" s="230"/>
      <c r="E23" s="230"/>
      <c r="F23" s="231"/>
      <c r="G23" s="232" t="s">
        <v>81</v>
      </c>
    </row>
    <row r="24" spans="1:7" s="206" customFormat="1" ht="13.5" customHeight="1">
      <c r="A24" s="733"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2">
        <f ca="1">ROUND(IF('数据-取费表'!B22&lt;=1,C20*F22*'数据-取费表'!B23/2,C20*(POWER((1+F22),'数据-取费表'!B23/2)-1)),0)</f>
        <v>14</v>
      </c>
      <c r="D25" s="230"/>
      <c r="E25" s="233"/>
      <c r="F25" s="231"/>
      <c r="G25" s="234" t="s">
        <v>83</v>
      </c>
    </row>
    <row r="26" spans="1:7" s="206" customFormat="1">
      <c r="A26" s="733" t="s">
        <v>350</v>
      </c>
      <c r="B26" s="207" t="s">
        <v>422</v>
      </c>
      <c r="C26" s="230">
        <f ca="1">ROUND(IF('数据-取费表'!B22&lt;=1,F21*F22*'数据-取费表'!B23/2,F21*(POWER((1+F22),'数据-取费表'!B23/2)-1)),4)</f>
        <v>6.9999999999999999E-4</v>
      </c>
      <c r="D26" s="230"/>
      <c r="E26" s="233"/>
      <c r="F26" s="231"/>
      <c r="G26" s="235"/>
    </row>
    <row r="27" spans="1:7" s="206" customFormat="1" ht="24.75">
      <c r="A27" s="730" t="s">
        <v>342</v>
      </c>
      <c r="B27" s="236" t="s">
        <v>85</v>
      </c>
      <c r="C27" s="237">
        <f>C28</f>
        <v>3154</v>
      </c>
      <c r="D27" s="227">
        <f>C29</f>
        <v>3.0000000000000001E-3</v>
      </c>
      <c r="E27" s="228" t="s">
        <v>99</v>
      </c>
      <c r="F27" s="238">
        <f>'数据-取费表'!Q16</f>
        <v>0.15</v>
      </c>
      <c r="G27" s="239" t="s">
        <v>431</v>
      </c>
    </row>
    <row r="28" spans="1:7" s="206" customFormat="1" ht="13.5" customHeight="1">
      <c r="A28" s="733" t="s">
        <v>349</v>
      </c>
      <c r="B28" s="240" t="s">
        <v>424</v>
      </c>
      <c r="C28" s="241">
        <f>ROUND((C5+C19+C20)*F27*'数据-取费表'!B21/'数据-取费表'!B20,0)</f>
        <v>3154</v>
      </c>
      <c r="D28" s="227"/>
      <c r="E28" s="228"/>
      <c r="F28" s="238"/>
      <c r="G28" s="239"/>
    </row>
    <row r="29" spans="1:7" s="206" customFormat="1" ht="13.5" customHeight="1">
      <c r="A29" s="733" t="s">
        <v>347</v>
      </c>
      <c r="B29" s="240" t="s">
        <v>425</v>
      </c>
      <c r="C29" s="230">
        <f>ROUND(C21*F27*'数据-取费表'!B21/'数据-取费表'!B20,4)</f>
        <v>3.0000000000000001E-3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27779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47</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42</v>
      </c>
      <c r="D34" s="209"/>
      <c r="E34" s="212"/>
      <c r="F34" s="249">
        <f>IF('数据-取费表'!B24=0,1,'数据-取费表'!N16)</f>
        <v>1</v>
      </c>
      <c r="G34" s="211" t="s">
        <v>89</v>
      </c>
    </row>
    <row r="35" spans="1:7" ht="13.5" customHeight="1">
      <c r="A35" s="733" t="s">
        <v>351</v>
      </c>
      <c r="B35" s="207" t="s">
        <v>33</v>
      </c>
      <c r="C35" s="212">
        <f>ROUND(C34*F35,0)</f>
        <v>2</v>
      </c>
      <c r="D35" s="212"/>
      <c r="E35" s="212"/>
      <c r="F35" s="251">
        <f>'数据-取费表'!B33</f>
        <v>0.04</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2</v>
      </c>
      <c r="D37" s="209">
        <f>'数据-汇总表'!E3</f>
        <v>94.12</v>
      </c>
      <c r="E37" s="241">
        <f>'数据-取费表'!B35</f>
        <v>200</v>
      </c>
      <c r="F37" s="251"/>
      <c r="G37" s="253" t="s">
        <v>92</v>
      </c>
    </row>
    <row r="38" spans="1:7" ht="13.5" customHeight="1">
      <c r="A38" s="733" t="s">
        <v>354</v>
      </c>
      <c r="B38" s="207" t="s">
        <v>36</v>
      </c>
      <c r="C38" s="212">
        <f>ROUND(C34*F38,0)</f>
        <v>1</v>
      </c>
      <c r="D38" s="212"/>
      <c r="E38" s="212"/>
      <c r="F38" s="251">
        <f>'数据-取费表'!B36</f>
        <v>0.02</v>
      </c>
      <c r="G38" s="211" t="s">
        <v>90</v>
      </c>
    </row>
    <row r="39" spans="1:7" s="206" customFormat="1" ht="13.5" customHeight="1">
      <c r="A39" s="730" t="s">
        <v>338</v>
      </c>
      <c r="B39" s="202" t="s">
        <v>77</v>
      </c>
      <c r="C39" s="224">
        <f>ROUND(C33*F20,0)</f>
        <v>1</v>
      </c>
      <c r="D39" s="224"/>
      <c r="E39" s="224"/>
      <c r="F39" s="225"/>
      <c r="G39" s="1004"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2</v>
      </c>
      <c r="D41" s="227">
        <f ca="1">C44</f>
        <v>6.9999999999999999E-4</v>
      </c>
      <c r="E41" s="228" t="s">
        <v>102</v>
      </c>
      <c r="F41" s="229"/>
      <c r="G41" s="1004" t="str">
        <f>IF('数据-取费表'!B22&lt;=1,"单利计息","复利计息")</f>
        <v>复利计息</v>
      </c>
    </row>
    <row r="42" spans="1:7" ht="13.5" customHeight="1">
      <c r="A42" s="733" t="s">
        <v>349</v>
      </c>
      <c r="B42" s="207" t="s">
        <v>423</v>
      </c>
      <c r="C42" s="230">
        <f ca="1">ROUND(IF('数据-取费表'!B22&lt;=1,C33*F22*'数据-取费表'!B21/2,C33*(POWER((1+F22),'数据-取费表'!B21/2)-1)),0)</f>
        <v>2</v>
      </c>
      <c r="D42" s="230"/>
      <c r="E42" s="230"/>
      <c r="F42" s="231"/>
      <c r="G42" s="3342" t="s">
        <v>94</v>
      </c>
    </row>
    <row r="43" spans="1:7" ht="13.5" customHeight="1">
      <c r="A43" s="733" t="s">
        <v>347</v>
      </c>
      <c r="B43" s="207" t="s">
        <v>426</v>
      </c>
      <c r="C43" s="230">
        <f ca="1">ROUND(IF('数据-取费表'!B22&lt;=1,C39*F22*'数据-取费表'!B21/2,C39*(POWER((1+F22),'数据-取费表'!B21/2)-1)),0)</f>
        <v>0</v>
      </c>
      <c r="D43" s="230"/>
      <c r="E43" s="230"/>
      <c r="F43" s="231"/>
      <c r="G43" s="3343"/>
    </row>
    <row r="44" spans="1:7" ht="13.5" customHeight="1">
      <c r="A44" s="733" t="s">
        <v>348</v>
      </c>
      <c r="B44" s="207" t="s">
        <v>428</v>
      </c>
      <c r="C44" s="230">
        <f ca="1">ROUND(IF('数据-取费表'!B22&lt;=1,C40*F22*'数据-取费表'!B21/2,C40*(POWER((1+F22),'数据-取费表'!B21/2)-1)),4)</f>
        <v>6.9999999999999999E-4</v>
      </c>
      <c r="D44" s="230"/>
      <c r="E44" s="230"/>
      <c r="F44" s="231"/>
      <c r="G44" s="3344"/>
    </row>
    <row r="45" spans="1:7" s="206" customFormat="1" ht="13.5" customHeight="1">
      <c r="A45" s="730" t="s">
        <v>341</v>
      </c>
      <c r="B45" s="236" t="s">
        <v>85</v>
      </c>
      <c r="C45" s="237">
        <f>C46</f>
        <v>7</v>
      </c>
      <c r="D45" s="227">
        <f>C47</f>
        <v>3.0000000000000001E-3</v>
      </c>
      <c r="E45" s="228" t="s">
        <v>102</v>
      </c>
      <c r="F45" s="238"/>
      <c r="G45" s="239" t="s">
        <v>434</v>
      </c>
    </row>
    <row r="46" spans="1:7" s="206" customFormat="1" ht="13.5" customHeight="1">
      <c r="A46" s="733" t="s">
        <v>349</v>
      </c>
      <c r="B46" s="240" t="s">
        <v>427</v>
      </c>
      <c r="C46" s="241">
        <f>ROUND((C33+C39)*F27,0)</f>
        <v>7</v>
      </c>
      <c r="D46" s="255"/>
      <c r="E46" s="228"/>
      <c r="F46" s="238"/>
      <c r="G46" s="239"/>
    </row>
    <row r="47" spans="1:7" s="206" customFormat="1" ht="13.5" customHeight="1">
      <c r="A47" s="733" t="s">
        <v>347</v>
      </c>
      <c r="B47" s="240" t="s">
        <v>429</v>
      </c>
      <c r="C47" s="230">
        <f>ROUND(C40*F27,4)</f>
        <v>3.0000000000000001E-3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62</v>
      </c>
      <c r="D49" s="224"/>
      <c r="E49" s="224"/>
      <c r="F49" s="256"/>
      <c r="G49" s="226" t="s">
        <v>435</v>
      </c>
    </row>
    <row r="50" spans="1:7" s="250" customFormat="1" ht="24">
      <c r="A50" s="730" t="s">
        <v>344</v>
      </c>
      <c r="B50" s="202" t="s">
        <v>97</v>
      </c>
      <c r="C50" s="224"/>
      <c r="D50" s="224"/>
      <c r="E50" s="224"/>
      <c r="F50" s="256">
        <f>IF('数据-取费表'!B24=0,'数据-取费表'!N16,1)</f>
        <v>0.72</v>
      </c>
      <c r="G50" s="239" t="s">
        <v>98</v>
      </c>
    </row>
    <row r="51" spans="1:7" ht="16.5" customHeight="1">
      <c r="A51" s="730" t="s">
        <v>345</v>
      </c>
      <c r="B51" s="202" t="s">
        <v>105</v>
      </c>
      <c r="C51" s="224">
        <f ca="1">ROUND(C49*F50,0)</f>
        <v>45</v>
      </c>
      <c r="D51" s="224"/>
      <c r="E51" s="224"/>
      <c r="F51" s="256"/>
      <c r="G51" s="226" t="s">
        <v>37</v>
      </c>
    </row>
    <row r="52" spans="1:7" s="200" customFormat="1" ht="16.5" thickBot="1">
      <c r="A52" s="257" t="s">
        <v>38</v>
      </c>
      <c r="B52" s="258"/>
      <c r="C52" s="259">
        <f ca="1">C31+C51</f>
        <v>27824</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81" t="s">
        <v>2841</v>
      </c>
      <c r="B1" s="3481"/>
      <c r="C1" s="3481"/>
      <c r="D1" s="3481"/>
      <c r="E1" s="3481"/>
      <c r="F1" s="3481"/>
      <c r="G1" s="3482"/>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2"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479"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2" thickBot="1">
      <c r="A4" s="3480"/>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2"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2"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2"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2"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83" t="s">
        <v>3183</v>
      </c>
      <c r="B1" s="3483"/>
    </row>
    <row r="2" spans="1:7" ht="14.25" thickBot="1">
      <c r="A2" s="2966"/>
      <c r="B2" s="2966"/>
    </row>
    <row r="3" spans="1:7" ht="14.25" thickBot="1">
      <c r="A3" s="2966"/>
      <c r="B3" s="2966"/>
      <c r="C3" s="2967" t="s">
        <v>2813</v>
      </c>
      <c r="D3" s="2967" t="s">
        <v>2869</v>
      </c>
      <c r="E3" s="2967" t="s">
        <v>2815</v>
      </c>
      <c r="F3" s="2967" t="s">
        <v>2870</v>
      </c>
      <c r="G3" s="2967" t="s">
        <v>2633</v>
      </c>
    </row>
    <row r="4" spans="1:7" ht="14.2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4.2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4.2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4.2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4.2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4.2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4.2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4.2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4.2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4.2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4.2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484" t="s">
        <v>3234</v>
      </c>
      <c r="B1" s="3484"/>
      <c r="C1" s="3484"/>
      <c r="D1" s="3484"/>
      <c r="E1" s="3484"/>
      <c r="F1" s="3485"/>
    </row>
    <row r="2" spans="1:6">
      <c r="A2" s="3000" t="s">
        <v>3235</v>
      </c>
    </row>
    <row r="3" spans="1:6">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5">
        <f>基准地价修正!G23</f>
        <v>45450</v>
      </c>
      <c r="B1" s="2927" t="s">
        <v>3373</v>
      </c>
      <c r="C1" s="2928"/>
      <c r="D1" s="2928"/>
      <c r="E1" s="2928"/>
      <c r="F1" s="2928"/>
      <c r="G1" s="2928"/>
      <c r="H1" s="2928"/>
      <c r="I1" s="2928"/>
      <c r="J1" s="2894"/>
      <c r="K1" s="2928" t="s">
        <v>454</v>
      </c>
      <c r="L1" s="2928"/>
      <c r="M1" s="2928"/>
      <c r="N1" s="2928"/>
      <c r="O1" s="2928"/>
      <c r="P1" s="2928"/>
      <c r="Q1" s="2894"/>
      <c r="R1" s="3486" t="s">
        <v>456</v>
      </c>
      <c r="S1" s="3487"/>
      <c r="T1" s="3487"/>
      <c r="U1" s="3487"/>
      <c r="V1" s="3487"/>
      <c r="W1" s="3487"/>
      <c r="X1" s="2894"/>
      <c r="Y1" s="3486" t="s">
        <v>457</v>
      </c>
      <c r="Z1" s="3487"/>
      <c r="AA1" s="3487"/>
      <c r="AB1" s="3487"/>
      <c r="AC1" s="3487"/>
      <c r="AD1" s="3487"/>
    </row>
    <row r="2" spans="1:30" s="2010" customFormat="1" ht="14.25" thickBot="1">
      <c r="B2" s="2879"/>
      <c r="C2" s="2880"/>
      <c r="D2" s="2011" t="s">
        <v>2812</v>
      </c>
      <c r="E2" s="2012" t="s">
        <v>2813</v>
      </c>
      <c r="F2" s="2012" t="s">
        <v>2814</v>
      </c>
      <c r="G2" s="2012" t="s">
        <v>2815</v>
      </c>
      <c r="H2" s="2012" t="s">
        <v>2816</v>
      </c>
      <c r="I2" s="2012" t="s">
        <v>2633</v>
      </c>
      <c r="J2" s="2881"/>
      <c r="K2" s="2011" t="s">
        <v>2812</v>
      </c>
      <c r="L2" s="2012" t="s">
        <v>2813</v>
      </c>
      <c r="M2" s="2012" t="s">
        <v>2814</v>
      </c>
      <c r="N2" s="2012" t="s">
        <v>2815</v>
      </c>
      <c r="O2" s="2012" t="s">
        <v>2817</v>
      </c>
      <c r="P2" s="2012" t="s">
        <v>2633</v>
      </c>
      <c r="Q2" s="2881"/>
      <c r="R2" s="2011" t="s">
        <v>2812</v>
      </c>
      <c r="S2" s="2012" t="s">
        <v>2813</v>
      </c>
      <c r="T2" s="2012" t="s">
        <v>2814</v>
      </c>
      <c r="U2" s="2012" t="s">
        <v>2818</v>
      </c>
      <c r="V2" s="2012" t="s">
        <v>2819</v>
      </c>
      <c r="W2" s="2012" t="s">
        <v>2633</v>
      </c>
      <c r="X2" s="2881"/>
      <c r="Y2" s="2011" t="s">
        <v>2812</v>
      </c>
      <c r="Z2" s="2012" t="s">
        <v>2813</v>
      </c>
      <c r="AA2" s="2012" t="s">
        <v>2814</v>
      </c>
      <c r="AB2" s="2012" t="s">
        <v>2820</v>
      </c>
      <c r="AC2" s="2012" t="s">
        <v>2819</v>
      </c>
      <c r="AD2" s="2012" t="s">
        <v>2633</v>
      </c>
    </row>
    <row r="3" spans="1:30" s="2884" customFormat="1" ht="12.75">
      <c r="A3" s="2882" t="s">
        <v>2821</v>
      </c>
      <c r="B3" s="2883"/>
      <c r="D3" s="2884">
        <f>ROUND(AVERAGEIF(D4:D18,"&lt;&gt;0"),2)</f>
        <v>0.73</v>
      </c>
      <c r="E3" s="2884">
        <f t="shared" ref="E3:H3" si="0">ROUND(AVERAGEIF(E4:E18,"&lt;&gt;0"),2)</f>
        <v>0.4</v>
      </c>
      <c r="F3" s="2884">
        <f t="shared" si="0"/>
        <v>0.2</v>
      </c>
      <c r="G3" s="2884">
        <f t="shared" si="0"/>
        <v>0.78</v>
      </c>
      <c r="H3" s="2884">
        <f t="shared" si="0"/>
        <v>0.63</v>
      </c>
      <c r="I3" s="2884">
        <f>F3</f>
        <v>0.2</v>
      </c>
      <c r="J3" s="2885"/>
      <c r="K3" s="2886">
        <f>ROUND(AVERAGEIF(K4:K18,"&lt;&gt;0"),4)</f>
        <v>7.3000000000000001E-3</v>
      </c>
      <c r="L3" s="2887">
        <f t="shared" ref="L3:O3" si="1">ROUND(AVERAGEIF(L4:L18,"&lt;&gt;0"),4)</f>
        <v>4.0000000000000001E-3</v>
      </c>
      <c r="M3" s="2887">
        <f t="shared" si="1"/>
        <v>2E-3</v>
      </c>
      <c r="N3" s="2887">
        <f t="shared" si="1"/>
        <v>7.7999999999999996E-3</v>
      </c>
      <c r="O3" s="2887">
        <f t="shared" si="1"/>
        <v>6.3E-3</v>
      </c>
      <c r="P3" s="2887">
        <f>M3</f>
        <v>2E-3</v>
      </c>
      <c r="Q3" s="2885"/>
      <c r="R3" s="2888">
        <f>ROUND(SUMPRODUCT(PRODUCT(1+K4:K18)),4)</f>
        <v>1.0908</v>
      </c>
      <c r="S3" s="2889">
        <f t="shared" ref="S3:V3" si="2">ROUND(SUMPRODUCT(PRODUCT(1+L4:L18)),4)</f>
        <v>1.0488</v>
      </c>
      <c r="T3" s="2889">
        <f t="shared" si="2"/>
        <v>1.024</v>
      </c>
      <c r="U3" s="2889">
        <f t="shared" si="2"/>
        <v>1.0980000000000001</v>
      </c>
      <c r="V3" s="2889">
        <f t="shared" si="2"/>
        <v>1.0779000000000001</v>
      </c>
      <c r="W3" s="2888">
        <f>T3</f>
        <v>1.024</v>
      </c>
      <c r="X3" s="2885"/>
      <c r="Y3" s="2890">
        <f>ROUND(AVERAGEIF(Y5:Y18,"&lt;&gt;0"),4)</f>
        <v>8.6999999999999994E-3</v>
      </c>
      <c r="Z3" s="2891">
        <f t="shared" ref="Z3:AC3" si="3">ROUND(AVERAGEIF(Z5:Z18,"&lt;&gt;0"),4)</f>
        <v>3.5000000000000001E-3</v>
      </c>
      <c r="AA3" s="2892">
        <f t="shared" si="3"/>
        <v>8.9999999999999998E-4</v>
      </c>
      <c r="AB3" s="2890">
        <f t="shared" si="3"/>
        <v>9.4999999999999998E-3</v>
      </c>
      <c r="AC3" s="2893">
        <f t="shared" si="3"/>
        <v>6.1000000000000004E-3</v>
      </c>
      <c r="AD3" s="2890">
        <f>AA3</f>
        <v>8.9999999999999998E-4</v>
      </c>
    </row>
    <row r="4" spans="1:30"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2.75">
      <c r="A5" s="2040" t="s">
        <v>3376</v>
      </c>
      <c r="B5" s="2031">
        <v>2024</v>
      </c>
      <c r="C5" s="2042">
        <v>2</v>
      </c>
      <c r="D5" s="2007">
        <v>0</v>
      </c>
      <c r="E5" s="2007">
        <v>0</v>
      </c>
      <c r="F5" s="2007">
        <v>0</v>
      </c>
      <c r="G5" s="2007">
        <v>0</v>
      </c>
      <c r="H5" s="2007">
        <v>0</v>
      </c>
      <c r="I5" s="2008">
        <f t="shared" ref="I5:I18" si="4">F5</f>
        <v>0</v>
      </c>
      <c r="J5" s="2904"/>
      <c r="K5" s="2043">
        <f t="shared" ref="K5:O18" si="5">D5/100</f>
        <v>0</v>
      </c>
      <c r="L5" s="2028">
        <f t="shared" si="5"/>
        <v>0</v>
      </c>
      <c r="M5" s="2028">
        <f t="shared" si="5"/>
        <v>0</v>
      </c>
      <c r="N5" s="2028">
        <f t="shared" si="5"/>
        <v>0</v>
      </c>
      <c r="O5" s="2028">
        <f t="shared" si="5"/>
        <v>0</v>
      </c>
      <c r="P5" s="2028">
        <f>M5</f>
        <v>0</v>
      </c>
      <c r="Q5" s="2904"/>
      <c r="R5" s="2027">
        <f>ROUND(IF(项目基本情况!$B$8="出让",SUMPRODUCT(PRODUCT(1+K5:$K$18)),SUMPRODUCT(PRODUCT(1+K5:$K$17))),4)</f>
        <v>1.0804</v>
      </c>
      <c r="S5" s="2027">
        <f>ROUND(IF(项目基本情况!$B$8="出让",SUMPRODUCT(PRODUCT(1+L5:$L$18)),SUMPRODUCT(PRODUCT(1+L5:$L$17))),4)</f>
        <v>1.0471999999999999</v>
      </c>
      <c r="T5" s="2027">
        <f>ROUND(IF(项目基本情况!$B$8="出让",SUMPRODUCT(PRODUCT(1+M5:$M$18)),SUMPRODUCT(PRODUCT(1+M5:$M$17))),4)</f>
        <v>1.0266</v>
      </c>
      <c r="U5" s="2027">
        <f>ROUND(IF(项目基本情况!$B$8="出让",SUMPRODUCT(PRODUCT(1+N5:$N$18)),SUMPRODUCT(PRODUCT(1+N5:$N$17))),4)</f>
        <v>1.0859000000000001</v>
      </c>
      <c r="V5" s="2027">
        <f>ROUND(IF(项目基本情况!$B$8="出让",SUMPRODUCT(PRODUCT(1+O5:$O$18)),SUMPRODUCT(PRODUCT(1+O5:$O$17))),4)</f>
        <v>1.0741000000000001</v>
      </c>
      <c r="W5" s="2027">
        <f>T5</f>
        <v>1.0266</v>
      </c>
      <c r="X5" s="2904"/>
      <c r="Y5" s="2028">
        <f>IF(D5=0,0,ROUND(AVERAGE(D5:D18)/100,4))</f>
        <v>0</v>
      </c>
      <c r="Z5" s="2028">
        <f t="shared" ref="Z5:AC5" si="6">IF(E5=0,0,ROUND(AVERAGE(E5:E18)/100,4))</f>
        <v>0</v>
      </c>
      <c r="AA5" s="2028">
        <f t="shared" si="6"/>
        <v>0</v>
      </c>
      <c r="AB5" s="2028">
        <f t="shared" si="6"/>
        <v>0</v>
      </c>
      <c r="AC5" s="2028">
        <f t="shared" si="6"/>
        <v>0</v>
      </c>
      <c r="AD5" s="2028">
        <f t="shared" ref="AD5:AD17" si="7">AA5</f>
        <v>0</v>
      </c>
    </row>
    <row r="6" spans="1:30" s="2045" customFormat="1" ht="12.75">
      <c r="A6" s="2040" t="s">
        <v>3377</v>
      </c>
      <c r="B6" s="2031">
        <v>2024</v>
      </c>
      <c r="C6" s="2042">
        <v>1</v>
      </c>
      <c r="D6" s="2007">
        <v>0</v>
      </c>
      <c r="E6" s="2007">
        <v>0</v>
      </c>
      <c r="F6" s="2007">
        <v>0</v>
      </c>
      <c r="G6" s="2007">
        <v>0</v>
      </c>
      <c r="H6" s="2915">
        <v>0</v>
      </c>
      <c r="I6" s="2008">
        <v>0</v>
      </c>
      <c r="J6" s="2904"/>
      <c r="K6" s="2043">
        <f t="shared" ref="K6" si="8">D6/100</f>
        <v>0</v>
      </c>
      <c r="L6" s="2028">
        <f t="shared" ref="L6" si="9">E6/100</f>
        <v>0</v>
      </c>
      <c r="M6" s="2028">
        <f t="shared" ref="M6" si="10">F6/100</f>
        <v>0</v>
      </c>
      <c r="N6" s="2028">
        <f t="shared" ref="N6" si="11">G6/100</f>
        <v>0</v>
      </c>
      <c r="O6" s="2028">
        <f t="shared" ref="O6" si="12">H6/100</f>
        <v>0</v>
      </c>
      <c r="P6" s="2028">
        <f t="shared" ref="P6" si="13">M6</f>
        <v>0</v>
      </c>
      <c r="Q6" s="2904"/>
      <c r="R6" s="2027">
        <f>ROUND(IF(项目基本情况!$B$8="出让",SUMPRODUCT(PRODUCT(1+K6:$K$18)),SUMPRODUCT(PRODUCT(1+K6:$K$17))),4)</f>
        <v>1.0804</v>
      </c>
      <c r="S6" s="2027">
        <f>ROUND(IF(项目基本情况!$B$8="出让",SUMPRODUCT(PRODUCT(1+L6:$L$18)),SUMPRODUCT(PRODUCT(1+L6:$L$17))),4)</f>
        <v>1.0471999999999999</v>
      </c>
      <c r="T6" s="2027">
        <f>ROUND(IF(项目基本情况!$B$8="出让",SUMPRODUCT(PRODUCT(1+M6:$M$18)),SUMPRODUCT(PRODUCT(1+M6:$M$17))),4)</f>
        <v>1.0266</v>
      </c>
      <c r="U6" s="2027">
        <f>ROUND(IF(项目基本情况!$B$8="出让",SUMPRODUCT(PRODUCT(1+N6:$N$18)),SUMPRODUCT(PRODUCT(1+N6:$N$17))),4)</f>
        <v>1.0859000000000001</v>
      </c>
      <c r="V6" s="2027">
        <f>ROUND(IF(项目基本情况!$B$8="出让",SUMPRODUCT(PRODUCT(1+O6:$O$18)),SUMPRODUCT(PRODUCT(1+O6:$O$17))),4)</f>
        <v>1.0741000000000001</v>
      </c>
      <c r="W6" s="2027">
        <f t="shared" ref="W6" si="14">T6</f>
        <v>1.0266</v>
      </c>
      <c r="X6" s="2904"/>
      <c r="Y6" s="2028"/>
      <c r="Z6" s="2028"/>
      <c r="AA6" s="2028"/>
      <c r="AB6" s="2028"/>
      <c r="AC6" s="2028"/>
      <c r="AD6" s="2028"/>
    </row>
    <row r="7" spans="1:30" s="2914" customFormat="1" ht="12.75">
      <c r="A7" s="2905" t="s">
        <v>3379</v>
      </c>
      <c r="B7" s="2906">
        <v>2023</v>
      </c>
      <c r="C7" s="2907">
        <v>4</v>
      </c>
      <c r="D7" s="2908">
        <v>0.19</v>
      </c>
      <c r="E7" s="2908">
        <v>0.24</v>
      </c>
      <c r="F7" s="2908">
        <v>-0.16</v>
      </c>
      <c r="G7" s="2908">
        <v>0.17</v>
      </c>
      <c r="H7" s="2909">
        <v>0.61</v>
      </c>
      <c r="I7" s="2910">
        <f>F7</f>
        <v>-0.16</v>
      </c>
      <c r="J7" s="2911"/>
      <c r="K7" s="2912">
        <f t="shared" si="5"/>
        <v>1.9E-3</v>
      </c>
      <c r="L7" s="2913">
        <f t="shared" si="5"/>
        <v>2.3999999999999998E-3</v>
      </c>
      <c r="M7" s="2913">
        <f t="shared" si="5"/>
        <v>-1.6000000000000001E-3</v>
      </c>
      <c r="N7" s="2913">
        <f t="shared" si="5"/>
        <v>1.7000000000000001E-3</v>
      </c>
      <c r="O7" s="2913">
        <f t="shared" si="5"/>
        <v>6.0999999999999995E-3</v>
      </c>
      <c r="P7" s="2913">
        <f t="shared" ref="P7" si="15">M7</f>
        <v>-1.6000000000000001E-3</v>
      </c>
      <c r="Q7" s="2911"/>
      <c r="R7" s="2911">
        <f>ROUND(IF(项目基本情况!$B$8="出让",SUMPRODUCT(PRODUCT(1+K7:$K$18)),SUMPRODUCT(PRODUCT(1+K7:$K$17))),4)</f>
        <v>1.0804</v>
      </c>
      <c r="S7" s="2911">
        <f>ROUND(IF(项目基本情况!$B$8="出让",SUMPRODUCT(PRODUCT(1+L7:$L$18)),SUMPRODUCT(PRODUCT(1+L7:$L$17))),4)</f>
        <v>1.0471999999999999</v>
      </c>
      <c r="T7" s="2911">
        <f>ROUND(IF(项目基本情况!$B$8="出让",SUMPRODUCT(PRODUCT(1+M7:$M$18)),SUMPRODUCT(PRODUCT(1+M7:$M$17))),4)</f>
        <v>1.0266</v>
      </c>
      <c r="U7" s="2911">
        <f>ROUND(IF(项目基本情况!$B$8="出让",SUMPRODUCT(PRODUCT(1+N7:$N$18)),SUMPRODUCT(PRODUCT(1+N7:$N$17))),4)</f>
        <v>1.0859000000000001</v>
      </c>
      <c r="V7" s="2911">
        <f>ROUND(IF(项目基本情况!$B$8="出让",SUMPRODUCT(PRODUCT(1+O7:$O$18)),SUMPRODUCT(PRODUCT(1+O7:$O$17))),4)</f>
        <v>1.0741000000000001</v>
      </c>
      <c r="W7" s="2911">
        <f t="shared" ref="W7" si="16">T7</f>
        <v>1.0266</v>
      </c>
      <c r="X7" s="2911"/>
      <c r="Y7" s="2913"/>
      <c r="Z7" s="2913"/>
      <c r="AA7" s="2913"/>
      <c r="AB7" s="2913"/>
      <c r="AC7" s="2913"/>
      <c r="AD7" s="2913"/>
    </row>
    <row r="8" spans="1:30" s="2045" customFormat="1" ht="12.75">
      <c r="A8" s="2903" t="s">
        <v>3380</v>
      </c>
      <c r="B8" s="2031">
        <v>2023</v>
      </c>
      <c r="C8" s="2042">
        <v>3</v>
      </c>
      <c r="D8" s="2007">
        <v>0.25</v>
      </c>
      <c r="E8" s="2007">
        <v>0.5</v>
      </c>
      <c r="F8" s="2007">
        <v>0.31</v>
      </c>
      <c r="G8" s="2007">
        <v>0.21</v>
      </c>
      <c r="H8" s="2915">
        <v>0.43</v>
      </c>
      <c r="I8" s="2008">
        <f t="shared" si="4"/>
        <v>0.31</v>
      </c>
      <c r="J8" s="2904"/>
      <c r="K8" s="2043">
        <f t="shared" ref="K8:K10" si="17">D8/100</f>
        <v>2.5000000000000001E-3</v>
      </c>
      <c r="L8" s="2028">
        <f t="shared" ref="L8:L10" si="18">E8/100</f>
        <v>5.0000000000000001E-3</v>
      </c>
      <c r="M8" s="2028">
        <f t="shared" ref="M8:M10" si="19">F8/100</f>
        <v>3.0999999999999999E-3</v>
      </c>
      <c r="N8" s="2028">
        <f t="shared" ref="N8:N10" si="20">G8/100</f>
        <v>2.0999999999999999E-3</v>
      </c>
      <c r="O8" s="2028">
        <f t="shared" ref="O8:O10" si="21">H8/100</f>
        <v>4.3E-3</v>
      </c>
      <c r="P8" s="2028">
        <f t="shared" ref="P8:P10" si="22">M8</f>
        <v>3.0999999999999999E-3</v>
      </c>
      <c r="Q8" s="2904"/>
      <c r="R8" s="2027">
        <f>ROUND(IF(项目基本情况!$B$8="出让",SUMPRODUCT(PRODUCT(1+K8:$K$18)),SUMPRODUCT(PRODUCT(1+K8:$K$17))),4)</f>
        <v>1.0783</v>
      </c>
      <c r="S8" s="2027">
        <f>ROUND(IF(项目基本情况!$B$8="出让",SUMPRODUCT(PRODUCT(1+L8:$L$18)),SUMPRODUCT(PRODUCT(1+L8:$L$17))),4)</f>
        <v>1.0447</v>
      </c>
      <c r="T8" s="2027">
        <f>ROUND(IF(项目基本情况!$B$8="出让",SUMPRODUCT(PRODUCT(1+M8:$M$18)),SUMPRODUCT(PRODUCT(1+M8:$M$17))),4)</f>
        <v>1.0282</v>
      </c>
      <c r="U8" s="2027">
        <f>ROUND(IF(项目基本情况!$B$8="出让",SUMPRODUCT(PRODUCT(1+N8:$N$18)),SUMPRODUCT(PRODUCT(1+N8:$N$17))),4)</f>
        <v>1.0841000000000001</v>
      </c>
      <c r="V8" s="2027">
        <f>ROUND(IF(项目基本情况!$B$8="出让",SUMPRODUCT(PRODUCT(1+O8:$O$18)),SUMPRODUCT(PRODUCT(1+O8:$O$17))),4)</f>
        <v>1.0674999999999999</v>
      </c>
      <c r="W8" s="2027">
        <f t="shared" ref="W8:W9" si="23">T8</f>
        <v>1.0282</v>
      </c>
      <c r="X8" s="2904"/>
      <c r="Y8" s="2028"/>
      <c r="Z8" s="2028"/>
      <c r="AA8" s="2028"/>
      <c r="AB8" s="2028"/>
      <c r="AC8" s="2028"/>
      <c r="AD8" s="2028"/>
    </row>
    <row r="9" spans="1:30" s="2045" customFormat="1" ht="12.75">
      <c r="A9" s="2903" t="s">
        <v>3372</v>
      </c>
      <c r="B9" s="2031">
        <v>2023</v>
      </c>
      <c r="C9" s="2042">
        <v>2</v>
      </c>
      <c r="D9" s="2007">
        <v>0.91</v>
      </c>
      <c r="E9" s="2007">
        <v>0.66</v>
      </c>
      <c r="F9" s="2007">
        <v>0.47</v>
      </c>
      <c r="G9" s="2007">
        <v>0.96</v>
      </c>
      <c r="H9" s="2915">
        <v>0.71</v>
      </c>
      <c r="I9" s="2008">
        <f t="shared" si="4"/>
        <v>0.47</v>
      </c>
      <c r="J9" s="2904"/>
      <c r="K9" s="2043">
        <f t="shared" si="17"/>
        <v>9.1000000000000004E-3</v>
      </c>
      <c r="L9" s="2028">
        <f t="shared" si="18"/>
        <v>6.6E-3</v>
      </c>
      <c r="M9" s="2028">
        <f t="shared" si="19"/>
        <v>4.6999999999999993E-3</v>
      </c>
      <c r="N9" s="2028">
        <f t="shared" si="20"/>
        <v>9.5999999999999992E-3</v>
      </c>
      <c r="O9" s="2028">
        <f t="shared" si="21"/>
        <v>7.0999999999999995E-3</v>
      </c>
      <c r="P9" s="2028">
        <f t="shared" si="22"/>
        <v>4.6999999999999993E-3</v>
      </c>
      <c r="Q9" s="2904"/>
      <c r="R9" s="2027">
        <f>ROUND(IF(项目基本情况!$B$8="出让",SUMPRODUCT(PRODUCT(1+K9:$K$18)),SUMPRODUCT(PRODUCT(1+K9:$K$17))),4)</f>
        <v>1.0755999999999999</v>
      </c>
      <c r="S9" s="2027">
        <f>ROUND(IF(项目基本情况!$B$8="出让",SUMPRODUCT(PRODUCT(1+L9:$L$18)),SUMPRODUCT(PRODUCT(1+L9:$L$17))),4)</f>
        <v>1.0395000000000001</v>
      </c>
      <c r="T9" s="2027">
        <f>ROUND(IF(项目基本情况!$B$8="出让",SUMPRODUCT(PRODUCT(1+M9:$M$18)),SUMPRODUCT(PRODUCT(1+M9:$M$17))),4)</f>
        <v>1.0250999999999999</v>
      </c>
      <c r="U9" s="2027">
        <f>ROUND(IF(项目基本情况!$B$8="出让",SUMPRODUCT(PRODUCT(1+N9:$N$18)),SUMPRODUCT(PRODUCT(1+N9:$N$17))),4)</f>
        <v>1.0818000000000001</v>
      </c>
      <c r="V9" s="2027">
        <f>ROUND(IF(项目基本情况!$B$8="出让",SUMPRODUCT(PRODUCT(1+O9:$O$18)),SUMPRODUCT(PRODUCT(1+O9:$O$17))),4)</f>
        <v>1.0629999999999999</v>
      </c>
      <c r="W9" s="2027">
        <f t="shared" si="23"/>
        <v>1.0250999999999999</v>
      </c>
      <c r="X9" s="2904"/>
      <c r="Y9" s="2028"/>
      <c r="Z9" s="2028"/>
      <c r="AA9" s="2028"/>
      <c r="AB9" s="2028"/>
      <c r="AC9" s="2028"/>
      <c r="AD9" s="2028"/>
    </row>
    <row r="10" spans="1:30" s="2045" customFormat="1" ht="12.75">
      <c r="A10" s="2903" t="s">
        <v>3371</v>
      </c>
      <c r="B10" s="2031">
        <v>2023</v>
      </c>
      <c r="C10" s="2042">
        <v>1</v>
      </c>
      <c r="D10" s="2007">
        <v>0.89</v>
      </c>
      <c r="E10" s="2007">
        <v>0.74</v>
      </c>
      <c r="F10" s="2007">
        <v>0.56999999999999995</v>
      </c>
      <c r="G10" s="2007">
        <v>0.92</v>
      </c>
      <c r="H10" s="2915">
        <v>0.5</v>
      </c>
      <c r="I10" s="2008">
        <f t="shared" si="4"/>
        <v>0.56999999999999995</v>
      </c>
      <c r="J10" s="2904"/>
      <c r="K10" s="2043">
        <f t="shared" si="17"/>
        <v>8.8999999999999999E-3</v>
      </c>
      <c r="L10" s="2028">
        <f t="shared" si="18"/>
        <v>7.4000000000000003E-3</v>
      </c>
      <c r="M10" s="2028">
        <f t="shared" si="19"/>
        <v>5.6999999999999993E-3</v>
      </c>
      <c r="N10" s="2028">
        <f t="shared" si="20"/>
        <v>9.1999999999999998E-3</v>
      </c>
      <c r="O10" s="2028">
        <f t="shared" si="21"/>
        <v>5.0000000000000001E-3</v>
      </c>
      <c r="P10" s="2028">
        <f t="shared" si="22"/>
        <v>5.6999999999999993E-3</v>
      </c>
      <c r="Q10" s="2904"/>
      <c r="R10" s="2027">
        <f>ROUND(IF(项目基本情况!$B$8="出让",SUMPRODUCT(PRODUCT(1+K10:$K$18)),SUMPRODUCT(PRODUCT(1+K10:$K$17))),4)</f>
        <v>1.0659000000000001</v>
      </c>
      <c r="S10" s="2027">
        <f>ROUND(IF(项目基本情况!$B$8="出让",SUMPRODUCT(PRODUCT(1+L10:$L$18)),SUMPRODUCT(PRODUCT(1+L10:$L$17))),4)</f>
        <v>1.0326</v>
      </c>
      <c r="T10" s="2027">
        <f>ROUND(IF(项目基本情况!$B$8="出让",SUMPRODUCT(PRODUCT(1+M10:$M$18)),SUMPRODUCT(PRODUCT(1+M10:$M$17))),4)</f>
        <v>1.0203</v>
      </c>
      <c r="U10" s="2027">
        <f>ROUND(IF(项目基本情况!$B$8="出让",SUMPRODUCT(PRODUCT(1+N10:$N$18)),SUMPRODUCT(PRODUCT(1+N10:$N$17))),4)</f>
        <v>1.0714999999999999</v>
      </c>
      <c r="V10" s="2027">
        <f>ROUND(IF(项目基本情况!$B$8="出让",SUMPRODUCT(PRODUCT(1+O10:$O$18)),SUMPRODUCT(PRODUCT(1+O10:$O$17))),4)</f>
        <v>1.0555000000000001</v>
      </c>
      <c r="W10" s="2027">
        <f t="shared" ref="W10:W17" si="24">T10</f>
        <v>1.0203</v>
      </c>
      <c r="X10" s="2904"/>
      <c r="Y10" s="2028"/>
      <c r="Z10" s="2028"/>
      <c r="AA10" s="2028"/>
      <c r="AB10" s="2028"/>
      <c r="AC10" s="2028"/>
      <c r="AD10" s="2028"/>
    </row>
    <row r="11" spans="1:30" s="2045" customFormat="1" ht="12.75">
      <c r="A11" s="2903" t="s">
        <v>3370</v>
      </c>
      <c r="B11" s="2031">
        <v>2022</v>
      </c>
      <c r="C11" s="2042">
        <v>4</v>
      </c>
      <c r="D11" s="2007">
        <v>0.62</v>
      </c>
      <c r="E11" s="2007">
        <v>0.2</v>
      </c>
      <c r="F11" s="2007">
        <v>0.11</v>
      </c>
      <c r="G11" s="2007">
        <v>0.69</v>
      </c>
      <c r="H11" s="2915">
        <v>0.53</v>
      </c>
      <c r="I11" s="2008">
        <f t="shared" si="4"/>
        <v>0.11</v>
      </c>
      <c r="J11" s="2904"/>
      <c r="K11" s="2043">
        <f t="shared" si="5"/>
        <v>6.1999999999999998E-3</v>
      </c>
      <c r="L11" s="2028">
        <f t="shared" si="5"/>
        <v>2E-3</v>
      </c>
      <c r="M11" s="2028">
        <f t="shared" si="5"/>
        <v>1.1000000000000001E-3</v>
      </c>
      <c r="N11" s="2028">
        <f t="shared" si="5"/>
        <v>6.8999999999999999E-3</v>
      </c>
      <c r="O11" s="2028">
        <f t="shared" si="5"/>
        <v>5.3E-3</v>
      </c>
      <c r="P11" s="2028">
        <f t="shared" ref="P11:P18" si="25">M11</f>
        <v>1.1000000000000001E-3</v>
      </c>
      <c r="Q11" s="2904"/>
      <c r="R11" s="2027">
        <f>ROUND(IF(项目基本情况!$B$8="出让",SUMPRODUCT(PRODUCT(1+K11:$K$18)),SUMPRODUCT(PRODUCT(1+K11:$K$17))),4)</f>
        <v>1.0565</v>
      </c>
      <c r="S11" s="2027">
        <f>ROUND(IF(项目基本情况!$B$8="出让",SUMPRODUCT(PRODUCT(1+L11:$L$18)),SUMPRODUCT(PRODUCT(1+L11:$L$17))),4)</f>
        <v>1.0250999999999999</v>
      </c>
      <c r="T11" s="2027">
        <f>ROUND(IF(项目基本情况!$B$8="出让",SUMPRODUCT(PRODUCT(1+M11:$M$18)),SUMPRODUCT(PRODUCT(1+M11:$M$17))),4)</f>
        <v>1.0145</v>
      </c>
      <c r="U11" s="2027">
        <f>ROUND(IF(项目基本情况!$B$8="出让",SUMPRODUCT(PRODUCT(1+N11:$N$18)),SUMPRODUCT(PRODUCT(1+N11:$N$17))),4)</f>
        <v>1.0618000000000001</v>
      </c>
      <c r="V11" s="2027">
        <f>ROUND(IF(项目基本情况!$B$8="出让",SUMPRODUCT(PRODUCT(1+O11:$O$18)),SUMPRODUCT(PRODUCT(1+O11:$O$17))),4)</f>
        <v>1.0502</v>
      </c>
      <c r="W11" s="2027">
        <f t="shared" si="24"/>
        <v>1.0145</v>
      </c>
      <c r="X11" s="2904"/>
      <c r="Y11" s="2028">
        <f>IF(D11=0,0,ROUND(AVERAGE(D11:D19)/100,4))</f>
        <v>8.0999999999999996E-3</v>
      </c>
      <c r="Z11" s="2028">
        <f t="shared" ref="Z11:AC11" si="26">IF(E11=0,0,ROUND(AVERAGE(E11:E18)/100,4))</f>
        <v>3.3E-3</v>
      </c>
      <c r="AA11" s="2028">
        <f t="shared" si="26"/>
        <v>1.5E-3</v>
      </c>
      <c r="AB11" s="2028">
        <f t="shared" si="26"/>
        <v>8.8999999999999999E-3</v>
      </c>
      <c r="AC11" s="2028">
        <f t="shared" si="26"/>
        <v>6.6E-3</v>
      </c>
      <c r="AD11" s="2028">
        <f t="shared" si="7"/>
        <v>1.5E-3</v>
      </c>
    </row>
    <row r="12" spans="1:30" s="2045" customFormat="1" ht="12.75">
      <c r="A12" s="2903" t="s">
        <v>3366</v>
      </c>
      <c r="B12" s="2031">
        <v>2022</v>
      </c>
      <c r="C12" s="2042">
        <v>3</v>
      </c>
      <c r="D12" s="2007">
        <v>0.66</v>
      </c>
      <c r="E12" s="2007">
        <v>0.32</v>
      </c>
      <c r="F12" s="2007">
        <v>0.23</v>
      </c>
      <c r="G12" s="2007">
        <v>0.72</v>
      </c>
      <c r="H12" s="2915">
        <v>0.63</v>
      </c>
      <c r="I12" s="2008">
        <f t="shared" si="4"/>
        <v>0.23</v>
      </c>
      <c r="J12" s="2904"/>
      <c r="K12" s="2043">
        <f t="shared" si="5"/>
        <v>6.6E-3</v>
      </c>
      <c r="L12" s="2028">
        <f t="shared" si="5"/>
        <v>3.2000000000000002E-3</v>
      </c>
      <c r="M12" s="2028">
        <f t="shared" si="5"/>
        <v>2.3E-3</v>
      </c>
      <c r="N12" s="2028">
        <f t="shared" si="5"/>
        <v>7.1999999999999998E-3</v>
      </c>
      <c r="O12" s="2028">
        <f t="shared" si="5"/>
        <v>6.3E-3</v>
      </c>
      <c r="P12" s="2028">
        <f t="shared" si="25"/>
        <v>2.3E-3</v>
      </c>
      <c r="Q12" s="2904"/>
      <c r="R12" s="2027">
        <f>ROUND(IF(项目基本情况!$B$8="出让",SUMPRODUCT(PRODUCT(1+K12:$K$18)),SUMPRODUCT(PRODUCT(1+K12:$K$17))),4)</f>
        <v>1.05</v>
      </c>
      <c r="S12" s="2027">
        <f>ROUND(IF(项目基本情况!$B$8="出让",SUMPRODUCT(PRODUCT(1+L12:$L$18)),SUMPRODUCT(PRODUCT(1+L12:$L$17))),4)</f>
        <v>1.0229999999999999</v>
      </c>
      <c r="T12" s="2027">
        <f>ROUND(IF(项目基本情况!$B$8="出让",SUMPRODUCT(PRODUCT(1+M12:$M$18)),SUMPRODUCT(PRODUCT(1+M12:$M$17))),4)</f>
        <v>1.0134000000000001</v>
      </c>
      <c r="U12" s="2027">
        <f>ROUND(IF(项目基本情况!$B$8="出让",SUMPRODUCT(PRODUCT(1+N12:$N$18)),SUMPRODUCT(PRODUCT(1+N12:$N$17))),4)</f>
        <v>1.0545</v>
      </c>
      <c r="V12" s="2027">
        <f>ROUND(IF(项目基本情况!$B$8="出让",SUMPRODUCT(PRODUCT(1+O12:$O$18)),SUMPRODUCT(PRODUCT(1+O12:$O$17))),4)</f>
        <v>1.0447</v>
      </c>
      <c r="W12" s="2027">
        <f t="shared" si="24"/>
        <v>1.0134000000000001</v>
      </c>
      <c r="X12" s="2904"/>
      <c r="Y12" s="2028">
        <f>IF(D12=0,0,ROUND(AVERAGE(D12:D18)/100,4))</f>
        <v>8.3999999999999995E-3</v>
      </c>
      <c r="Z12" s="2028">
        <f t="shared" ref="Z12:AC12" si="27">IF(E12=0,0,ROUND(AVERAGE(E12:E18)/100,4))</f>
        <v>3.5000000000000001E-3</v>
      </c>
      <c r="AA12" s="2028">
        <f t="shared" si="27"/>
        <v>1.5E-3</v>
      </c>
      <c r="AB12" s="2028">
        <f t="shared" si="27"/>
        <v>9.1999999999999998E-3</v>
      </c>
      <c r="AC12" s="2028">
        <f t="shared" si="27"/>
        <v>6.7999999999999996E-3</v>
      </c>
      <c r="AD12" s="2028">
        <f t="shared" si="7"/>
        <v>1.5E-3</v>
      </c>
    </row>
    <row r="13" spans="1:30" s="2045" customFormat="1" ht="12.75">
      <c r="A13" s="2903" t="s">
        <v>3357</v>
      </c>
      <c r="B13" s="2031">
        <v>2022</v>
      </c>
      <c r="C13" s="2042">
        <v>2</v>
      </c>
      <c r="D13" s="2007">
        <v>0.93</v>
      </c>
      <c r="E13" s="2007">
        <v>0.15</v>
      </c>
      <c r="F13" s="2007">
        <v>0.01</v>
      </c>
      <c r="G13" s="2007">
        <v>1.05</v>
      </c>
      <c r="H13" s="2915">
        <v>1.08</v>
      </c>
      <c r="I13" s="2008">
        <f t="shared" si="4"/>
        <v>0.01</v>
      </c>
      <c r="J13" s="2904"/>
      <c r="K13" s="2043">
        <f t="shared" si="5"/>
        <v>9.300000000000001E-3</v>
      </c>
      <c r="L13" s="2028">
        <f t="shared" si="5"/>
        <v>1.5E-3</v>
      </c>
      <c r="M13" s="2028">
        <f t="shared" si="5"/>
        <v>1E-4</v>
      </c>
      <c r="N13" s="2028">
        <f t="shared" si="5"/>
        <v>1.0500000000000001E-2</v>
      </c>
      <c r="O13" s="2028">
        <f t="shared" si="5"/>
        <v>1.0800000000000001E-2</v>
      </c>
      <c r="P13" s="2028">
        <f t="shared" si="25"/>
        <v>1E-4</v>
      </c>
      <c r="Q13" s="2904"/>
      <c r="R13" s="2027">
        <f>ROUND(IF(项目基本情况!$B$8="出让",SUMPRODUCT(PRODUCT(1+K13:$K$18)),SUMPRODUCT(PRODUCT(1+K13:$K$17))),4)</f>
        <v>1.0430999999999999</v>
      </c>
      <c r="S13" s="2027">
        <f>ROUND(IF(项目基本情况!$B$8="出让",SUMPRODUCT(PRODUCT(1+L13:$L$18)),SUMPRODUCT(PRODUCT(1+L13:$L$17))),4)</f>
        <v>1.0197000000000001</v>
      </c>
      <c r="T13" s="2027">
        <f>ROUND(IF(项目基本情况!$B$8="出让",SUMPRODUCT(PRODUCT(1+M13:$M$18)),SUMPRODUCT(PRODUCT(1+M13:$M$17))),4)</f>
        <v>1.0109999999999999</v>
      </c>
      <c r="U13" s="2027">
        <f>ROUND(IF(项目基本情况!$B$8="出让",SUMPRODUCT(PRODUCT(1+N13:$N$18)),SUMPRODUCT(PRODUCT(1+N13:$N$17))),4)</f>
        <v>1.0468999999999999</v>
      </c>
      <c r="V13" s="2027">
        <f>ROUND(IF(项目基本情况!$B$8="出让",SUMPRODUCT(PRODUCT(1+O13:$O$18)),SUMPRODUCT(PRODUCT(1+O13:$O$17))),4)</f>
        <v>1.0382</v>
      </c>
      <c r="W13" s="2027">
        <f t="shared" si="24"/>
        <v>1.0109999999999999</v>
      </c>
      <c r="X13" s="2904"/>
      <c r="Y13" s="2028">
        <f>IF(D13=0,0,ROUND(AVERAGE(D13:D18)/100,4))</f>
        <v>8.6999999999999994E-3</v>
      </c>
      <c r="Z13" s="2028">
        <f t="shared" ref="Z13:AC13" si="28">IF(E13=0,0,ROUND(AVERAGE(E13:E18)/100,4))</f>
        <v>3.5000000000000001E-3</v>
      </c>
      <c r="AA13" s="2028">
        <f t="shared" si="28"/>
        <v>1.4E-3</v>
      </c>
      <c r="AB13" s="2028">
        <f t="shared" si="28"/>
        <v>9.4999999999999998E-3</v>
      </c>
      <c r="AC13" s="2028">
        <f t="shared" si="28"/>
        <v>6.8999999999999999E-3</v>
      </c>
      <c r="AD13" s="2028">
        <f t="shared" si="7"/>
        <v>1.4E-3</v>
      </c>
    </row>
    <row r="14" spans="1:30" s="2045" customFormat="1" ht="12.75">
      <c r="A14" s="2903" t="s">
        <v>2822</v>
      </c>
      <c r="B14" s="2031">
        <v>2022</v>
      </c>
      <c r="C14" s="2042">
        <v>1</v>
      </c>
      <c r="D14" s="2007">
        <v>0.89</v>
      </c>
      <c r="E14" s="2007">
        <v>0.44</v>
      </c>
      <c r="F14" s="2007">
        <v>0.37</v>
      </c>
      <c r="G14" s="2007">
        <v>0.96</v>
      </c>
      <c r="H14" s="2915">
        <v>0.64</v>
      </c>
      <c r="I14" s="2008">
        <f t="shared" si="4"/>
        <v>0.37</v>
      </c>
      <c r="J14" s="2904"/>
      <c r="K14" s="2043">
        <f t="shared" si="5"/>
        <v>8.8999999999999999E-3</v>
      </c>
      <c r="L14" s="2028">
        <f t="shared" si="5"/>
        <v>4.4000000000000003E-3</v>
      </c>
      <c r="M14" s="2028">
        <f t="shared" si="5"/>
        <v>3.7000000000000002E-3</v>
      </c>
      <c r="N14" s="2028">
        <f t="shared" si="5"/>
        <v>9.5999999999999992E-3</v>
      </c>
      <c r="O14" s="2028">
        <f t="shared" si="5"/>
        <v>6.4000000000000003E-3</v>
      </c>
      <c r="P14" s="2028">
        <f t="shared" si="25"/>
        <v>3.7000000000000002E-3</v>
      </c>
      <c r="Q14" s="2904"/>
      <c r="R14" s="2027">
        <f>ROUND(IF(项目基本情况!$B$8="出让",SUMPRODUCT(PRODUCT(1+K14:$K$18)),SUMPRODUCT(PRODUCT(1+K14:$K$17))),4)</f>
        <v>1.0335000000000001</v>
      </c>
      <c r="S14" s="2027">
        <f>ROUND(IF(项目基本情况!$B$8="出让",SUMPRODUCT(PRODUCT(1+L14:$L$18)),SUMPRODUCT(PRODUCT(1+L14:$L$17))),4)</f>
        <v>1.0182</v>
      </c>
      <c r="T14" s="2027">
        <f>ROUND(IF(项目基本情况!$B$8="出让",SUMPRODUCT(PRODUCT(1+M14:$M$18)),SUMPRODUCT(PRODUCT(1+M14:$M$17))),4)</f>
        <v>1.0108999999999999</v>
      </c>
      <c r="U14" s="2027">
        <f>ROUND(IF(项目基本情况!$B$8="出让",SUMPRODUCT(PRODUCT(1+N14:$N$18)),SUMPRODUCT(PRODUCT(1+N14:$N$17))),4)</f>
        <v>1.0361</v>
      </c>
      <c r="V14" s="2027">
        <f>ROUND(IF(项目基本情况!$B$8="出让",SUMPRODUCT(PRODUCT(1+O14:$O$18)),SUMPRODUCT(PRODUCT(1+O14:$O$17))),4)</f>
        <v>1.0270999999999999</v>
      </c>
      <c r="W14" s="2027">
        <f t="shared" si="24"/>
        <v>1.0108999999999999</v>
      </c>
      <c r="X14" s="2904"/>
      <c r="Y14" s="2028">
        <f>IF(D14=0,0,ROUND(AVERAGE(D14:D18)/100,4))</f>
        <v>8.6E-3</v>
      </c>
      <c r="Z14" s="2028">
        <f t="shared" ref="Z14:AC14" si="29">IF(E14=0,0,ROUND(AVERAGE(E14:E18)/100,4))</f>
        <v>3.8999999999999998E-3</v>
      </c>
      <c r="AA14" s="2028">
        <f t="shared" si="29"/>
        <v>1.6999999999999999E-3</v>
      </c>
      <c r="AB14" s="2028">
        <f t="shared" si="29"/>
        <v>9.2999999999999992E-3</v>
      </c>
      <c r="AC14" s="2028">
        <f t="shared" si="29"/>
        <v>6.1000000000000004E-3</v>
      </c>
      <c r="AD14" s="2028">
        <f t="shared" si="7"/>
        <v>1.6999999999999999E-3</v>
      </c>
    </row>
    <row r="15" spans="1:30" s="2045" customFormat="1" ht="12.75">
      <c r="A15" s="2903" t="s">
        <v>2823</v>
      </c>
      <c r="B15" s="2031">
        <v>2021</v>
      </c>
      <c r="C15" s="2042">
        <v>4</v>
      </c>
      <c r="D15" s="2007">
        <v>1.03</v>
      </c>
      <c r="E15" s="2007">
        <v>0.24</v>
      </c>
      <c r="F15" s="2007">
        <v>7.0000000000000007E-2</v>
      </c>
      <c r="G15" s="2007">
        <v>1.17</v>
      </c>
      <c r="H15" s="2915">
        <v>0.55000000000000004</v>
      </c>
      <c r="I15" s="2008">
        <f t="shared" si="4"/>
        <v>7.0000000000000007E-2</v>
      </c>
      <c r="J15" s="2904"/>
      <c r="K15" s="2043">
        <f t="shared" si="5"/>
        <v>1.03E-2</v>
      </c>
      <c r="L15" s="2028">
        <f t="shared" si="5"/>
        <v>2.3999999999999998E-3</v>
      </c>
      <c r="M15" s="2028">
        <f t="shared" si="5"/>
        <v>7.000000000000001E-4</v>
      </c>
      <c r="N15" s="2028">
        <f t="shared" si="5"/>
        <v>1.1699999999999999E-2</v>
      </c>
      <c r="O15" s="2028">
        <f t="shared" si="5"/>
        <v>5.5000000000000005E-3</v>
      </c>
      <c r="P15" s="2028">
        <f t="shared" si="25"/>
        <v>7.000000000000001E-4</v>
      </c>
      <c r="Q15" s="2904"/>
      <c r="R15" s="2027">
        <f>ROUND(IF(项目基本情况!$B$8="出让",SUMPRODUCT(PRODUCT(1+K15:$K$18)),SUMPRODUCT(PRODUCT(1+K15:$K$17))),4)</f>
        <v>1.0244</v>
      </c>
      <c r="S15" s="2027">
        <f>ROUND(IF(项目基本情况!$B$8="出让",SUMPRODUCT(PRODUCT(1+L15:$L$18)),SUMPRODUCT(PRODUCT(1+L15:$L$17))),4)</f>
        <v>1.0138</v>
      </c>
      <c r="T15" s="2027">
        <f>ROUND(IF(项目基本情况!$B$8="出让",SUMPRODUCT(PRODUCT(1+M15:$M$18)),SUMPRODUCT(PRODUCT(1+M15:$M$17))),4)</f>
        <v>1.0072000000000001</v>
      </c>
      <c r="U15" s="2027">
        <f>ROUND(IF(项目基本情况!$B$8="出让",SUMPRODUCT(PRODUCT(1+N15:$N$18)),SUMPRODUCT(PRODUCT(1+N15:$N$17))),4)</f>
        <v>1.0262</v>
      </c>
      <c r="V15" s="2027">
        <f>ROUND(IF(项目基本情况!$B$8="出让",SUMPRODUCT(PRODUCT(1+O15:$O$18)),SUMPRODUCT(PRODUCT(1+O15:$O$17))),4)</f>
        <v>1.0205</v>
      </c>
      <c r="W15" s="2027">
        <f t="shared" si="24"/>
        <v>1.0072000000000001</v>
      </c>
      <c r="X15" s="2904"/>
      <c r="Y15" s="2028">
        <f>IF(D15=0,0,ROUND(AVERAGE(D15:D18)/100,4))</f>
        <v>8.5000000000000006E-3</v>
      </c>
      <c r="Z15" s="2028">
        <f t="shared" ref="Z15:AC15" si="30">IF(E15=0,0,ROUND(AVERAGE(E15:E18)/100,4))</f>
        <v>3.8E-3</v>
      </c>
      <c r="AA15" s="2028">
        <f t="shared" si="30"/>
        <v>1.1999999999999999E-3</v>
      </c>
      <c r="AB15" s="2028">
        <f t="shared" si="30"/>
        <v>9.2999999999999992E-3</v>
      </c>
      <c r="AC15" s="2028">
        <f t="shared" si="30"/>
        <v>6.0000000000000001E-3</v>
      </c>
      <c r="AD15" s="2028">
        <f t="shared" si="7"/>
        <v>1.1999999999999999E-3</v>
      </c>
    </row>
    <row r="16" spans="1:30" s="2045" customFormat="1" ht="12.75">
      <c r="A16" s="2903" t="s">
        <v>2824</v>
      </c>
      <c r="B16" s="2031">
        <v>2021</v>
      </c>
      <c r="C16" s="2042">
        <v>3</v>
      </c>
      <c r="D16" s="2007">
        <v>0.47</v>
      </c>
      <c r="E16" s="2007">
        <v>0.41</v>
      </c>
      <c r="F16" s="2007">
        <v>0.24</v>
      </c>
      <c r="G16" s="2007">
        <v>0.48</v>
      </c>
      <c r="H16" s="2915">
        <v>0.48</v>
      </c>
      <c r="I16" s="2008">
        <f t="shared" si="4"/>
        <v>0.24</v>
      </c>
      <c r="J16" s="2904"/>
      <c r="K16" s="2043">
        <f t="shared" si="5"/>
        <v>4.6999999999999993E-3</v>
      </c>
      <c r="L16" s="2028">
        <f t="shared" si="5"/>
        <v>4.0999999999999995E-3</v>
      </c>
      <c r="M16" s="2028">
        <f t="shared" si="5"/>
        <v>2.3999999999999998E-3</v>
      </c>
      <c r="N16" s="2028">
        <f t="shared" si="5"/>
        <v>4.7999999999999996E-3</v>
      </c>
      <c r="O16" s="2028">
        <f t="shared" si="5"/>
        <v>4.7999999999999996E-3</v>
      </c>
      <c r="P16" s="2028">
        <f t="shared" si="25"/>
        <v>2.3999999999999998E-3</v>
      </c>
      <c r="Q16" s="2904"/>
      <c r="R16" s="2027">
        <f>ROUND(IF(项目基本情况!$B$8="出让",SUMPRODUCT(PRODUCT(1+K16:$K$18)),SUMPRODUCT(PRODUCT(1+K16:$K$17))),4)</f>
        <v>1.0139</v>
      </c>
      <c r="S16" s="2027">
        <f>ROUND(IF(项目基本情况!$B$8="出让",SUMPRODUCT(PRODUCT(1+L16:$L$18)),SUMPRODUCT(PRODUCT(1+L16:$L$17))),4)</f>
        <v>1.0113000000000001</v>
      </c>
      <c r="T16" s="2027">
        <f>ROUND(IF(项目基本情况!$B$8="出让",SUMPRODUCT(PRODUCT(1+M16:$M$18)),SUMPRODUCT(PRODUCT(1+M16:$M$17))),4)</f>
        <v>1.0065</v>
      </c>
      <c r="U16" s="2027">
        <f>ROUND(IF(项目基本情况!$B$8="出让",SUMPRODUCT(PRODUCT(1+N16:$N$18)),SUMPRODUCT(PRODUCT(1+N16:$N$17))),4)</f>
        <v>1.0143</v>
      </c>
      <c r="V16" s="2027">
        <f>ROUND(IF(项目基本情况!$B$8="出让",SUMPRODUCT(PRODUCT(1+O16:$O$18)),SUMPRODUCT(PRODUCT(1+O16:$O$17))),4)</f>
        <v>1.0148999999999999</v>
      </c>
      <c r="W16" s="2027">
        <f t="shared" si="24"/>
        <v>1.0065</v>
      </c>
      <c r="X16" s="2904"/>
      <c r="Y16" s="2028">
        <f>IF(D16=0,0,ROUND(AVERAGE(D16:D18)/100,4))</f>
        <v>7.9000000000000008E-3</v>
      </c>
      <c r="Z16" s="2028">
        <f>IF(E16=0,0,ROUND(AVERAGE(E16:E18)/100,4))</f>
        <v>4.3E-3</v>
      </c>
      <c r="AA16" s="2028">
        <f>IF(F16=0,0,ROUND(AVERAGE(F16:F18)/100,4))</f>
        <v>1.2999999999999999E-3</v>
      </c>
      <c r="AB16" s="2028">
        <f>IF(G16=0,0,ROUND(AVERAGE(G16:G18)/100,4))</f>
        <v>8.5000000000000006E-3</v>
      </c>
      <c r="AC16" s="2028">
        <f>IF(H16=0,0,ROUND(AVERAGE(H16:H18)/100,4))</f>
        <v>6.1999999999999998E-3</v>
      </c>
      <c r="AD16" s="2028">
        <f t="shared" si="7"/>
        <v>1.2999999999999999E-3</v>
      </c>
    </row>
    <row r="17" spans="1:30" s="2045" customFormat="1" ht="12.75">
      <c r="A17" s="2903" t="s">
        <v>2825</v>
      </c>
      <c r="B17" s="2031">
        <v>2021</v>
      </c>
      <c r="C17" s="2042">
        <v>2</v>
      </c>
      <c r="D17" s="2007">
        <v>0.92</v>
      </c>
      <c r="E17" s="2007">
        <v>0.72</v>
      </c>
      <c r="F17" s="2007">
        <v>0.41</v>
      </c>
      <c r="G17" s="2007">
        <v>0.95</v>
      </c>
      <c r="H17" s="2915">
        <v>1.01</v>
      </c>
      <c r="I17" s="2008">
        <f t="shared" si="4"/>
        <v>0.41</v>
      </c>
      <c r="J17" s="2904"/>
      <c r="K17" s="2043">
        <f t="shared" si="5"/>
        <v>9.1999999999999998E-3</v>
      </c>
      <c r="L17" s="2028">
        <f t="shared" si="5"/>
        <v>7.1999999999999998E-3</v>
      </c>
      <c r="M17" s="2028">
        <f t="shared" si="5"/>
        <v>4.0999999999999995E-3</v>
      </c>
      <c r="N17" s="2028">
        <f t="shared" si="5"/>
        <v>9.4999999999999998E-3</v>
      </c>
      <c r="O17" s="2028">
        <f t="shared" si="5"/>
        <v>1.01E-2</v>
      </c>
      <c r="P17" s="2028">
        <f t="shared" si="25"/>
        <v>4.0999999999999995E-3</v>
      </c>
      <c r="Q17" s="2904"/>
      <c r="R17" s="2027">
        <f>ROUND(IF(项目基本情况!$B$8="出让",SUMPRODUCT(PRODUCT(1+K17:$K$18)),SUMPRODUCT(PRODUCT(1+K17:$K$17))),4)</f>
        <v>1.0092000000000001</v>
      </c>
      <c r="S17" s="2027">
        <f>ROUND(IF(项目基本情况!$B$8="出让",SUMPRODUCT(PRODUCT(1+L17:$L$18)),SUMPRODUCT(PRODUCT(1+L17:$L$17))),4)</f>
        <v>1.0072000000000001</v>
      </c>
      <c r="T17" s="2027">
        <f>ROUND(IF(项目基本情况!$B$8="出让",SUMPRODUCT(PRODUCT(1+M17:$M$18)),SUMPRODUCT(PRODUCT(1+M17:$M$17))),4)</f>
        <v>1.0041</v>
      </c>
      <c r="U17" s="2027">
        <f>ROUND(IF(项目基本情况!$B$8="出让",SUMPRODUCT(PRODUCT(1+N17:$N$18)),SUMPRODUCT(PRODUCT(1+N17:$N$17))),4)</f>
        <v>1.0095000000000001</v>
      </c>
      <c r="V17" s="2027">
        <f>ROUND(IF(项目基本情况!$B$8="出让",SUMPRODUCT(PRODUCT(1+O17:$O$18)),SUMPRODUCT(PRODUCT(1+O17:$O$17))),4)</f>
        <v>1.0101</v>
      </c>
      <c r="W17" s="2027">
        <f t="shared" si="24"/>
        <v>1.0041</v>
      </c>
      <c r="X17" s="2904"/>
      <c r="Y17" s="2028">
        <f>IF(D17=0,0,ROUND(AVERAGE(D17:D18)/100,4))</f>
        <v>9.4999999999999998E-3</v>
      </c>
      <c r="Z17" s="2028">
        <f>IF(E17=0,0,ROUND(AVERAGE(E17:E18)/100,4))</f>
        <v>4.4000000000000003E-3</v>
      </c>
      <c r="AA17" s="2028">
        <f>IF(F17=0,0,ROUND(AVERAGE(F17:F18)/100,4))</f>
        <v>8.0000000000000004E-4</v>
      </c>
      <c r="AB17" s="2028">
        <f>IF(G17=0,0,ROUND(AVERAGE(G17:G18)/100,4))</f>
        <v>1.03E-2</v>
      </c>
      <c r="AC17" s="2028">
        <f>IF(H17=0,0,ROUND(AVERAGE(H17:H18)/100,4))</f>
        <v>6.8999999999999999E-3</v>
      </c>
      <c r="AD17" s="2028">
        <f t="shared" si="7"/>
        <v>8.0000000000000004E-4</v>
      </c>
    </row>
    <row r="18" spans="1:30" s="2926" customFormat="1" thickBot="1">
      <c r="A18" s="2916" t="s">
        <v>2826</v>
      </c>
      <c r="B18" s="2917">
        <v>2021</v>
      </c>
      <c r="C18" s="2918">
        <v>1</v>
      </c>
      <c r="D18" s="2919">
        <v>0.97</v>
      </c>
      <c r="E18" s="2919">
        <v>0.16</v>
      </c>
      <c r="F18" s="2919">
        <v>-0.25</v>
      </c>
      <c r="G18" s="2919">
        <v>1.1100000000000001</v>
      </c>
      <c r="H18" s="2920">
        <v>0.36</v>
      </c>
      <c r="I18" s="2921">
        <f t="shared" si="4"/>
        <v>-0.25</v>
      </c>
      <c r="J18" s="2922"/>
      <c r="K18" s="2923">
        <f t="shared" si="5"/>
        <v>9.7000000000000003E-3</v>
      </c>
      <c r="L18" s="2924">
        <f t="shared" si="5"/>
        <v>1.6000000000000001E-3</v>
      </c>
      <c r="M18" s="2924">
        <f>F18/100</f>
        <v>-2.5000000000000001E-3</v>
      </c>
      <c r="N18" s="2924">
        <f t="shared" si="5"/>
        <v>1.11E-2</v>
      </c>
      <c r="O18" s="2924">
        <f t="shared" si="5"/>
        <v>3.5999999999999999E-3</v>
      </c>
      <c r="P18" s="2924">
        <f t="shared" si="25"/>
        <v>-2.5000000000000001E-3</v>
      </c>
      <c r="Q18" s="2922"/>
      <c r="R18" s="2925">
        <v>1</v>
      </c>
      <c r="S18" s="2925">
        <v>1</v>
      </c>
      <c r="T18" s="2925">
        <v>1</v>
      </c>
      <c r="U18" s="2925">
        <v>1</v>
      </c>
      <c r="V18" s="2925">
        <v>1</v>
      </c>
      <c r="W18" s="2925">
        <f t="shared" ref="W18" si="31">T18</f>
        <v>1</v>
      </c>
      <c r="X18" s="2922"/>
      <c r="Y18" s="2924">
        <f>IF(D18=0,0,ROUND(AVERAGE(D18:D18)/100,4))</f>
        <v>9.7000000000000003E-3</v>
      </c>
      <c r="Z18" s="2924">
        <f>IF(E18=0,0,ROUND(AVERAGE(E18:E18)/100,4))</f>
        <v>1.6000000000000001E-3</v>
      </c>
      <c r="AA18" s="2924">
        <f>IF(F18=0,0,ROUND(AVERAGE(F18:F18)/100,4))</f>
        <v>-2.5000000000000001E-3</v>
      </c>
      <c r="AB18" s="2924">
        <f>IF(G18=0,0,ROUND(AVERAGE(G18:G18)/100,4))</f>
        <v>1.11E-2</v>
      </c>
      <c r="AC18" s="2924">
        <f>IF(H18=0,0,ROUND(AVERAGE(H18:H18)/100,4))</f>
        <v>3.5999999999999999E-3</v>
      </c>
      <c r="AD18" s="2924">
        <f>AA18</f>
        <v>-2.5000000000000001E-3</v>
      </c>
    </row>
    <row r="19" spans="1:30" ht="14.25" thickTop="1"/>
    <row r="20" spans="1:30">
      <c r="A20" s="3141" t="s">
        <v>3368</v>
      </c>
    </row>
    <row r="21" spans="1:30">
      <c r="I21" s="1405" t="s">
        <v>2827</v>
      </c>
    </row>
    <row r="23" spans="1:30" s="2009" customFormat="1" ht="12.75">
      <c r="B23" s="2927" t="s">
        <v>3374</v>
      </c>
      <c r="C23" s="2928"/>
      <c r="D23" s="2928"/>
      <c r="E23" s="2928"/>
      <c r="F23" s="2928"/>
      <c r="G23" s="2928"/>
      <c r="H23" s="2928"/>
      <c r="I23" s="2928"/>
      <c r="J23" s="2894"/>
      <c r="K23" s="2928" t="s">
        <v>2828</v>
      </c>
      <c r="L23" s="2928"/>
      <c r="M23" s="2928"/>
      <c r="N23" s="2928"/>
      <c r="O23" s="2928"/>
      <c r="P23" s="2928"/>
      <c r="Q23" s="2894"/>
      <c r="R23" s="3486" t="s">
        <v>2829</v>
      </c>
      <c r="S23" s="3487"/>
      <c r="T23" s="3487"/>
      <c r="U23" s="3487"/>
      <c r="V23" s="3487"/>
      <c r="W23" s="3487"/>
      <c r="X23" s="2894"/>
      <c r="Y23" s="3486" t="s">
        <v>2830</v>
      </c>
      <c r="Z23" s="3487"/>
      <c r="AA23" s="3487"/>
      <c r="AB23" s="3487"/>
      <c r="AC23" s="3487"/>
      <c r="AD23" s="3487"/>
    </row>
    <row r="24" spans="1:30" s="2010" customFormat="1" ht="14.25" thickBot="1">
      <c r="B24" s="2879"/>
      <c r="C24" s="2880"/>
      <c r="D24" s="2011" t="s">
        <v>2831</v>
      </c>
      <c r="E24" s="2012" t="s">
        <v>2832</v>
      </c>
      <c r="F24" s="2012" t="s">
        <v>2833</v>
      </c>
      <c r="G24" s="2012" t="s">
        <v>2834</v>
      </c>
      <c r="H24" s="2012"/>
      <c r="I24" s="2012" t="s">
        <v>2835</v>
      </c>
      <c r="J24" s="2881"/>
      <c r="K24" s="2011" t="s">
        <v>2831</v>
      </c>
      <c r="L24" s="2012" t="s">
        <v>2832</v>
      </c>
      <c r="M24" s="2012" t="s">
        <v>2833</v>
      </c>
      <c r="N24" s="2012" t="s">
        <v>2834</v>
      </c>
      <c r="O24" s="2012"/>
      <c r="P24" s="2012" t="s">
        <v>2835</v>
      </c>
      <c r="Q24" s="2881"/>
      <c r="R24" s="2011" t="s">
        <v>2831</v>
      </c>
      <c r="S24" s="2012" t="s">
        <v>2832</v>
      </c>
      <c r="T24" s="2012" t="s">
        <v>2833</v>
      </c>
      <c r="U24" s="2012" t="s">
        <v>2834</v>
      </c>
      <c r="V24" s="2012"/>
      <c r="W24" s="2012" t="s">
        <v>2835</v>
      </c>
      <c r="X24" s="2881"/>
      <c r="Y24" s="2011" t="s">
        <v>2831</v>
      </c>
      <c r="Z24" s="2012" t="s">
        <v>2832</v>
      </c>
      <c r="AA24" s="2012" t="s">
        <v>2833</v>
      </c>
      <c r="AB24" s="2012" t="s">
        <v>2834</v>
      </c>
      <c r="AC24" s="2012"/>
      <c r="AD24" s="2012" t="s">
        <v>2835</v>
      </c>
    </row>
    <row r="25" spans="1:30" s="2884" customFormat="1" ht="12.75">
      <c r="A25" s="2882" t="s">
        <v>2836</v>
      </c>
      <c r="B25" s="2883"/>
      <c r="E25" s="2884">
        <f t="shared" ref="E25:G25" si="32">ROUND(AVERAGEIF(E26:E40,"&lt;&gt;0"),2)</f>
        <v>0.39</v>
      </c>
      <c r="F25" s="2884">
        <f t="shared" si="32"/>
        <v>0.28000000000000003</v>
      </c>
      <c r="G25" s="2884">
        <f t="shared" si="32"/>
        <v>0.67</v>
      </c>
      <c r="I25" s="2884">
        <f>F25</f>
        <v>0.28000000000000003</v>
      </c>
      <c r="J25" s="2885"/>
      <c r="K25" s="2886"/>
      <c r="L25" s="2887">
        <f t="shared" ref="L25:N25" si="33">ROUND(AVERAGEIF(L26:L40,"&lt;&gt;0"),4)</f>
        <v>3.8999999999999998E-3</v>
      </c>
      <c r="M25" s="2887">
        <f t="shared" si="33"/>
        <v>2.8E-3</v>
      </c>
      <c r="N25" s="2887">
        <f t="shared" si="33"/>
        <v>6.7000000000000002E-3</v>
      </c>
      <c r="O25" s="2887"/>
      <c r="P25" s="2887">
        <f>M25</f>
        <v>2.8E-3</v>
      </c>
      <c r="Q25" s="2885"/>
      <c r="R25" s="2888"/>
      <c r="S25" s="2889">
        <f>ROUND(SUMPRODUCT(PRODUCT(1+L26:L40)),4)</f>
        <v>1.0476000000000001</v>
      </c>
      <c r="T25" s="2889">
        <f t="shared" ref="T25:U25" si="34">ROUND(SUMPRODUCT(PRODUCT(1+M26:M40)),4)</f>
        <v>1.0346</v>
      </c>
      <c r="U25" s="2889">
        <f t="shared" si="34"/>
        <v>1.0831999999999999</v>
      </c>
      <c r="V25" s="2889"/>
      <c r="W25" s="2888">
        <f>T25</f>
        <v>1.0346</v>
      </c>
      <c r="X25" s="2885"/>
      <c r="Y25" s="2890"/>
      <c r="Z25" s="2891">
        <f t="shared" ref="Z25:AB25" si="35">ROUND(AVERAGEIF(Z26:Z40,"&lt;&gt;0"),4)</f>
        <v>4.3E-3</v>
      </c>
      <c r="AA25" s="2892">
        <f t="shared" si="35"/>
        <v>3.5999999999999999E-3</v>
      </c>
      <c r="AB25" s="2890">
        <f t="shared" si="35"/>
        <v>8.8999999999999999E-3</v>
      </c>
      <c r="AC25" s="2893"/>
      <c r="AD25" s="2890">
        <f>AA25</f>
        <v>3.5999999999999999E-3</v>
      </c>
    </row>
    <row r="26" spans="1:30" s="2009" customFormat="1" ht="12.75">
      <c r="B26" s="2025"/>
      <c r="J26" s="2894"/>
      <c r="K26" s="2895"/>
      <c r="L26" s="2896"/>
      <c r="M26" s="2896"/>
      <c r="N26" s="2896"/>
      <c r="O26" s="2896"/>
      <c r="P26" s="2896"/>
      <c r="Q26" s="2894"/>
      <c r="R26" s="2027"/>
      <c r="S26" s="2897"/>
      <c r="T26" s="2898"/>
      <c r="U26" s="2027"/>
      <c r="V26" s="2899"/>
      <c r="W26" s="2027"/>
      <c r="X26" s="2894"/>
      <c r="Y26" s="2028"/>
      <c r="Z26" s="2900"/>
      <c r="AA26" s="2901"/>
      <c r="AB26" s="2028"/>
      <c r="AC26" s="2902"/>
      <c r="AD26" s="2028"/>
    </row>
    <row r="27" spans="1:30" s="2045" customFormat="1" ht="12.75">
      <c r="A27" s="2040" t="s">
        <v>3376</v>
      </c>
      <c r="B27" s="2031">
        <v>2024</v>
      </c>
      <c r="C27" s="2042">
        <v>2</v>
      </c>
      <c r="D27" s="2007"/>
      <c r="E27" s="2007">
        <v>0</v>
      </c>
      <c r="F27" s="2007">
        <v>0</v>
      </c>
      <c r="G27" s="2007">
        <v>0</v>
      </c>
      <c r="H27" s="2007"/>
      <c r="I27" s="2008">
        <f t="shared" ref="I27:I40" si="36">F27</f>
        <v>0</v>
      </c>
      <c r="J27" s="2904"/>
      <c r="K27" s="2043"/>
      <c r="L27" s="2028">
        <f t="shared" ref="L27:N40" si="37">E27/100</f>
        <v>0</v>
      </c>
      <c r="M27" s="2028">
        <f t="shared" si="37"/>
        <v>0</v>
      </c>
      <c r="N27" s="2028">
        <f t="shared" si="37"/>
        <v>0</v>
      </c>
      <c r="O27" s="2028"/>
      <c r="P27" s="2028">
        <f>M27</f>
        <v>0</v>
      </c>
      <c r="Q27" s="2904"/>
      <c r="R27" s="2027"/>
      <c r="S27" s="2027">
        <f>ROUND(IF(项目基本情况!$B$8="出让",SUMPRODUCT(PRODUCT(1+L27:L$40)),SUMPRODUCT(PRODUCT(1+L27:L$39))),4)</f>
        <v>1.0439000000000001</v>
      </c>
      <c r="T27" s="2027">
        <f>ROUND(IF(项目基本情况!$B$8="出让",SUMPRODUCT(PRODUCT(1+M27:M$40)),SUMPRODUCT(PRODUCT(1+M27:M$39))),4)</f>
        <v>1.0297000000000001</v>
      </c>
      <c r="U27" s="2027">
        <f>ROUND(IF(项目基本情况!$B$8="出让",SUMPRODUCT(PRODUCT(1+N27:N$40)),SUMPRODUCT(PRODUCT(1+N27:N$39))),4)</f>
        <v>1.0727</v>
      </c>
      <c r="V27" s="2027"/>
      <c r="W27" s="2027">
        <f>T27</f>
        <v>1.0297000000000001</v>
      </c>
      <c r="X27" s="2904"/>
      <c r="Y27" s="2028"/>
      <c r="Z27" s="2900">
        <f>IF(E27=0,0,ROUND(AVERAGE(E27:E40)/100,4))</f>
        <v>0</v>
      </c>
      <c r="AA27" s="2900">
        <f>IF(F27=0,0,ROUND(AVERAGE(F27:F40)/100,4))</f>
        <v>0</v>
      </c>
      <c r="AB27" s="2900">
        <f>IF(G27=0,0,ROUND(AVERAGE(G27:G40)/100,4))</f>
        <v>0</v>
      </c>
      <c r="AC27" s="2902"/>
      <c r="AD27" s="2028">
        <f>IF(I27=0,0,ROUND(AVERAGE(I27:I40)/100,4))</f>
        <v>0</v>
      </c>
    </row>
    <row r="28" spans="1:30" s="2045" customFormat="1" ht="12.75">
      <c r="A28" s="2040" t="s">
        <v>3377</v>
      </c>
      <c r="B28" s="2031">
        <v>2024</v>
      </c>
      <c r="C28" s="2042">
        <v>1</v>
      </c>
      <c r="D28" s="2007"/>
      <c r="E28" s="2007">
        <v>0</v>
      </c>
      <c r="F28" s="2007">
        <v>0</v>
      </c>
      <c r="G28" s="2007">
        <v>0</v>
      </c>
      <c r="H28" s="2007"/>
      <c r="I28" s="2008">
        <f t="shared" ref="I28:I29" si="38">F28</f>
        <v>0</v>
      </c>
      <c r="J28" s="2904"/>
      <c r="K28" s="2043"/>
      <c r="L28" s="2028">
        <f t="shared" ref="L28" si="39">E28/100</f>
        <v>0</v>
      </c>
      <c r="M28" s="2028">
        <f t="shared" ref="M28" si="40">F28/100</f>
        <v>0</v>
      </c>
      <c r="N28" s="2028">
        <f t="shared" ref="N28" si="41">G28/100</f>
        <v>0</v>
      </c>
      <c r="O28" s="2028"/>
      <c r="P28" s="2028">
        <f t="shared" ref="P28" si="42">M28</f>
        <v>0</v>
      </c>
      <c r="Q28" s="2904"/>
      <c r="R28" s="2027"/>
      <c r="S28" s="2027">
        <f>ROUND(IF(项目基本情况!$B$8="出让",SUMPRODUCT(PRODUCT(1+L28:L$40)),SUMPRODUCT(PRODUCT(1+L28:L$39))),4)</f>
        <v>1.0439000000000001</v>
      </c>
      <c r="T28" s="2027">
        <f>ROUND(IF(项目基本情况!$B$8="出让",SUMPRODUCT(PRODUCT(1+M28:M$40)),SUMPRODUCT(PRODUCT(1+M28:M$39))),4)</f>
        <v>1.0297000000000001</v>
      </c>
      <c r="U28" s="2027">
        <f>ROUND(IF(项目基本情况!$B$8="出让",SUMPRODUCT(PRODUCT(1+N28:N$40)),SUMPRODUCT(PRODUCT(1+N28:N$39))),4)</f>
        <v>1.0727</v>
      </c>
      <c r="V28" s="2027"/>
      <c r="W28" s="2027">
        <f t="shared" ref="W28" si="43">T28</f>
        <v>1.0297000000000001</v>
      </c>
      <c r="X28" s="2904"/>
      <c r="Y28" s="2028"/>
      <c r="Z28" s="2900"/>
      <c r="AA28" s="2901"/>
      <c r="AB28" s="2028"/>
      <c r="AC28" s="2902"/>
      <c r="AD28" s="2028"/>
    </row>
    <row r="29" spans="1:30" s="2914" customFormat="1" ht="12.75">
      <c r="A29" s="2905" t="s">
        <v>3381</v>
      </c>
      <c r="B29" s="2906">
        <v>2023</v>
      </c>
      <c r="C29" s="2907">
        <v>4</v>
      </c>
      <c r="D29" s="2908"/>
      <c r="E29" s="2908">
        <v>7.0000000000000007E-2</v>
      </c>
      <c r="F29" s="2908">
        <v>0.09</v>
      </c>
      <c r="G29" s="2908">
        <v>0.03</v>
      </c>
      <c r="H29" s="2909"/>
      <c r="I29" s="2910">
        <f t="shared" si="38"/>
        <v>0.09</v>
      </c>
      <c r="J29" s="2911"/>
      <c r="K29" s="2912"/>
      <c r="L29" s="2913">
        <f t="shared" si="37"/>
        <v>7.000000000000001E-4</v>
      </c>
      <c r="M29" s="2913">
        <f t="shared" si="37"/>
        <v>8.9999999999999998E-4</v>
      </c>
      <c r="N29" s="2913">
        <f t="shared" si="37"/>
        <v>2.9999999999999997E-4</v>
      </c>
      <c r="O29" s="2913"/>
      <c r="P29" s="2913">
        <f t="shared" ref="P29" si="44">M29</f>
        <v>8.9999999999999998E-4</v>
      </c>
      <c r="Q29" s="2911"/>
      <c r="R29" s="2911"/>
      <c r="S29" s="2911">
        <f>ROUND(IF(项目基本情况!$B$8="出让",SUMPRODUCT(PRODUCT(1+L29:L$40)),SUMPRODUCT(PRODUCT(1+L29:L$39))),4)</f>
        <v>1.0439000000000001</v>
      </c>
      <c r="T29" s="2911">
        <f>ROUND(IF(项目基本情况!$B$8="出让",SUMPRODUCT(PRODUCT(1+M29:M$40)),SUMPRODUCT(PRODUCT(1+M29:M$39))),4)</f>
        <v>1.0297000000000001</v>
      </c>
      <c r="U29" s="2911">
        <f>ROUND(IF(项目基本情况!$B$8="出让",SUMPRODUCT(PRODUCT(1+N29:N$40)),SUMPRODUCT(PRODUCT(1+N29:N$39))),4)</f>
        <v>1.0727</v>
      </c>
      <c r="V29" s="2911"/>
      <c r="W29" s="2911">
        <f t="shared" ref="W29" si="45">T29</f>
        <v>1.0297000000000001</v>
      </c>
      <c r="X29" s="2911"/>
      <c r="Y29" s="2913"/>
      <c r="Z29" s="2929"/>
      <c r="AA29" s="2930"/>
      <c r="AB29" s="2913"/>
      <c r="AC29" s="2931"/>
      <c r="AD29" s="2913"/>
    </row>
    <row r="30" spans="1:30" s="2045" customFormat="1" ht="12.75">
      <c r="A30" s="2903" t="s">
        <v>3380</v>
      </c>
      <c r="B30" s="2031">
        <v>2023</v>
      </c>
      <c r="C30" s="2042">
        <v>3</v>
      </c>
      <c r="D30" s="2007"/>
      <c r="E30" s="2007">
        <v>0.35</v>
      </c>
      <c r="F30" s="2007">
        <v>0.17</v>
      </c>
      <c r="G30" s="2007">
        <v>0.52</v>
      </c>
      <c r="H30" s="2915"/>
      <c r="I30" s="2008">
        <f t="shared" si="36"/>
        <v>0.17</v>
      </c>
      <c r="J30" s="2904"/>
      <c r="K30" s="2043"/>
      <c r="L30" s="2028">
        <f t="shared" ref="L30:L32" si="46">E30/100</f>
        <v>3.4999999999999996E-3</v>
      </c>
      <c r="M30" s="2028">
        <f t="shared" ref="M30:M32" si="47">F30/100</f>
        <v>1.7000000000000001E-3</v>
      </c>
      <c r="N30" s="2028">
        <f t="shared" ref="N30:N32" si="48">G30/100</f>
        <v>5.1999999999999998E-3</v>
      </c>
      <c r="O30" s="2028"/>
      <c r="P30" s="2028">
        <f t="shared" ref="P30:P32" si="49">M30</f>
        <v>1.7000000000000001E-3</v>
      </c>
      <c r="Q30" s="2904"/>
      <c r="R30" s="2027"/>
      <c r="S30" s="2027">
        <f>ROUND(IF(项目基本情况!$B$8="出让",SUMPRODUCT(PRODUCT(1+L30:L$40)),SUMPRODUCT(PRODUCT(1+L30:L$39))),4)</f>
        <v>1.0431999999999999</v>
      </c>
      <c r="T30" s="2027">
        <f>ROUND(IF(项目基本情况!$B$8="出让",SUMPRODUCT(PRODUCT(1+M30:M$40)),SUMPRODUCT(PRODUCT(1+M30:M$39))),4)</f>
        <v>1.0286999999999999</v>
      </c>
      <c r="U30" s="2027">
        <f>ROUND(IF(项目基本情况!$B$8="出让",SUMPRODUCT(PRODUCT(1+N30:N$40)),SUMPRODUCT(PRODUCT(1+N30:N$39))),4)</f>
        <v>1.0723</v>
      </c>
      <c r="V30" s="2027"/>
      <c r="W30" s="2027">
        <f t="shared" ref="W30:W32" si="50">T30</f>
        <v>1.0286999999999999</v>
      </c>
      <c r="X30" s="2904"/>
      <c r="Y30" s="2028"/>
      <c r="Z30" s="2900"/>
      <c r="AA30" s="2901"/>
      <c r="AB30" s="2028"/>
      <c r="AC30" s="2902"/>
      <c r="AD30" s="2028"/>
    </row>
    <row r="31" spans="1:30" s="2045" customFormat="1" ht="12.75">
      <c r="A31" s="2903" t="s">
        <v>3375</v>
      </c>
      <c r="B31" s="2031">
        <v>2023</v>
      </c>
      <c r="C31" s="2042">
        <v>2</v>
      </c>
      <c r="D31" s="2007"/>
      <c r="E31" s="2007">
        <v>0.5</v>
      </c>
      <c r="F31" s="2007">
        <v>0.45</v>
      </c>
      <c r="G31" s="2007">
        <v>0.89</v>
      </c>
      <c r="H31" s="2915"/>
      <c r="I31" s="2008">
        <f t="shared" si="36"/>
        <v>0.45</v>
      </c>
      <c r="J31" s="2904"/>
      <c r="K31" s="2043"/>
      <c r="L31" s="2028">
        <f t="shared" si="46"/>
        <v>5.0000000000000001E-3</v>
      </c>
      <c r="M31" s="2028">
        <f t="shared" si="47"/>
        <v>4.5000000000000005E-3</v>
      </c>
      <c r="N31" s="2028">
        <f t="shared" si="48"/>
        <v>8.8999999999999999E-3</v>
      </c>
      <c r="O31" s="2028"/>
      <c r="P31" s="2028">
        <f t="shared" si="49"/>
        <v>4.5000000000000005E-3</v>
      </c>
      <c r="Q31" s="2904"/>
      <c r="R31" s="2027"/>
      <c r="S31" s="2027">
        <f>ROUND(IF(项目基本情况!$B$8="出让",SUMPRODUCT(PRODUCT(1+L31:L$40)),SUMPRODUCT(PRODUCT(1+L31:L$39))),4)</f>
        <v>1.0396000000000001</v>
      </c>
      <c r="T31" s="2027">
        <f>ROUND(IF(项目基本情况!$B$8="出让",SUMPRODUCT(PRODUCT(1+M31:M$40)),SUMPRODUCT(PRODUCT(1+M31:M$39))),4)</f>
        <v>1.0269999999999999</v>
      </c>
      <c r="U31" s="2027">
        <f>ROUND(IF(项目基本情况!$B$8="出让",SUMPRODUCT(PRODUCT(1+N31:N$40)),SUMPRODUCT(PRODUCT(1+N31:N$39))),4)</f>
        <v>1.0668</v>
      </c>
      <c r="V31" s="2027"/>
      <c r="W31" s="2027">
        <f t="shared" si="50"/>
        <v>1.0269999999999999</v>
      </c>
      <c r="X31" s="2904"/>
      <c r="Y31" s="2028"/>
      <c r="Z31" s="2900"/>
      <c r="AA31" s="2901"/>
      <c r="AB31" s="2028"/>
      <c r="AC31" s="2902"/>
      <c r="AD31" s="2028"/>
    </row>
    <row r="32" spans="1:30" s="2045" customFormat="1" ht="12.75">
      <c r="A32" s="2903" t="s">
        <v>3371</v>
      </c>
      <c r="B32" s="2031">
        <v>2023</v>
      </c>
      <c r="C32" s="2042">
        <v>1</v>
      </c>
      <c r="D32" s="2007"/>
      <c r="E32" s="2007">
        <v>0.55000000000000004</v>
      </c>
      <c r="F32" s="2007">
        <v>0.59</v>
      </c>
      <c r="G32" s="2007">
        <v>0.64</v>
      </c>
      <c r="H32" s="2915"/>
      <c r="I32" s="2008">
        <f t="shared" si="36"/>
        <v>0.59</v>
      </c>
      <c r="J32" s="2904"/>
      <c r="K32" s="2043"/>
      <c r="L32" s="2028">
        <f t="shared" si="46"/>
        <v>5.5000000000000005E-3</v>
      </c>
      <c r="M32" s="2028">
        <f t="shared" si="47"/>
        <v>5.8999999999999999E-3</v>
      </c>
      <c r="N32" s="2028">
        <f t="shared" si="48"/>
        <v>6.4000000000000003E-3</v>
      </c>
      <c r="O32" s="2028"/>
      <c r="P32" s="2028">
        <f t="shared" si="49"/>
        <v>5.8999999999999999E-3</v>
      </c>
      <c r="Q32" s="2904"/>
      <c r="R32" s="2027"/>
      <c r="S32" s="2027">
        <f>ROUND(IF(项目基本情况!$B$8="出让",SUMPRODUCT(PRODUCT(1+L32:L$40)),SUMPRODUCT(PRODUCT(1+L32:L$39))),4)</f>
        <v>1.0344</v>
      </c>
      <c r="T32" s="2027">
        <f>ROUND(IF(项目基本情况!$B$8="出让",SUMPRODUCT(PRODUCT(1+M32:M$40)),SUMPRODUCT(PRODUCT(1+M32:M$39))),4)</f>
        <v>1.0224</v>
      </c>
      <c r="U32" s="2027">
        <f>ROUND(IF(项目基本情况!$B$8="出让",SUMPRODUCT(PRODUCT(1+N32:N$40)),SUMPRODUCT(PRODUCT(1+N32:N$39))),4)</f>
        <v>1.0573999999999999</v>
      </c>
      <c r="V32" s="2027"/>
      <c r="W32" s="2027">
        <f t="shared" si="50"/>
        <v>1.0224</v>
      </c>
      <c r="X32" s="2904"/>
      <c r="Y32" s="2028"/>
      <c r="Z32" s="2900"/>
      <c r="AA32" s="2901"/>
      <c r="AB32" s="2028"/>
      <c r="AC32" s="2902"/>
      <c r="AD32" s="2028"/>
    </row>
    <row r="33" spans="1:30" s="2045" customFormat="1" ht="12.75">
      <c r="A33" s="2903" t="s">
        <v>3370</v>
      </c>
      <c r="B33" s="2031">
        <v>2022</v>
      </c>
      <c r="C33" s="2042">
        <v>4</v>
      </c>
      <c r="D33" s="2007"/>
      <c r="E33" s="2007">
        <v>0.45</v>
      </c>
      <c r="F33" s="2007">
        <v>0.2</v>
      </c>
      <c r="G33" s="2007">
        <v>0.38</v>
      </c>
      <c r="H33" s="2915"/>
      <c r="I33" s="2008">
        <f t="shared" si="36"/>
        <v>0.2</v>
      </c>
      <c r="J33" s="2904"/>
      <c r="K33" s="2043"/>
      <c r="L33" s="2028">
        <f t="shared" si="37"/>
        <v>4.5000000000000005E-3</v>
      </c>
      <c r="M33" s="2028">
        <f t="shared" si="37"/>
        <v>2E-3</v>
      </c>
      <c r="N33" s="2028">
        <f t="shared" si="37"/>
        <v>3.8E-3</v>
      </c>
      <c r="O33" s="2028"/>
      <c r="P33" s="2028">
        <f t="shared" ref="P33:P40" si="51">M33</f>
        <v>2E-3</v>
      </c>
      <c r="Q33" s="2904"/>
      <c r="R33" s="2027"/>
      <c r="S33" s="2027">
        <f>ROUND(IF(项目基本情况!$B$8="出让",SUMPRODUCT(PRODUCT(1+L33:L$40)),SUMPRODUCT(PRODUCT(1+L33:L$39))),4)</f>
        <v>1.0286999999999999</v>
      </c>
      <c r="T33" s="2027">
        <f>ROUND(IF(项目基本情况!$B$8="出让",SUMPRODUCT(PRODUCT(1+M33:M$40)),SUMPRODUCT(PRODUCT(1+M33:M$39))),4)</f>
        <v>1.0164</v>
      </c>
      <c r="U33" s="2027">
        <f>ROUND(IF(项目基本情况!$B$8="出让",SUMPRODUCT(PRODUCT(1+N33:N$40)),SUMPRODUCT(PRODUCT(1+N33:N$39))),4)</f>
        <v>1.0506</v>
      </c>
      <c r="V33" s="2027"/>
      <c r="W33" s="2027">
        <f t="shared" ref="W33:W40" si="52">T33</f>
        <v>1.0164</v>
      </c>
      <c r="X33" s="2904"/>
      <c r="Y33" s="2028"/>
      <c r="Z33" s="2900">
        <f t="shared" ref="Z33:AD40" si="53">IF(E33=0,0,ROUND(AVERAGE(E33:E41)/100,4))</f>
        <v>4.0000000000000001E-3</v>
      </c>
      <c r="AA33" s="2901">
        <f t="shared" si="53"/>
        <v>2.5999999999999999E-3</v>
      </c>
      <c r="AB33" s="2028">
        <f t="shared" si="53"/>
        <v>7.4000000000000003E-3</v>
      </c>
      <c r="AC33" s="2902"/>
      <c r="AD33" s="2028">
        <f t="shared" si="53"/>
        <v>2.5999999999999999E-3</v>
      </c>
    </row>
    <row r="34" spans="1:30" s="2045" customFormat="1" ht="12.75">
      <c r="A34" s="2903" t="s">
        <v>3367</v>
      </c>
      <c r="B34" s="2031">
        <v>2022</v>
      </c>
      <c r="C34" s="2042">
        <v>3</v>
      </c>
      <c r="D34" s="2007"/>
      <c r="E34" s="2007">
        <v>0.3</v>
      </c>
      <c r="F34" s="2007">
        <v>0.28999999999999998</v>
      </c>
      <c r="G34" s="2007">
        <v>0.83</v>
      </c>
      <c r="H34" s="2915"/>
      <c r="I34" s="2008">
        <f t="shared" si="36"/>
        <v>0.28999999999999998</v>
      </c>
      <c r="J34" s="2904"/>
      <c r="K34" s="2043"/>
      <c r="L34" s="2028">
        <f t="shared" si="37"/>
        <v>3.0000000000000001E-3</v>
      </c>
      <c r="M34" s="2028">
        <f t="shared" si="37"/>
        <v>2.8999999999999998E-3</v>
      </c>
      <c r="N34" s="2028">
        <f t="shared" si="37"/>
        <v>8.3000000000000001E-3</v>
      </c>
      <c r="O34" s="2028"/>
      <c r="P34" s="2028">
        <f t="shared" si="51"/>
        <v>2.8999999999999998E-3</v>
      </c>
      <c r="Q34" s="2904"/>
      <c r="R34" s="2027"/>
      <c r="S34" s="2027">
        <f>ROUND(IF(项目基本情况!$B$8="出让",SUMPRODUCT(PRODUCT(1+L34:L$40)),SUMPRODUCT(PRODUCT(1+L34:L$39))),4)</f>
        <v>1.0241</v>
      </c>
      <c r="T34" s="2027">
        <f>ROUND(IF(项目基本情况!$B$8="出让",SUMPRODUCT(PRODUCT(1+M34:M$40)),SUMPRODUCT(PRODUCT(1+M34:M$39))),4)</f>
        <v>1.0144</v>
      </c>
      <c r="U34" s="2027">
        <f>ROUND(IF(项目基本情况!$B$8="出让",SUMPRODUCT(PRODUCT(1+N34:N$40)),SUMPRODUCT(PRODUCT(1+N34:N$39))),4)</f>
        <v>1.0467</v>
      </c>
      <c r="V34" s="2027"/>
      <c r="W34" s="2027">
        <f t="shared" si="52"/>
        <v>1.0144</v>
      </c>
      <c r="X34" s="2904"/>
      <c r="Y34" s="2028"/>
      <c r="Z34" s="2900">
        <f t="shared" si="53"/>
        <v>3.8999999999999998E-3</v>
      </c>
      <c r="AA34" s="2901">
        <f t="shared" si="53"/>
        <v>2.7000000000000001E-3</v>
      </c>
      <c r="AB34" s="2028">
        <f t="shared" si="53"/>
        <v>7.9000000000000008E-3</v>
      </c>
      <c r="AC34" s="2902"/>
      <c r="AD34" s="2028">
        <f t="shared" si="53"/>
        <v>2.7000000000000001E-3</v>
      </c>
    </row>
    <row r="35" spans="1:30" s="2045" customFormat="1" ht="12.75">
      <c r="A35" s="2903" t="s">
        <v>3357</v>
      </c>
      <c r="B35" s="2031">
        <v>2022</v>
      </c>
      <c r="C35" s="2042">
        <v>2</v>
      </c>
      <c r="D35" s="2007"/>
      <c r="E35" s="2007">
        <v>-0.11</v>
      </c>
      <c r="F35" s="2007">
        <v>-0.13</v>
      </c>
      <c r="G35" s="2007">
        <v>0.53</v>
      </c>
      <c r="H35" s="2915"/>
      <c r="I35" s="2008">
        <f t="shared" si="36"/>
        <v>-0.13</v>
      </c>
      <c r="J35" s="2904"/>
      <c r="K35" s="2043"/>
      <c r="L35" s="2028">
        <f t="shared" si="37"/>
        <v>-1.1000000000000001E-3</v>
      </c>
      <c r="M35" s="2028">
        <f t="shared" si="37"/>
        <v>-1.2999999999999999E-3</v>
      </c>
      <c r="N35" s="2028">
        <f t="shared" si="37"/>
        <v>5.3E-3</v>
      </c>
      <c r="O35" s="2028"/>
      <c r="P35" s="2028">
        <f t="shared" si="51"/>
        <v>-1.2999999999999999E-3</v>
      </c>
      <c r="Q35" s="2904"/>
      <c r="R35" s="2027"/>
      <c r="S35" s="2027">
        <f>ROUND(IF(项目基本情况!$B$8="出让",SUMPRODUCT(PRODUCT(1+L35:L$40)),SUMPRODUCT(PRODUCT(1+L35:L$39))),4)</f>
        <v>1.0210999999999999</v>
      </c>
      <c r="T35" s="2027">
        <f>ROUND(IF(项目基本情况!$B$8="出让",SUMPRODUCT(PRODUCT(1+M35:M$40)),SUMPRODUCT(PRODUCT(1+M35:M$39))),4)</f>
        <v>1.0114000000000001</v>
      </c>
      <c r="U35" s="2027">
        <f>ROUND(IF(项目基本情况!$B$8="出让",SUMPRODUCT(PRODUCT(1+N35:N$40)),SUMPRODUCT(PRODUCT(1+N35:N$39))),4)</f>
        <v>1.0381</v>
      </c>
      <c r="V35" s="2027"/>
      <c r="W35" s="2027">
        <f t="shared" si="52"/>
        <v>1.0114000000000001</v>
      </c>
      <c r="X35" s="2904"/>
      <c r="Y35" s="2028"/>
      <c r="Z35" s="2900">
        <f t="shared" si="53"/>
        <v>4.1000000000000003E-3</v>
      </c>
      <c r="AA35" s="2901">
        <f t="shared" si="53"/>
        <v>2.7000000000000001E-3</v>
      </c>
      <c r="AB35" s="2028">
        <f t="shared" si="53"/>
        <v>7.9000000000000008E-3</v>
      </c>
      <c r="AC35" s="2902"/>
      <c r="AD35" s="2028">
        <f t="shared" si="53"/>
        <v>2.7000000000000001E-3</v>
      </c>
    </row>
    <row r="36" spans="1:30" s="2045" customFormat="1" ht="12.75">
      <c r="A36" s="2903" t="s">
        <v>2837</v>
      </c>
      <c r="B36" s="2031">
        <v>2022</v>
      </c>
      <c r="C36" s="2042">
        <v>1</v>
      </c>
      <c r="D36" s="2007"/>
      <c r="E36" s="2007">
        <v>0.6</v>
      </c>
      <c r="F36" s="2007">
        <v>0.45</v>
      </c>
      <c r="G36" s="2007">
        <v>0.53</v>
      </c>
      <c r="H36" s="2915"/>
      <c r="I36" s="2008">
        <f t="shared" si="36"/>
        <v>0.45</v>
      </c>
      <c r="J36" s="2904"/>
      <c r="K36" s="2043"/>
      <c r="L36" s="2028">
        <f t="shared" si="37"/>
        <v>6.0000000000000001E-3</v>
      </c>
      <c r="M36" s="2028">
        <f t="shared" si="37"/>
        <v>4.5000000000000005E-3</v>
      </c>
      <c r="N36" s="2028">
        <f t="shared" si="37"/>
        <v>5.3E-3</v>
      </c>
      <c r="O36" s="2028"/>
      <c r="P36" s="2028">
        <f t="shared" si="51"/>
        <v>4.5000000000000005E-3</v>
      </c>
      <c r="Q36" s="2904"/>
      <c r="R36" s="2027"/>
      <c r="S36" s="2027">
        <f>ROUND(IF(项目基本情况!$B$8="出让",SUMPRODUCT(PRODUCT(1+L36:L$40)),SUMPRODUCT(PRODUCT(1+L36:L$39))),4)</f>
        <v>1.0222</v>
      </c>
      <c r="T36" s="2027">
        <f>ROUND(IF(项目基本情况!$B$8="出让",SUMPRODUCT(PRODUCT(1+M36:M$40)),SUMPRODUCT(PRODUCT(1+M36:M$39))),4)</f>
        <v>1.0127999999999999</v>
      </c>
      <c r="U36" s="2027">
        <f>ROUND(IF(项目基本情况!$B$8="出让",SUMPRODUCT(PRODUCT(1+N36:N$40)),SUMPRODUCT(PRODUCT(1+N36:N$39))),4)</f>
        <v>1.0326</v>
      </c>
      <c r="V36" s="2027"/>
      <c r="W36" s="2027">
        <f t="shared" si="52"/>
        <v>1.0127999999999999</v>
      </c>
      <c r="X36" s="2904"/>
      <c r="Y36" s="2028"/>
      <c r="Z36" s="2900">
        <f t="shared" si="53"/>
        <v>5.1000000000000004E-3</v>
      </c>
      <c r="AA36" s="2901">
        <f t="shared" si="53"/>
        <v>3.5000000000000001E-3</v>
      </c>
      <c r="AB36" s="2028">
        <f t="shared" si="53"/>
        <v>8.3999999999999995E-3</v>
      </c>
      <c r="AC36" s="2902"/>
      <c r="AD36" s="2028">
        <f t="shared" si="53"/>
        <v>3.5000000000000001E-3</v>
      </c>
    </row>
    <row r="37" spans="1:30" s="2045" customFormat="1" ht="12.75">
      <c r="A37" s="2903" t="s">
        <v>2838</v>
      </c>
      <c r="B37" s="2031">
        <v>2021</v>
      </c>
      <c r="C37" s="2042">
        <v>4</v>
      </c>
      <c r="D37" s="2007"/>
      <c r="E37" s="2007">
        <v>0.57999999999999996</v>
      </c>
      <c r="F37" s="2007">
        <v>0.08</v>
      </c>
      <c r="G37" s="2007">
        <v>0.68</v>
      </c>
      <c r="H37" s="2915"/>
      <c r="I37" s="2008">
        <f t="shared" si="36"/>
        <v>0.08</v>
      </c>
      <c r="J37" s="2904"/>
      <c r="K37" s="2043"/>
      <c r="L37" s="2028">
        <f t="shared" si="37"/>
        <v>5.7999999999999996E-3</v>
      </c>
      <c r="M37" s="2028">
        <f t="shared" si="37"/>
        <v>8.0000000000000004E-4</v>
      </c>
      <c r="N37" s="2028">
        <f t="shared" si="37"/>
        <v>6.8000000000000005E-3</v>
      </c>
      <c r="O37" s="2028"/>
      <c r="P37" s="2028">
        <f t="shared" si="51"/>
        <v>8.0000000000000004E-4</v>
      </c>
      <c r="Q37" s="2904"/>
      <c r="R37" s="2027"/>
      <c r="S37" s="2027">
        <f>ROUND(IF(项目基本情况!$B$8="出让",SUMPRODUCT(PRODUCT(1+L37:L$40)),SUMPRODUCT(PRODUCT(1+L37:L$39))),4)</f>
        <v>1.0161</v>
      </c>
      <c r="T37" s="2027">
        <f>ROUND(IF(项目基本情况!$B$8="出让",SUMPRODUCT(PRODUCT(1+M37:M$40)),SUMPRODUCT(PRODUCT(1+M37:M$39))),4)</f>
        <v>1.0082</v>
      </c>
      <c r="U37" s="2027">
        <f>ROUND(IF(项目基本情况!$B$8="出让",SUMPRODUCT(PRODUCT(1+N37:N$40)),SUMPRODUCT(PRODUCT(1+N37:N$39))),4)</f>
        <v>1.0270999999999999</v>
      </c>
      <c r="V37" s="2027"/>
      <c r="W37" s="2027">
        <f t="shared" si="52"/>
        <v>1.0082</v>
      </c>
      <c r="X37" s="2904"/>
      <c r="Y37" s="2028"/>
      <c r="Z37" s="2900">
        <f t="shared" si="53"/>
        <v>4.8999999999999998E-3</v>
      </c>
      <c r="AA37" s="2901">
        <f t="shared" si="53"/>
        <v>3.3E-3</v>
      </c>
      <c r="AB37" s="2028">
        <f t="shared" si="53"/>
        <v>9.1999999999999998E-3</v>
      </c>
      <c r="AC37" s="2902"/>
      <c r="AD37" s="2028">
        <f t="shared" si="53"/>
        <v>3.3E-3</v>
      </c>
    </row>
    <row r="38" spans="1:30" s="2045" customFormat="1" ht="12.75">
      <c r="A38" s="2903" t="s">
        <v>2839</v>
      </c>
      <c r="B38" s="2031">
        <v>2021</v>
      </c>
      <c r="C38" s="2042">
        <v>3</v>
      </c>
      <c r="D38" s="2007"/>
      <c r="E38" s="2007">
        <v>0.47</v>
      </c>
      <c r="F38" s="2007">
        <v>0.28000000000000003</v>
      </c>
      <c r="G38" s="2007">
        <v>0.91</v>
      </c>
      <c r="H38" s="2915"/>
      <c r="I38" s="2008">
        <f t="shared" si="36"/>
        <v>0.28000000000000003</v>
      </c>
      <c r="J38" s="2904"/>
      <c r="K38" s="2043"/>
      <c r="L38" s="2028">
        <f t="shared" si="37"/>
        <v>4.6999999999999993E-3</v>
      </c>
      <c r="M38" s="2028">
        <f t="shared" si="37"/>
        <v>2.8000000000000004E-3</v>
      </c>
      <c r="N38" s="2028">
        <f t="shared" si="37"/>
        <v>9.1000000000000004E-3</v>
      </c>
      <c r="O38" s="2028"/>
      <c r="P38" s="2028">
        <f t="shared" si="51"/>
        <v>2.8000000000000004E-3</v>
      </c>
      <c r="Q38" s="2904"/>
      <c r="R38" s="2027"/>
      <c r="S38" s="2027">
        <f>ROUND(IF(项目基本情况!$B$8="出让",SUMPRODUCT(PRODUCT(1+L38:L$40)),SUMPRODUCT(PRODUCT(1+L38:L$39))),4)</f>
        <v>1.0102</v>
      </c>
      <c r="T38" s="2027">
        <f>ROUND(IF(项目基本情况!$B$8="出让",SUMPRODUCT(PRODUCT(1+M38:M$40)),SUMPRODUCT(PRODUCT(1+M38:M$39))),4)</f>
        <v>1.0074000000000001</v>
      </c>
      <c r="U38" s="2027">
        <f>ROUND(IF(项目基本情况!$B$8="出让",SUMPRODUCT(PRODUCT(1+N38:N$40)),SUMPRODUCT(PRODUCT(1+N38:N$39))),4)</f>
        <v>1.0202</v>
      </c>
      <c r="V38" s="2027"/>
      <c r="W38" s="2027">
        <f t="shared" si="52"/>
        <v>1.0074000000000001</v>
      </c>
      <c r="X38" s="2904"/>
      <c r="Y38" s="2028"/>
      <c r="Z38" s="2900">
        <f t="shared" si="53"/>
        <v>4.5999999999999999E-3</v>
      </c>
      <c r="AA38" s="2901">
        <f t="shared" si="53"/>
        <v>4.1000000000000003E-3</v>
      </c>
      <c r="AB38" s="2028">
        <f t="shared" si="53"/>
        <v>0.01</v>
      </c>
      <c r="AC38" s="2902"/>
      <c r="AD38" s="2028">
        <f t="shared" si="53"/>
        <v>4.1000000000000003E-3</v>
      </c>
    </row>
    <row r="39" spans="1:30" s="2045" customFormat="1" ht="12.75">
      <c r="A39" s="2903" t="s">
        <v>2840</v>
      </c>
      <c r="B39" s="2031">
        <v>2021</v>
      </c>
      <c r="C39" s="2042">
        <v>2</v>
      </c>
      <c r="D39" s="2007"/>
      <c r="E39" s="2007">
        <v>0.55000000000000004</v>
      </c>
      <c r="F39" s="2007">
        <v>0.46</v>
      </c>
      <c r="G39" s="2007">
        <v>1.1000000000000001</v>
      </c>
      <c r="H39" s="2915"/>
      <c r="I39" s="2008">
        <f t="shared" si="36"/>
        <v>0.46</v>
      </c>
      <c r="J39" s="2904"/>
      <c r="K39" s="2043"/>
      <c r="L39" s="2028">
        <f t="shared" si="37"/>
        <v>5.5000000000000005E-3</v>
      </c>
      <c r="M39" s="2028">
        <f t="shared" si="37"/>
        <v>4.5999999999999999E-3</v>
      </c>
      <c r="N39" s="2028">
        <f t="shared" si="37"/>
        <v>1.1000000000000001E-2</v>
      </c>
      <c r="O39" s="2028"/>
      <c r="P39" s="2028">
        <f t="shared" si="51"/>
        <v>4.5999999999999999E-3</v>
      </c>
      <c r="Q39" s="2904"/>
      <c r="R39" s="2027"/>
      <c r="S39" s="2027">
        <f>ROUND(IF(项目基本情况!$B$8="出让",SUMPRODUCT(PRODUCT(1+L39:L$40)),SUMPRODUCT(PRODUCT(1+L39:L$39))),4)</f>
        <v>1.0055000000000001</v>
      </c>
      <c r="T39" s="2027">
        <f>ROUND(IF(项目基本情况!$B$8="出让",SUMPRODUCT(PRODUCT(1+M39:M$40)),SUMPRODUCT(PRODUCT(1+M39:M$39))),4)</f>
        <v>1.0045999999999999</v>
      </c>
      <c r="U39" s="2027">
        <f>ROUND(IF(项目基本情况!$B$8="出让",SUMPRODUCT(PRODUCT(1+N39:N$40)),SUMPRODUCT(PRODUCT(1+N39:N$39))),4)</f>
        <v>1.0109999999999999</v>
      </c>
      <c r="V39" s="2027"/>
      <c r="W39" s="2027">
        <f t="shared" si="52"/>
        <v>1.0045999999999999</v>
      </c>
      <c r="X39" s="2904"/>
      <c r="Y39" s="2028"/>
      <c r="Z39" s="2900">
        <f t="shared" si="53"/>
        <v>4.4999999999999997E-3</v>
      </c>
      <c r="AA39" s="2901">
        <f t="shared" si="53"/>
        <v>4.7000000000000002E-3</v>
      </c>
      <c r="AB39" s="2028">
        <f t="shared" si="53"/>
        <v>1.04E-2</v>
      </c>
      <c r="AC39" s="2902"/>
      <c r="AD39" s="2028">
        <f t="shared" si="53"/>
        <v>4.7000000000000002E-3</v>
      </c>
    </row>
    <row r="40" spans="1:30" s="2926" customFormat="1" thickBot="1">
      <c r="A40" s="2916" t="s">
        <v>2826</v>
      </c>
      <c r="B40" s="2917">
        <v>2021</v>
      </c>
      <c r="C40" s="2918">
        <v>1</v>
      </c>
      <c r="D40" s="2919"/>
      <c r="E40" s="2919">
        <v>0.35</v>
      </c>
      <c r="F40" s="2919">
        <v>0.48</v>
      </c>
      <c r="G40" s="2919">
        <v>0.98</v>
      </c>
      <c r="H40" s="2920"/>
      <c r="I40" s="2921">
        <f t="shared" si="36"/>
        <v>0.48</v>
      </c>
      <c r="J40" s="2922"/>
      <c r="K40" s="2923"/>
      <c r="L40" s="2924">
        <f t="shared" si="37"/>
        <v>3.4999999999999996E-3</v>
      </c>
      <c r="M40" s="2924">
        <f>F40/100</f>
        <v>4.7999999999999996E-3</v>
      </c>
      <c r="N40" s="2924">
        <f t="shared" si="37"/>
        <v>9.7999999999999997E-3</v>
      </c>
      <c r="O40" s="2924"/>
      <c r="P40" s="2924">
        <f t="shared" si="51"/>
        <v>4.7999999999999996E-3</v>
      </c>
      <c r="Q40" s="2922"/>
      <c r="R40" s="2925"/>
      <c r="S40" s="2925">
        <v>1</v>
      </c>
      <c r="T40" s="2925">
        <v>1</v>
      </c>
      <c r="U40" s="2925">
        <v>1</v>
      </c>
      <c r="V40" s="2925"/>
      <c r="W40" s="2925">
        <f t="shared" si="52"/>
        <v>1</v>
      </c>
      <c r="X40" s="2922"/>
      <c r="Y40" s="2924"/>
      <c r="Z40" s="2932">
        <f t="shared" si="53"/>
        <v>3.5000000000000001E-3</v>
      </c>
      <c r="AA40" s="2933">
        <f t="shared" si="53"/>
        <v>4.7999999999999996E-3</v>
      </c>
      <c r="AB40" s="2924">
        <f t="shared" si="53"/>
        <v>9.7999999999999997E-3</v>
      </c>
      <c r="AC40" s="2934"/>
      <c r="AD40" s="2924">
        <f t="shared" si="53"/>
        <v>4.7999999999999996E-3</v>
      </c>
    </row>
    <row r="41" spans="1:30" ht="14.25" thickTop="1"/>
    <row r="42" spans="1:30">
      <c r="A42" s="3141"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9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45450</v>
      </c>
      <c r="D1" s="1217" t="s">
        <v>603</v>
      </c>
      <c r="E1" s="1212">
        <f>'数据-取费表'!B22</f>
        <v>2</v>
      </c>
      <c r="F1" s="1217" t="s">
        <v>604</v>
      </c>
      <c r="G1" s="1213">
        <f ca="1">INDIRECT("d"&amp;$K$1)/100</f>
        <v>3.4500000000000003E-2</v>
      </c>
      <c r="H1" s="1217" t="s">
        <v>634</v>
      </c>
      <c r="I1" s="1213">
        <f ca="1">F4/100</f>
        <v>1.4999999999999999E-2</v>
      </c>
      <c r="J1" s="1218">
        <f>IF(C1&gt;C13,0,MATCH(C1,C$13:C$111,-1))+IF(SUMIF(C13:C111,C1,D13:D111)=0,13,12)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3.45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3.45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3.45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3.45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0" t="s">
        <v>2311</v>
      </c>
      <c r="C23" s="1207">
        <v>43697</v>
      </c>
      <c r="D23" s="2572">
        <v>4.25</v>
      </c>
      <c r="E23" s="2572">
        <v>4.25</v>
      </c>
      <c r="F23" s="2572">
        <v>4.25</v>
      </c>
      <c r="G23" s="2572">
        <v>4.25</v>
      </c>
      <c r="H23" s="2572">
        <v>4.8499999999999996</v>
      </c>
      <c r="I23" s="2572"/>
      <c r="J23" s="2572"/>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5"/>
      <c r="C24" s="2576">
        <v>42301</v>
      </c>
      <c r="D24" s="2577">
        <v>4.3499999999999996</v>
      </c>
      <c r="E24" s="2577">
        <v>4.3499999999999996</v>
      </c>
      <c r="F24" s="2577">
        <v>4.75</v>
      </c>
      <c r="G24" s="2577">
        <v>4.75</v>
      </c>
      <c r="H24" s="2577">
        <v>4.9000000000000004</v>
      </c>
      <c r="I24" s="2577"/>
      <c r="J24" s="2577"/>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4:M7"/>
  <sheetViews>
    <sheetView topLeftCell="A34" workbookViewId="0">
      <selection activeCell="N66" sqref="N66"/>
    </sheetView>
  </sheetViews>
  <sheetFormatPr defaultRowHeight="13.5"/>
  <sheetData>
    <row r="4" spans="13:13">
      <c r="M4" s="1405" t="s">
        <v>3482</v>
      </c>
    </row>
    <row r="7" spans="13:13">
      <c r="M7" s="1405" t="s">
        <v>3483</v>
      </c>
    </row>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37"/>
  <sheetViews>
    <sheetView topLeftCell="A73" workbookViewId="0">
      <selection activeCell="R106" sqref="R106"/>
    </sheetView>
  </sheetViews>
  <sheetFormatPr defaultRowHeight="13.5"/>
  <sheetData>
    <row r="137" spans="3:3">
      <c r="C137" s="1405" t="s">
        <v>3475</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78" t="str">
        <f>IF(项目基本情况!B9="房地产市场价值","估价结果一览表","结果表-2")</f>
        <v>结果表-2</v>
      </c>
      <c r="B1" s="3178"/>
      <c r="C1" s="3178"/>
      <c r="D1" s="3178"/>
      <c r="E1" s="3178"/>
      <c r="F1" s="3178"/>
      <c r="G1" s="3178"/>
      <c r="H1" s="3178"/>
      <c r="I1" s="3178"/>
    </row>
    <row r="2" spans="1:9" ht="30" customHeight="1" thickTop="1">
      <c r="A2" s="3179" t="s">
        <v>928</v>
      </c>
      <c r="B2" s="3179" t="s">
        <v>929</v>
      </c>
      <c r="C2" s="3179" t="s">
        <v>930</v>
      </c>
      <c r="D2" s="3179" t="str">
        <f>结果表!D116</f>
        <v>出让国有建设用地使用权价值</v>
      </c>
      <c r="E2" s="3179"/>
      <c r="F2" s="3179" t="str">
        <f>结果表!F116</f>
        <v>在建建筑物价值</v>
      </c>
      <c r="G2" s="3179"/>
      <c r="H2" s="3179" t="str">
        <f>IF(项目基本情况!B9="房地产市场价值","房地产市场价值","房地产价值")</f>
        <v>房地产价值</v>
      </c>
      <c r="I2" s="3179"/>
    </row>
    <row r="3" spans="1:9" ht="15">
      <c r="A3" s="3174"/>
      <c r="B3" s="3174"/>
      <c r="C3" s="3174"/>
      <c r="D3" s="800" t="s">
        <v>925</v>
      </c>
      <c r="E3" s="800" t="s">
        <v>931</v>
      </c>
      <c r="F3" s="800" t="s">
        <v>925</v>
      </c>
      <c r="G3" s="800" t="s">
        <v>926</v>
      </c>
      <c r="H3" s="800" t="s">
        <v>925</v>
      </c>
      <c r="I3" s="800" t="s">
        <v>926</v>
      </c>
    </row>
    <row r="4" spans="1:9" ht="30">
      <c r="A4" s="1403" t="str">
        <f>项目基本情况!S2</f>
        <v>北京市朝阳区十里堡甲3号A座4层05F写字楼用房房地产</v>
      </c>
      <c r="B4" s="800">
        <f>项目基本情况!C17</f>
        <v>94.12</v>
      </c>
      <c r="C4" s="800">
        <f>项目基本情况!C18</f>
        <v>22.76</v>
      </c>
      <c r="D4" s="800">
        <f ca="1">结果表!D118</f>
        <v>170</v>
      </c>
      <c r="E4" s="800">
        <f ca="1">结果表!E118</f>
        <v>18115</v>
      </c>
      <c r="F4" s="800">
        <f ca="1">结果表!F118</f>
        <v>37</v>
      </c>
      <c r="G4" s="800">
        <f ca="1">结果表!G118</f>
        <v>3896</v>
      </c>
      <c r="H4" s="800">
        <f ca="1">结果表!H118</f>
        <v>207</v>
      </c>
      <c r="I4" s="800">
        <f ca="1">结果表!I118</f>
        <v>22011</v>
      </c>
    </row>
    <row r="5" spans="1:9" ht="30" customHeight="1">
      <c r="A5" s="3174" t="s">
        <v>927</v>
      </c>
      <c r="B5" s="3174"/>
      <c r="C5" s="3174"/>
      <c r="D5" s="3174" t="str">
        <f ca="1">结果表!D119</f>
        <v>壹佰柒拾万元整</v>
      </c>
      <c r="E5" s="3174"/>
      <c r="F5" s="3174" t="str">
        <f ca="1">结果表!F119</f>
        <v>叁拾柒万元整</v>
      </c>
      <c r="G5" s="3174"/>
      <c r="H5" s="3174" t="str">
        <f ca="1">结果表!H119</f>
        <v>贰佰零柒万元整</v>
      </c>
      <c r="I5" s="3174"/>
    </row>
    <row r="6" spans="1:9" ht="15.75">
      <c r="A6" s="3173" t="str">
        <f>结果表!A120</f>
        <v>估价师知悉的法定优先受偿款</v>
      </c>
      <c r="B6" s="3173"/>
      <c r="C6" s="3173"/>
      <c r="D6" s="3173">
        <f>结果表!D120</f>
        <v>0</v>
      </c>
      <c r="E6" s="3173"/>
      <c r="F6" s="3173"/>
      <c r="G6" s="3173"/>
      <c r="H6" s="3173"/>
      <c r="I6" s="3173"/>
    </row>
    <row r="7" spans="1:9" ht="15">
      <c r="A7" s="3174" t="s">
        <v>927</v>
      </c>
      <c r="B7" s="3174"/>
      <c r="C7" s="3174"/>
      <c r="D7" s="3175" t="str">
        <f>结果表!D121</f>
        <v>零元整</v>
      </c>
      <c r="E7" s="3176"/>
      <c r="F7" s="3176"/>
      <c r="G7" s="3176"/>
      <c r="H7" s="3176"/>
      <c r="I7" s="3177"/>
    </row>
    <row r="8" spans="1:9" ht="15.75">
      <c r="A8" s="3173" t="str">
        <f>结果表!A122</f>
        <v>房地产抵押价值</v>
      </c>
      <c r="B8" s="3173"/>
      <c r="C8" s="3173"/>
      <c r="D8" s="3173">
        <f ca="1">结果表!D122</f>
        <v>207</v>
      </c>
      <c r="E8" s="3173"/>
      <c r="F8" s="3173"/>
      <c r="G8" s="3173"/>
      <c r="H8" s="3173"/>
      <c r="I8" s="3173"/>
    </row>
    <row r="9" spans="1:9" ht="15">
      <c r="A9" s="3174" t="s">
        <v>927</v>
      </c>
      <c r="B9" s="3174"/>
      <c r="C9" s="3174"/>
      <c r="D9" s="3174" t="str">
        <f ca="1">结果表!D123</f>
        <v>贰佰零柒万元整</v>
      </c>
      <c r="E9" s="3174"/>
      <c r="F9" s="3174"/>
      <c r="G9" s="3174"/>
      <c r="H9" s="3174"/>
      <c r="I9" s="3174"/>
    </row>
    <row r="10" spans="1:9" ht="15.75">
      <c r="A10" s="3173" t="str">
        <f>结果表!A124</f>
        <v/>
      </c>
      <c r="B10" s="3173"/>
      <c r="C10" s="3173"/>
      <c r="D10" s="3173" t="str">
        <f>结果表!D124</f>
        <v>——</v>
      </c>
      <c r="E10" s="3173"/>
      <c r="F10" s="3173"/>
      <c r="G10" s="3173"/>
      <c r="H10" s="3173"/>
      <c r="I10" s="3173"/>
    </row>
    <row r="11" spans="1:9" ht="15">
      <c r="A11" s="3174" t="s">
        <v>927</v>
      </c>
      <c r="B11" s="3174"/>
      <c r="C11" s="3174"/>
      <c r="D11" s="3174" t="e">
        <f>结果表!D125</f>
        <v>#VALUE!</v>
      </c>
      <c r="E11" s="3174"/>
      <c r="F11" s="3174"/>
      <c r="G11" s="3174"/>
      <c r="H11" s="3174"/>
      <c r="I11" s="3174"/>
    </row>
    <row r="12" spans="1:9" ht="15.75">
      <c r="A12" s="3173" t="str">
        <f>结果表!A126</f>
        <v/>
      </c>
      <c r="B12" s="3173"/>
      <c r="C12" s="3173"/>
      <c r="D12" s="3173" t="str">
        <f>结果表!D126</f>
        <v>——</v>
      </c>
      <c r="E12" s="3173"/>
      <c r="F12" s="3173"/>
      <c r="G12" s="3173"/>
      <c r="H12" s="3173"/>
      <c r="I12" s="3173"/>
    </row>
    <row r="13" spans="1:9" ht="15.75" thickBot="1">
      <c r="A13" s="3171" t="s">
        <v>927</v>
      </c>
      <c r="B13" s="3171"/>
      <c r="C13" s="3171"/>
      <c r="D13" s="3171" t="e">
        <f>结果表!D127</f>
        <v>#VALUE!</v>
      </c>
      <c r="E13" s="3171"/>
      <c r="F13" s="3171"/>
      <c r="G13" s="3171"/>
      <c r="H13" s="3171"/>
      <c r="I13" s="3171"/>
    </row>
    <row r="14" spans="1:9" ht="15" thickTop="1">
      <c r="A14" s="3172" t="s">
        <v>932</v>
      </c>
      <c r="B14" s="3172"/>
      <c r="C14" s="3172"/>
      <c r="D14" s="3172"/>
      <c r="E14" s="3172"/>
      <c r="F14" s="3172"/>
      <c r="G14" s="3172"/>
      <c r="H14" s="3172"/>
      <c r="I14" s="317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5" sqref="P15"/>
    </sheetView>
  </sheetViews>
  <sheetFormatPr defaultRowHeight="13.5"/>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N98"/>
  <sheetViews>
    <sheetView workbookViewId="0">
      <selection activeCell="R30" sqref="R30"/>
    </sheetView>
  </sheetViews>
  <sheetFormatPr defaultRowHeight="13.5"/>
  <sheetData>
    <row r="2" spans="14:14">
      <c r="N2" s="1405" t="s">
        <v>3441</v>
      </c>
    </row>
    <row r="4" spans="14:14">
      <c r="N4" s="1405" t="s">
        <v>3469</v>
      </c>
    </row>
    <row r="6" spans="14:14">
      <c r="N6" s="1405" t="s">
        <v>3468</v>
      </c>
    </row>
    <row r="10" spans="14:14">
      <c r="N10" s="1405" t="s">
        <v>3442</v>
      </c>
    </row>
    <row r="11" spans="14:14">
      <c r="N11" s="1405" t="s">
        <v>3446</v>
      </c>
    </row>
    <row r="39" spans="13:13">
      <c r="M39" s="1405" t="s">
        <v>3443</v>
      </c>
    </row>
    <row r="60" spans="12:13">
      <c r="L60" s="1405" t="s">
        <v>3444</v>
      </c>
      <c r="M60" s="1405" t="s">
        <v>3445</v>
      </c>
    </row>
    <row r="79" spans="12:12">
      <c r="L79" s="1405" t="s">
        <v>3444</v>
      </c>
    </row>
    <row r="98" spans="14:14">
      <c r="N98" s="1405" t="s">
        <v>3450</v>
      </c>
    </row>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45" sqref="M4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86" t="s">
        <v>949</v>
      </c>
      <c r="B1" s="3186"/>
      <c r="C1" s="3186"/>
      <c r="D1" s="3186"/>
    </row>
    <row r="2" spans="1:4" ht="18">
      <c r="A2" s="3187" t="s">
        <v>933</v>
      </c>
      <c r="B2" s="3187"/>
      <c r="C2" s="3187"/>
      <c r="D2" s="3187"/>
    </row>
    <row r="3" spans="1:4" ht="18.75">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8">
      <c r="A6" s="3187" t="s">
        <v>939</v>
      </c>
      <c r="B6" s="3187"/>
      <c r="C6" s="3187"/>
      <c r="D6" s="318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8" t="s">
        <v>942</v>
      </c>
      <c r="B11" s="3180"/>
      <c r="C11" s="3180"/>
      <c r="D11" s="3180"/>
    </row>
    <row r="12" spans="1:4" ht="15.75">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0" t="str">
        <f>IF(项目基本情况!B8="抵押","4.本次评估估价师所知悉的法定优先受偿款情况说明如下：","——")</f>
        <v>4.本次评估估价师所知悉的法定优先受偿款情况说明如下：</v>
      </c>
      <c r="B14" s="3185"/>
      <c r="C14" s="3185"/>
      <c r="D14" s="3185"/>
    </row>
    <row r="15" spans="1:4" ht="42" customHeight="1">
      <c r="A15" s="3180" t="str">
        <f>IF(项目基本情况!B8="抵押","（1）"&amp;CONCATENATE(项目基本情况!L20,项目基本情况!L21,项目基本情况!L22),"——")</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0"/>
      <c r="C15" s="3180"/>
      <c r="D15" s="3180"/>
    </row>
    <row r="16" spans="1:4" ht="30" customHeight="1">
      <c r="A16" s="3182" t="s">
        <v>943</v>
      </c>
      <c r="B16" s="3182"/>
      <c r="C16" s="3182"/>
      <c r="D16" s="3182"/>
    </row>
    <row r="17" spans="1:4" ht="144" customHeight="1">
      <c r="A17" s="3182" t="s">
        <v>944</v>
      </c>
      <c r="B17" s="3182"/>
      <c r="C17" s="3182"/>
      <c r="D17" s="3182"/>
    </row>
    <row r="18" spans="1:4" ht="15.75" customHeight="1">
      <c r="A18" s="3180" t="str">
        <f>IF(项目基本情况!B8="抵押",结果表!K120,"——")</f>
        <v>故，本次评估不存在估价师知悉的法定优先受偿款</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0"/>
      <c r="C20" s="3180"/>
      <c r="D20" s="3180"/>
    </row>
    <row r="21" spans="1:4" ht="57.75" customHeight="1">
      <c r="A21" s="31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3"/>
      <c r="C21" s="3183"/>
      <c r="D21" s="3183"/>
    </row>
    <row r="22" spans="1:4" ht="18.75" customHeight="1">
      <c r="A22" s="3184" t="s">
        <v>945</v>
      </c>
      <c r="B22" s="3184"/>
      <c r="C22" s="3184"/>
      <c r="D22" s="318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1">
        <v>42551</v>
      </c>
      <c r="D31" s="31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4" t="s">
        <v>956</v>
      </c>
      <c r="B15" s="3189" t="s">
        <v>109</v>
      </c>
      <c r="C15" s="3190"/>
    </row>
    <row r="16" spans="1:7" ht="13.5">
      <c r="A16" s="3195"/>
      <c r="B16" s="3189" t="s">
        <v>42</v>
      </c>
      <c r="C16" s="3190"/>
    </row>
    <row r="17" spans="1:3" ht="13.5">
      <c r="A17" s="3195"/>
      <c r="B17" s="3192" t="s">
        <v>957</v>
      </c>
      <c r="C17" s="1429" t="s">
        <v>956</v>
      </c>
    </row>
    <row r="18" spans="1:3" ht="13.5">
      <c r="A18" s="3195"/>
      <c r="B18" s="3192"/>
      <c r="C18" s="1429" t="s">
        <v>958</v>
      </c>
    </row>
    <row r="19" spans="1:3" ht="13.5">
      <c r="A19" s="3195"/>
      <c r="B19" s="3192"/>
      <c r="C19" s="1429" t="s">
        <v>959</v>
      </c>
    </row>
    <row r="20" spans="1:3" ht="13.5">
      <c r="A20" s="3196"/>
      <c r="B20" s="3191" t="s">
        <v>960</v>
      </c>
      <c r="C20" s="3190"/>
    </row>
    <row r="21" spans="1:3" ht="13.5">
      <c r="A21" s="1430" t="s">
        <v>961</v>
      </c>
      <c r="B21" s="1431"/>
      <c r="C21" s="1432"/>
    </row>
    <row r="22" spans="1:3" ht="13.5">
      <c r="A22" s="3193" t="s">
        <v>962</v>
      </c>
      <c r="B22" s="3191" t="s">
        <v>963</v>
      </c>
      <c r="C22" s="3190"/>
    </row>
    <row r="23" spans="1:3" ht="13.5">
      <c r="A23" s="3193"/>
      <c r="B23" s="3191" t="s">
        <v>964</v>
      </c>
      <c r="C23" s="3190"/>
    </row>
    <row r="24" spans="1:3" ht="13.5">
      <c r="A24" s="3193"/>
      <c r="B24" s="3191" t="s">
        <v>965</v>
      </c>
      <c r="C24" s="3190"/>
    </row>
    <row r="25" spans="1:3" ht="13.5">
      <c r="A25" s="3193"/>
      <c r="B25" s="3192" t="s">
        <v>966</v>
      </c>
      <c r="C25" s="1429" t="s">
        <v>967</v>
      </c>
    </row>
    <row r="26" spans="1:3" ht="13.5">
      <c r="A26" s="3193"/>
      <c r="B26" s="3192"/>
      <c r="C26" s="1429" t="s">
        <v>968</v>
      </c>
    </row>
    <row r="27" spans="1:3" ht="13.5">
      <c r="A27" s="3193"/>
      <c r="B27" s="3192"/>
      <c r="C27" s="1429" t="s">
        <v>969</v>
      </c>
    </row>
    <row r="28" spans="1:3" ht="13.5">
      <c r="A28" s="3193"/>
      <c r="B28" s="3192"/>
      <c r="C28" s="1429" t="s">
        <v>970</v>
      </c>
    </row>
    <row r="29" spans="1:3" ht="13.5">
      <c r="A29" s="3193"/>
      <c r="B29" s="3192"/>
      <c r="C29" s="1429" t="s">
        <v>971</v>
      </c>
    </row>
    <row r="30" spans="1:3" ht="13.5">
      <c r="A30" s="3193"/>
      <c r="B30" s="3192"/>
      <c r="C30" s="1429" t="s">
        <v>972</v>
      </c>
    </row>
    <row r="31" spans="1:3" ht="13.5">
      <c r="A31" s="3193"/>
      <c r="B31" s="3192"/>
      <c r="C31" s="1429" t="s">
        <v>973</v>
      </c>
    </row>
    <row r="32" spans="1:3" ht="13.5">
      <c r="A32" s="3193"/>
      <c r="B32" s="3192"/>
      <c r="C32" s="1429" t="s">
        <v>974</v>
      </c>
    </row>
    <row r="33" spans="1:3" ht="13.5">
      <c r="A33" s="3193"/>
      <c r="B33" s="319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45454</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f ca="1">IF(C9&lt;B2,"已过期",1120060040)</f>
        <v>1120060040</v>
      </c>
      <c r="C9" s="2167">
        <v>45592</v>
      </c>
      <c r="D9" s="2163" t="str">
        <f t="shared" ca="1" si="0"/>
        <v>陈颖（注册号：1120060040）</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7" t="s">
        <v>2159</v>
      </c>
      <c r="B17" s="3197"/>
      <c r="C17" s="3197"/>
      <c r="D17" s="3197"/>
      <c r="E17" s="3197"/>
      <c r="F17" s="3197"/>
      <c r="G17" s="3197"/>
      <c r="H17" s="3197"/>
    </row>
    <row r="18" spans="1:8" ht="24" customHeight="1">
      <c r="A18" s="3198" t="s">
        <v>2160</v>
      </c>
      <c r="B18" s="3198"/>
      <c r="C18" s="3198"/>
      <c r="D18" s="2160"/>
      <c r="E18" s="3199" t="s">
        <v>2161</v>
      </c>
      <c r="F18" s="3198"/>
      <c r="G18" s="3198"/>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94" priority="32" stopIfTrue="1" operator="equal">
      <formula>"已过期"</formula>
    </cfRule>
  </conditionalFormatting>
  <conditionalFormatting sqref="B4:B15">
    <cfRule type="cellIs" dxfId="193" priority="4" stopIfTrue="1" operator="equal">
      <formula>"已过期"</formula>
    </cfRule>
  </conditionalFormatting>
  <conditionalFormatting sqref="C7:C12">
    <cfRule type="expression" dxfId="192" priority="22">
      <formula>AND($C7-TODAY()&lt;30,TODAY()&lt;$C7)</formula>
    </cfRule>
    <cfRule type="cellIs" dxfId="191" priority="23" stopIfTrue="1" operator="lessThan">
      <formula>$B$2</formula>
    </cfRule>
  </conditionalFormatting>
  <conditionalFormatting sqref="C14:C15">
    <cfRule type="expression" dxfId="190" priority="7">
      <formula>AND($C14-TODAY()&lt;30,TODAY()&lt;$C14)</formula>
    </cfRule>
    <cfRule type="cellIs" dxfId="189" priority="8" stopIfTrue="1" operator="lessThan">
      <formula>$B$2</formula>
    </cfRule>
  </conditionalFormatting>
  <conditionalFormatting sqref="C4:D6 D14">
    <cfRule type="cellIs" dxfId="188" priority="50" stopIfTrue="1" operator="lessThan">
      <formula>$B$2</formula>
    </cfRule>
  </conditionalFormatting>
  <conditionalFormatting sqref="C12:D13">
    <cfRule type="expression" dxfId="187" priority="47">
      <formula>AND($C12-TODAY()&lt;30,TODAY()&lt;$C12)</formula>
    </cfRule>
  </conditionalFormatting>
  <conditionalFormatting sqref="C13:D14">
    <cfRule type="expression" dxfId="186" priority="18">
      <formula>AND($C13-TODAY()&lt;30,TODAY()&lt;$C13)</formula>
    </cfRule>
    <cfRule type="cellIs" dxfId="185" priority="19" stopIfTrue="1" operator="lessThan">
      <formula>$B$2</formula>
    </cfRule>
  </conditionalFormatting>
  <conditionalFormatting sqref="C15:D15">
    <cfRule type="expression" dxfId="184" priority="5">
      <formula>AND($C15-TODAY()&lt;30,TODAY()&lt;$C15)</formula>
    </cfRule>
    <cfRule type="cellIs" dxfId="183" priority="6" stopIfTrue="1" operator="lessThan">
      <formula>$B$2</formula>
    </cfRule>
  </conditionalFormatting>
  <conditionalFormatting sqref="C20:D20 C13:D13">
    <cfRule type="cellIs" dxfId="182" priority="54" stopIfTrue="1" operator="lessThan">
      <formula>$B$2</formula>
    </cfRule>
  </conditionalFormatting>
  <conditionalFormatting sqref="C20:D20">
    <cfRule type="expression" dxfId="181" priority="52">
      <formula>AND($C20-TODAY()&lt;30,TODAY()&lt;$C20)</formula>
    </cfRule>
  </conditionalFormatting>
  <conditionalFormatting sqref="D7:D12 D16">
    <cfRule type="expression" dxfId="180" priority="53">
      <formula>AND($C7-TODAY()&lt;30,TODAY()&lt;$C7)</formula>
    </cfRule>
  </conditionalFormatting>
  <conditionalFormatting sqref="D7:D12">
    <cfRule type="cellIs" dxfId="179" priority="48" stopIfTrue="1" operator="lessThan">
      <formula>$B$2</formula>
    </cfRule>
  </conditionalFormatting>
  <conditionalFormatting sqref="D14 C4:D6">
    <cfRule type="expression" dxfId="178" priority="49">
      <formula>AND($C4-TODAY()&lt;30,TODAY()&lt;$C4)</formula>
    </cfRule>
  </conditionalFormatting>
  <conditionalFormatting sqref="D15:D16">
    <cfRule type="expression" dxfId="177" priority="12">
      <formula>AND($C15-TODAY()&lt;30,TODAY()&lt;$C15)</formula>
    </cfRule>
    <cfRule type="cellIs" dxfId="176" priority="13" stopIfTrue="1" operator="lessThan">
      <formula>$B$2</formula>
    </cfRule>
  </conditionalFormatting>
  <conditionalFormatting sqref="E16:G16">
    <cfRule type="cellIs" dxfId="175" priority="31" stopIfTrue="1" operator="equal">
      <formula>"已过期"</formula>
    </cfRule>
  </conditionalFormatting>
  <conditionalFormatting sqref="F4:F15">
    <cfRule type="cellIs" dxfId="174" priority="9" stopIfTrue="1" operator="equal">
      <formula>"已过期"</formula>
    </cfRule>
  </conditionalFormatting>
  <conditionalFormatting sqref="G4:G15">
    <cfRule type="cellIs" dxfId="173" priority="3" stopIfTrue="1" operator="lessThan">
      <formula>$B$2</formula>
    </cfRule>
  </conditionalFormatting>
  <conditionalFormatting sqref="G20:G21">
    <cfRule type="expression" dxfId="172" priority="1" stopIfTrue="1">
      <formula>AND(#REF!-TODAY()&lt;30,TODAY()&lt;#REF!)</formula>
    </cfRule>
    <cfRule type="cellIs" dxfId="17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180</vt:i4>
      </vt:variant>
    </vt:vector>
  </HeadingPairs>
  <TitlesOfParts>
    <vt:vector size="23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比较法-租金办公</vt:lpstr>
      <vt:lpstr>比较法-都会国际办公</vt:lpstr>
      <vt:lpstr>成本法 (元)</vt:lpstr>
      <vt:lpstr>基准地价修正</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正常办公</vt:lpstr>
      <vt:lpstr>都会国际</vt:lpstr>
      <vt:lpstr>6.6</vt:lpstr>
      <vt:lpstr>4月</vt:lpstr>
      <vt:lpstr>Sheet2</vt:lpstr>
      <vt:lpstr>'比较法-办公'!Print_Area</vt:lpstr>
      <vt:lpstr>'比较法-仓储'!Print_Area</vt:lpstr>
      <vt:lpstr>'比较法-车位'!Print_Area</vt:lpstr>
      <vt:lpstr>'比较法-都会国际办公'!Print_Area</vt:lpstr>
      <vt:lpstr>'比较法-工业'!Print_Area</vt:lpstr>
      <vt:lpstr>'比较法-商业'!Print_Area</vt:lpstr>
      <vt:lpstr>'比较法-住宅'!Print_Area</vt:lpstr>
      <vt:lpstr>'比较法-租金办公'!Print_Area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'比较法-租金办公'!办公层高</vt:lpstr>
      <vt:lpstr>办公层高</vt:lpstr>
      <vt:lpstr>'比较法-办公'!办公朝向</vt:lpstr>
      <vt:lpstr>'比较法-租金办公'!办公朝向</vt:lpstr>
      <vt:lpstr>办公朝向</vt:lpstr>
      <vt:lpstr>'比较法-办公'!办公道路级别</vt:lpstr>
      <vt:lpstr>'比较法-租金办公'!办公道路级别</vt:lpstr>
      <vt:lpstr>办公道路级别</vt:lpstr>
      <vt:lpstr>'比较法-办公'!办公公共部分装修</vt:lpstr>
      <vt:lpstr>'比较法-租金办公'!办公公共部分装修</vt:lpstr>
      <vt:lpstr>办公公共部分装修</vt:lpstr>
      <vt:lpstr>'比较法-办公'!办公基础设施水平</vt:lpstr>
      <vt:lpstr>'比较法-租金办公'!办公基础设施水平</vt:lpstr>
      <vt:lpstr>办公基础设施水平</vt:lpstr>
      <vt:lpstr>办公集聚程度</vt:lpstr>
      <vt:lpstr>'比较法-办公'!办公建筑结构</vt:lpstr>
      <vt:lpstr>'比较法-租金办公'!办公建筑结构</vt:lpstr>
      <vt:lpstr>办公建筑结构</vt:lpstr>
      <vt:lpstr>'比较法-办公'!办公建筑类型</vt:lpstr>
      <vt:lpstr>'比较法-租金办公'!办公建筑类型</vt:lpstr>
      <vt:lpstr>办公建筑类型</vt:lpstr>
      <vt:lpstr>'比较法-办公'!办公交易情况</vt:lpstr>
      <vt:lpstr>'比较法-租金办公'!办公交易情况</vt:lpstr>
      <vt:lpstr>办公交易情况</vt:lpstr>
      <vt:lpstr>'比较法-办公'!办公楼层</vt:lpstr>
      <vt:lpstr>'比较法-租金办公'!办公楼层</vt:lpstr>
      <vt:lpstr>办公楼层</vt:lpstr>
      <vt:lpstr>'比较法-办公'!办公内部装修</vt:lpstr>
      <vt:lpstr>'比较法-租金办公'!办公内部装修</vt:lpstr>
      <vt:lpstr>办公内部装修</vt:lpstr>
      <vt:lpstr>'比较法-办公'!办公物业管理</vt:lpstr>
      <vt:lpstr>'比较法-租金办公'!办公物业管理</vt:lpstr>
      <vt:lpstr>办公物业管理</vt:lpstr>
      <vt:lpstr>'比较法-办公'!办公用途</vt:lpstr>
      <vt:lpstr>'比较法-租金办公'!办公用途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'比较法-租金办公'!写字楼等级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2024-06-11T09:21:57Z</dcterms:modified>
</cp:coreProperties>
</file>