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8" activeTab="15"/>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比较法-办公" sheetId="34" r:id="rId15"/>
    <sheet name="结果表" sheetId="9" r:id="rId16"/>
    <sheet name="结果表 (1修多)" sheetId="57" state="hidden" r:id="rId17"/>
    <sheet name="成本法" sheetId="11" state="hidden" r:id="rId18"/>
    <sheet name="假设开发法" sheetId="12" state="hidden" r:id="rId19"/>
    <sheet name="收益法" sheetId="15" r:id="rId20"/>
    <sheet name="酒店收入计算" sheetId="58" state="hidden" r:id="rId21"/>
    <sheet name="比较法-住宅" sheetId="21" state="hidden" r:id="rId22"/>
    <sheet name="典型户型修正" sheetId="3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14"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20" i="1" l="1"/>
  <c r="I48" i="34" l="1"/>
  <c r="G48" i="34"/>
  <c r="E48" i="34"/>
  <c r="I37" i="34"/>
  <c r="G37" i="34"/>
  <c r="E37" i="34"/>
  <c r="C37" i="34"/>
  <c r="C34" i="34"/>
  <c r="C36" i="33" l="1"/>
  <c r="E13" i="1" l="1"/>
  <c r="I47" i="21" l="1"/>
  <c r="G47" i="21"/>
  <c r="E47" i="21"/>
  <c r="I5" i="21"/>
  <c r="G5" i="21"/>
  <c r="C37" i="21"/>
  <c r="I37" i="21" s="1"/>
  <c r="B35" i="4"/>
  <c r="B28" i="4"/>
  <c r="D2" i="4"/>
  <c r="G37" i="21" l="1"/>
  <c r="E37" i="21"/>
  <c r="AH5" i="59"/>
  <c r="AG5" i="59"/>
  <c r="AE5" i="59"/>
  <c r="AF5" i="59" s="1"/>
  <c r="AD5" i="59"/>
  <c r="Q5" i="59"/>
  <c r="P5" i="59"/>
  <c r="O5" i="59"/>
  <c r="N5" i="59"/>
  <c r="L3" i="59" l="1"/>
  <c r="K3" i="59"/>
  <c r="J3" i="59"/>
  <c r="I3" i="59"/>
  <c r="AH6" i="59" l="1"/>
  <c r="AG6" i="59"/>
  <c r="AE6" i="59"/>
  <c r="AF6" i="59" s="1"/>
  <c r="AD6" i="59"/>
  <c r="Q6" i="59" l="1"/>
  <c r="AB5" i="59" s="1"/>
  <c r="P6" i="59"/>
  <c r="O6" i="59"/>
  <c r="Y5" i="59" s="1"/>
  <c r="Z5" i="59" s="1"/>
  <c r="N6" i="59"/>
  <c r="X5" i="59" s="1"/>
  <c r="Q7" i="59"/>
  <c r="P7" i="59"/>
  <c r="O7" i="59"/>
  <c r="N7" i="59"/>
  <c r="D7" i="59"/>
  <c r="AA5" i="59" l="1"/>
  <c r="E6" i="59"/>
  <c r="U6" i="59" s="1"/>
  <c r="F6" i="59"/>
  <c r="AB6" i="59"/>
  <c r="E5" i="59"/>
  <c r="AA6" i="59"/>
  <c r="C6" i="59"/>
  <c r="T6" i="59" s="1"/>
  <c r="Y6" i="59"/>
  <c r="Z6" i="59" s="1"/>
  <c r="B6" i="59"/>
  <c r="S6" i="59" s="1"/>
  <c r="X6" i="59"/>
  <c r="A2" i="50"/>
  <c r="F5" i="59" l="1"/>
  <c r="V6" i="59"/>
  <c r="B5" i="59"/>
  <c r="D6" i="59"/>
  <c r="C5" i="59"/>
  <c r="D5" i="59" s="1"/>
  <c r="K60" i="15" l="1"/>
  <c r="P72" i="15" s="1"/>
  <c r="P59" i="15" l="1"/>
  <c r="A126" i="57"/>
  <c r="A123" i="9"/>
  <c r="A16" i="54"/>
  <c r="A14" i="54"/>
  <c r="A19" i="55" l="1"/>
  <c r="A13" i="55"/>
  <c r="A1" i="52"/>
  <c r="A4" i="50"/>
  <c r="P8" i="59" l="1"/>
  <c r="O8" i="59"/>
  <c r="N8" i="59"/>
  <c r="Q8"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9" i="59" l="1"/>
  <c r="P9" i="59"/>
  <c r="Q9" i="59"/>
  <c r="N9" i="59"/>
  <c r="X11" i="59" l="1"/>
  <c r="Y11" i="59"/>
  <c r="Z11" i="59" s="1"/>
  <c r="AA11" i="59"/>
  <c r="AB11" i="59"/>
  <c r="X12" i="59"/>
  <c r="Y12" i="59"/>
  <c r="Z12" i="59"/>
  <c r="AA12" i="59"/>
  <c r="AB12" i="59"/>
  <c r="X13" i="59"/>
  <c r="Y13" i="59"/>
  <c r="Z13" i="59" s="1"/>
  <c r="AA13" i="59"/>
  <c r="AB13" i="59"/>
  <c r="X14" i="59"/>
  <c r="Y14" i="59"/>
  <c r="Z14" i="59"/>
  <c r="AA14" i="59"/>
  <c r="AB14" i="59"/>
  <c r="X15" i="59"/>
  <c r="Y15" i="59"/>
  <c r="Z15" i="59"/>
  <c r="AA15" i="59"/>
  <c r="AB15" i="59"/>
  <c r="X16" i="59"/>
  <c r="Y16" i="59"/>
  <c r="Z16" i="59" s="1"/>
  <c r="AA16" i="59"/>
  <c r="AB16" i="59"/>
  <c r="X17" i="59"/>
  <c r="Y17" i="59"/>
  <c r="Z17" i="59"/>
  <c r="AA17" i="59"/>
  <c r="AB17" i="59"/>
  <c r="X18" i="59"/>
  <c r="Y18" i="59"/>
  <c r="Z18" i="59" s="1"/>
  <c r="AA18" i="59"/>
  <c r="AB18" i="59"/>
  <c r="X19" i="59"/>
  <c r="Y19" i="59"/>
  <c r="Z19" i="59"/>
  <c r="AA19" i="59"/>
  <c r="AB19" i="59"/>
  <c r="AB20" i="59"/>
  <c r="AA20" i="59"/>
  <c r="Y20" i="59"/>
  <c r="X20" i="59"/>
  <c r="AD3" i="59"/>
  <c r="AE3" i="59"/>
  <c r="AF3" i="59" s="1"/>
  <c r="AG3" i="59"/>
  <c r="AH3" i="59"/>
  <c r="AD7" i="59"/>
  <c r="AE7" i="59"/>
  <c r="AF7" i="59" s="1"/>
  <c r="AG7" i="59"/>
  <c r="AH7" i="59"/>
  <c r="AD8" i="59"/>
  <c r="AE8" i="59"/>
  <c r="AF8" i="59" s="1"/>
  <c r="AG8" i="59"/>
  <c r="AH8" i="59"/>
  <c r="AD9" i="59"/>
  <c r="AE9" i="59"/>
  <c r="AF9" i="59" s="1"/>
  <c r="AG9" i="59"/>
  <c r="AH9" i="59"/>
  <c r="AD10" i="59"/>
  <c r="AE10" i="59"/>
  <c r="AF10" i="59"/>
  <c r="AG10" i="59"/>
  <c r="AH10" i="59"/>
  <c r="AD11" i="59"/>
  <c r="AE11" i="59"/>
  <c r="AF11" i="59"/>
  <c r="AG11" i="59"/>
  <c r="AH11" i="59"/>
  <c r="AD12" i="59"/>
  <c r="AE12" i="59"/>
  <c r="AF12" i="59" s="1"/>
  <c r="AG12" i="59"/>
  <c r="AH12" i="59"/>
  <c r="AD13" i="59"/>
  <c r="AE13" i="59"/>
  <c r="AF13" i="59" s="1"/>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D19" i="59"/>
  <c r="AE19" i="59"/>
  <c r="AF19" i="59"/>
  <c r="AG19" i="59"/>
  <c r="AH19" i="59"/>
  <c r="AD20" i="59"/>
  <c r="AE20" i="59"/>
  <c r="AF20" i="59" s="1"/>
  <c r="AG20" i="59"/>
  <c r="AH20" i="59"/>
  <c r="AH21" i="59"/>
  <c r="AG21" i="59"/>
  <c r="AE21" i="59"/>
  <c r="AD21" i="59"/>
  <c r="AF21" i="59"/>
  <c r="AD22" i="59"/>
  <c r="AE22" i="59"/>
  <c r="AF22" i="59"/>
  <c r="AG22" i="59"/>
  <c r="AH22" i="59"/>
  <c r="S5" i="31" l="1"/>
  <c r="M5" i="31"/>
  <c r="N5" i="31"/>
  <c r="O5" i="31"/>
  <c r="P5" i="31"/>
  <c r="Q5" i="31"/>
  <c r="R5" i="31"/>
  <c r="C1" i="61" l="1"/>
  <c r="L1" i="61" s="1"/>
  <c r="F7" i="61"/>
  <c r="J1" i="61" l="1"/>
  <c r="B68" i="60"/>
  <c r="D6" i="61"/>
  <c r="D4" i="61"/>
  <c r="D5" i="61"/>
  <c r="F5" i="61"/>
  <c r="F4" i="61"/>
  <c r="F6" i="61"/>
  <c r="F3" i="61"/>
  <c r="D3" i="61"/>
  <c r="D7"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1" i="59" l="1"/>
  <c r="F70" i="59"/>
  <c r="E70" i="59"/>
  <c r="E69" i="59" s="1"/>
  <c r="E68" i="59" s="1"/>
  <c r="C70" i="59"/>
  <c r="D70" i="59" s="1"/>
  <c r="B70" i="59"/>
  <c r="F69" i="59"/>
  <c r="F68" i="59" s="1"/>
  <c r="B69" i="59"/>
  <c r="B68" i="59" s="1"/>
  <c r="D67" i="59"/>
  <c r="F66" i="59"/>
  <c r="E66" i="59"/>
  <c r="E65" i="59" s="1"/>
  <c r="E64" i="59" s="1"/>
  <c r="C66" i="59"/>
  <c r="D66" i="59" s="1"/>
  <c r="B66" i="59"/>
  <c r="F65" i="59"/>
  <c r="F64" i="59" s="1"/>
  <c r="B65" i="59"/>
  <c r="B64" i="59" s="1"/>
  <c r="D63" i="59"/>
  <c r="S62" i="59"/>
  <c r="Q62" i="59"/>
  <c r="P62" i="59"/>
  <c r="O62" i="59"/>
  <c r="N62" i="59"/>
  <c r="F62" i="59"/>
  <c r="V62" i="59" s="1"/>
  <c r="E62" i="59"/>
  <c r="U62" i="59" s="1"/>
  <c r="C62" i="59"/>
  <c r="T62" i="59" s="1"/>
  <c r="B62" i="59"/>
  <c r="Q61" i="59"/>
  <c r="P61" i="59"/>
  <c r="O61" i="59"/>
  <c r="N61" i="59"/>
  <c r="F61" i="59"/>
  <c r="F60" i="59" s="1"/>
  <c r="B61" i="59"/>
  <c r="B60" i="59" s="1"/>
  <c r="Q60" i="59"/>
  <c r="P60" i="59"/>
  <c r="O60" i="59"/>
  <c r="N60" i="59"/>
  <c r="Q59" i="59"/>
  <c r="P59" i="59"/>
  <c r="O59" i="59"/>
  <c r="N59" i="59"/>
  <c r="D59" i="59"/>
  <c r="S58" i="59"/>
  <c r="Q58" i="59"/>
  <c r="P58" i="59"/>
  <c r="O58" i="59"/>
  <c r="N58" i="59"/>
  <c r="F58" i="59"/>
  <c r="V58" i="59" s="1"/>
  <c r="E58" i="59"/>
  <c r="U58" i="59" s="1"/>
  <c r="C58" i="59"/>
  <c r="T58" i="59" s="1"/>
  <c r="B58" i="59"/>
  <c r="Q57" i="59"/>
  <c r="P57" i="59"/>
  <c r="O57" i="59"/>
  <c r="N57" i="59"/>
  <c r="F57" i="59"/>
  <c r="F56" i="59" s="1"/>
  <c r="B57" i="59"/>
  <c r="B56" i="59" s="1"/>
  <c r="Q56" i="59"/>
  <c r="P56" i="59"/>
  <c r="O56" i="59"/>
  <c r="N56" i="59"/>
  <c r="Q55" i="59"/>
  <c r="P55" i="59"/>
  <c r="O55" i="59"/>
  <c r="N55" i="59"/>
  <c r="D55" i="59"/>
  <c r="S54" i="59"/>
  <c r="Q54" i="59"/>
  <c r="P54" i="59"/>
  <c r="O54" i="59"/>
  <c r="N54" i="59"/>
  <c r="F54" i="59"/>
  <c r="V54" i="59" s="1"/>
  <c r="E54" i="59"/>
  <c r="C54" i="59"/>
  <c r="B54" i="59"/>
  <c r="Q53" i="59"/>
  <c r="P53" i="59"/>
  <c r="O53" i="59"/>
  <c r="N53" i="59"/>
  <c r="F53" i="59"/>
  <c r="F52" i="59" s="1"/>
  <c r="B53" i="59"/>
  <c r="B52" i="59" s="1"/>
  <c r="Q52" i="59"/>
  <c r="P52" i="59"/>
  <c r="O52" i="59"/>
  <c r="N52" i="59"/>
  <c r="Q51" i="59"/>
  <c r="P51" i="59"/>
  <c r="O51" i="59"/>
  <c r="N51" i="59"/>
  <c r="D51" i="59"/>
  <c r="U50" i="59"/>
  <c r="S50" i="59"/>
  <c r="P50" i="59"/>
  <c r="N50" i="59"/>
  <c r="F50" i="59"/>
  <c r="V50" i="59" s="1"/>
  <c r="E50" i="59"/>
  <c r="E49" i="59" s="1"/>
  <c r="P49" i="59" s="1"/>
  <c r="C50" i="59"/>
  <c r="B50" i="59"/>
  <c r="F49" i="59"/>
  <c r="F48" i="59" s="1"/>
  <c r="Q48" i="59" s="1"/>
  <c r="B49" i="59"/>
  <c r="E48" i="59"/>
  <c r="P47" i="59" s="1"/>
  <c r="D47" i="59"/>
  <c r="Q46" i="59"/>
  <c r="P46" i="59"/>
  <c r="O46" i="59"/>
  <c r="N46" i="59"/>
  <c r="Q45" i="59"/>
  <c r="P45" i="59"/>
  <c r="O45" i="59"/>
  <c r="N45" i="59"/>
  <c r="F45" i="59"/>
  <c r="F46" i="59" s="1"/>
  <c r="V46" i="59" s="1"/>
  <c r="Q44" i="59"/>
  <c r="P44" i="59"/>
  <c r="O44" i="59"/>
  <c r="N44" i="59"/>
  <c r="E44" i="59"/>
  <c r="C44" i="59"/>
  <c r="Q43" i="59"/>
  <c r="F44" i="59" s="1"/>
  <c r="P43" i="59"/>
  <c r="O43" i="59"/>
  <c r="N43" i="59"/>
  <c r="B44" i="59" s="1"/>
  <c r="B45" i="59" s="1"/>
  <c r="B46" i="59" s="1"/>
  <c r="S46" i="59" s="1"/>
  <c r="D43" i="59"/>
  <c r="Q42" i="59"/>
  <c r="P42" i="59"/>
  <c r="O42" i="59"/>
  <c r="N42" i="59"/>
  <c r="Q41" i="59"/>
  <c r="P41" i="59"/>
  <c r="O41" i="59"/>
  <c r="N41" i="59"/>
  <c r="F41" i="59"/>
  <c r="F42" i="59" s="1"/>
  <c r="V42" i="59" s="1"/>
  <c r="Q40" i="59"/>
  <c r="P40" i="59"/>
  <c r="O40" i="59"/>
  <c r="N40" i="59"/>
  <c r="E40" i="59"/>
  <c r="C40" i="59"/>
  <c r="Q39" i="59"/>
  <c r="F40" i="59" s="1"/>
  <c r="P39" i="59"/>
  <c r="O39" i="59"/>
  <c r="N39" i="59"/>
  <c r="B40" i="59" s="1"/>
  <c r="B41" i="59" s="1"/>
  <c r="B42" i="59" s="1"/>
  <c r="S42" i="59" s="1"/>
  <c r="D39" i="59"/>
  <c r="Q38" i="59"/>
  <c r="P38" i="59"/>
  <c r="O38" i="59"/>
  <c r="N38" i="59"/>
  <c r="Q37" i="59"/>
  <c r="P37" i="59"/>
  <c r="O37" i="59"/>
  <c r="N37" i="59"/>
  <c r="F37" i="59"/>
  <c r="F38" i="59" s="1"/>
  <c r="V38" i="59" s="1"/>
  <c r="Q36" i="59"/>
  <c r="P36" i="59"/>
  <c r="O36" i="59"/>
  <c r="N36" i="59"/>
  <c r="E36" i="59"/>
  <c r="C36" i="59"/>
  <c r="Q35" i="59"/>
  <c r="F36" i="59" s="1"/>
  <c r="P35" i="59"/>
  <c r="O35" i="59"/>
  <c r="N35" i="59"/>
  <c r="B36" i="59" s="1"/>
  <c r="B37" i="59" s="1"/>
  <c r="B38" i="59" s="1"/>
  <c r="S38" i="59" s="1"/>
  <c r="D35" i="59"/>
  <c r="Q34" i="59"/>
  <c r="P34" i="59"/>
  <c r="O34" i="59"/>
  <c r="N34" i="59"/>
  <c r="Q33" i="59"/>
  <c r="P33" i="59"/>
  <c r="O33" i="59"/>
  <c r="N33" i="59"/>
  <c r="Q32" i="59"/>
  <c r="P32" i="59"/>
  <c r="O32" i="59"/>
  <c r="N32" i="59"/>
  <c r="E32" i="59"/>
  <c r="E33" i="59" s="1"/>
  <c r="E34" i="59" s="1"/>
  <c r="U34" i="59" s="1"/>
  <c r="Q31" i="59"/>
  <c r="F32" i="59" s="1"/>
  <c r="F33" i="59" s="1"/>
  <c r="F34" i="59" s="1"/>
  <c r="V34" i="59" s="1"/>
  <c r="P31" i="59"/>
  <c r="O31" i="59"/>
  <c r="C32" i="59" s="1"/>
  <c r="N31" i="59"/>
  <c r="B32" i="59" s="1"/>
  <c r="B33" i="59" s="1"/>
  <c r="B34" i="59" s="1"/>
  <c r="S34" i="59" s="1"/>
  <c r="D31" i="59"/>
  <c r="T30" i="59"/>
  <c r="Q30" i="59"/>
  <c r="P30" i="59"/>
  <c r="O30" i="59"/>
  <c r="N30" i="59"/>
  <c r="D30" i="59"/>
  <c r="Q29" i="59"/>
  <c r="P29" i="59"/>
  <c r="O29" i="59"/>
  <c r="N29" i="59"/>
  <c r="Q28" i="59"/>
  <c r="P28" i="59"/>
  <c r="O28" i="59"/>
  <c r="N28" i="59"/>
  <c r="F28" i="59"/>
  <c r="F29" i="59" s="1"/>
  <c r="F30" i="59" s="1"/>
  <c r="V30" i="59" s="1"/>
  <c r="Q27" i="59"/>
  <c r="P27" i="59"/>
  <c r="E28" i="59" s="1"/>
  <c r="E29" i="59" s="1"/>
  <c r="E30" i="59" s="1"/>
  <c r="U30" i="59" s="1"/>
  <c r="O27" i="59"/>
  <c r="C28" i="59" s="1"/>
  <c r="N27" i="59"/>
  <c r="B28" i="59" s="1"/>
  <c r="B29" i="59" s="1"/>
  <c r="B30" i="59" s="1"/>
  <c r="S30" i="59" s="1"/>
  <c r="D27" i="59"/>
  <c r="Q26" i="59"/>
  <c r="P26" i="59"/>
  <c r="O26" i="59"/>
  <c r="N26" i="59"/>
  <c r="Q25" i="59"/>
  <c r="P25" i="59"/>
  <c r="O25" i="59"/>
  <c r="N25" i="59"/>
  <c r="Q24" i="59"/>
  <c r="P24" i="59"/>
  <c r="O24" i="59"/>
  <c r="N24" i="59"/>
  <c r="F24" i="59"/>
  <c r="F25" i="59" s="1"/>
  <c r="F26" i="59" s="1"/>
  <c r="V26" i="59" s="1"/>
  <c r="Q23" i="59"/>
  <c r="P23" i="59"/>
  <c r="E24" i="59" s="1"/>
  <c r="E25" i="59" s="1"/>
  <c r="E26" i="59" s="1"/>
  <c r="U26" i="59" s="1"/>
  <c r="O23" i="59"/>
  <c r="C24" i="59" s="1"/>
  <c r="N23" i="59"/>
  <c r="B24" i="59" s="1"/>
  <c r="B25" i="59" s="1"/>
  <c r="B26" i="59" s="1"/>
  <c r="S26" i="59" s="1"/>
  <c r="D23" i="59"/>
  <c r="Q22" i="59"/>
  <c r="P22" i="59"/>
  <c r="O22" i="59"/>
  <c r="N22" i="59"/>
  <c r="AB21" i="59"/>
  <c r="Q21" i="59"/>
  <c r="P21" i="59"/>
  <c r="AA21" i="59" s="1"/>
  <c r="O21" i="59"/>
  <c r="Y21" i="59" s="1"/>
  <c r="Z21" i="59" s="1"/>
  <c r="N21" i="59"/>
  <c r="X21" i="59" s="1"/>
  <c r="Z20" i="59"/>
  <c r="Q20" i="59"/>
  <c r="P20" i="59"/>
  <c r="O20" i="59"/>
  <c r="N20" i="59"/>
  <c r="F20" i="59"/>
  <c r="F21" i="59" s="1"/>
  <c r="F22" i="59" s="1"/>
  <c r="V22" i="59" s="1"/>
  <c r="Q19" i="59"/>
  <c r="P19" i="59"/>
  <c r="E20" i="59" s="1"/>
  <c r="E21" i="59" s="1"/>
  <c r="E22" i="59" s="1"/>
  <c r="U22" i="59" s="1"/>
  <c r="O19" i="59"/>
  <c r="C20" i="59" s="1"/>
  <c r="N19" i="59"/>
  <c r="B20" i="59" s="1"/>
  <c r="B21" i="59" s="1"/>
  <c r="B22" i="59" s="1"/>
  <c r="S22" i="59" s="1"/>
  <c r="D19" i="59"/>
  <c r="Q18" i="59"/>
  <c r="P18" i="59"/>
  <c r="O18" i="59"/>
  <c r="N18" i="59"/>
  <c r="Q17" i="59"/>
  <c r="P17" i="59"/>
  <c r="O17" i="59"/>
  <c r="N17" i="59"/>
  <c r="Q16" i="59"/>
  <c r="P16" i="59"/>
  <c r="O16" i="59"/>
  <c r="N16" i="59"/>
  <c r="F16" i="59"/>
  <c r="F17" i="59" s="1"/>
  <c r="F18" i="59" s="1"/>
  <c r="V18" i="59" s="1"/>
  <c r="Q15" i="59"/>
  <c r="P15" i="59"/>
  <c r="E16" i="59" s="1"/>
  <c r="E17" i="59" s="1"/>
  <c r="E18" i="59" s="1"/>
  <c r="U18" i="59" s="1"/>
  <c r="O15" i="59"/>
  <c r="C16" i="59" s="1"/>
  <c r="N15" i="59"/>
  <c r="B16" i="59" s="1"/>
  <c r="B17" i="59" s="1"/>
  <c r="B18" i="59" s="1"/>
  <c r="S18" i="59" s="1"/>
  <c r="D15" i="59"/>
  <c r="Q14" i="59"/>
  <c r="P14" i="59"/>
  <c r="O14" i="59"/>
  <c r="N14" i="59"/>
  <c r="Q13" i="59"/>
  <c r="P13" i="59"/>
  <c r="O13" i="59"/>
  <c r="N13" i="59"/>
  <c r="Q12" i="59"/>
  <c r="P12" i="59"/>
  <c r="O12" i="59"/>
  <c r="N12" i="59"/>
  <c r="F12" i="59"/>
  <c r="F13" i="59" s="1"/>
  <c r="F14" i="59" s="1"/>
  <c r="V14" i="59" s="1"/>
  <c r="Q11" i="59"/>
  <c r="P11" i="59"/>
  <c r="E12" i="59" s="1"/>
  <c r="E13" i="59" s="1"/>
  <c r="E14" i="59" s="1"/>
  <c r="U14" i="59" s="1"/>
  <c r="O11" i="59"/>
  <c r="C12" i="59" s="1"/>
  <c r="N11" i="59"/>
  <c r="B12" i="59" s="1"/>
  <c r="B13" i="59" s="1"/>
  <c r="B14" i="59" s="1"/>
  <c r="S14" i="59" s="1"/>
  <c r="D11" i="59"/>
  <c r="O10" i="59"/>
  <c r="N10" i="59"/>
  <c r="C10" i="59" l="1"/>
  <c r="T10" i="59" s="1"/>
  <c r="Y3" i="59"/>
  <c r="Z3" i="59" s="1"/>
  <c r="Y7" i="59"/>
  <c r="Z7" i="59" s="1"/>
  <c r="Y8" i="59"/>
  <c r="Z8" i="59" s="1"/>
  <c r="Y10" i="59"/>
  <c r="Z10" i="59" s="1"/>
  <c r="Y9" i="59"/>
  <c r="Z9" i="59" s="1"/>
  <c r="B10" i="59"/>
  <c r="X10" i="59"/>
  <c r="X9" i="59"/>
  <c r="X3" i="59"/>
  <c r="X7" i="59"/>
  <c r="X8" i="59"/>
  <c r="C13" i="59"/>
  <c r="D12" i="59"/>
  <c r="C17" i="59"/>
  <c r="D16" i="59"/>
  <c r="C21" i="59"/>
  <c r="D20" i="59"/>
  <c r="C25" i="59"/>
  <c r="D24" i="59"/>
  <c r="C29" i="59"/>
  <c r="D29" i="59" s="1"/>
  <c r="D28" i="59"/>
  <c r="C33" i="59"/>
  <c r="D32" i="59"/>
  <c r="P10" i="59"/>
  <c r="E37" i="59"/>
  <c r="E38" i="59" s="1"/>
  <c r="U38" i="59" s="1"/>
  <c r="E41" i="59"/>
  <c r="E42" i="59" s="1"/>
  <c r="U42" i="59" s="1"/>
  <c r="E45" i="59"/>
  <c r="E46" i="59" s="1"/>
  <c r="U46" i="59" s="1"/>
  <c r="Q47" i="59"/>
  <c r="P48" i="59"/>
  <c r="U54" i="59"/>
  <c r="E53" i="59"/>
  <c r="E52" i="59" s="1"/>
  <c r="Q10" i="59"/>
  <c r="C37" i="59"/>
  <c r="D36" i="59"/>
  <c r="C41" i="59"/>
  <c r="D40" i="59"/>
  <c r="C45" i="59"/>
  <c r="D44" i="59"/>
  <c r="N49" i="59"/>
  <c r="B48" i="59"/>
  <c r="Q49" i="59"/>
  <c r="T50" i="59"/>
  <c r="O50" i="59"/>
  <c r="D50" i="59"/>
  <c r="C49" i="59"/>
  <c r="T54" i="59"/>
  <c r="D54" i="59"/>
  <c r="C53" i="59"/>
  <c r="Q50" i="59"/>
  <c r="C57" i="59"/>
  <c r="E57" i="59"/>
  <c r="E56" i="59" s="1"/>
  <c r="D58" i="59"/>
  <c r="C61" i="59"/>
  <c r="E61" i="59"/>
  <c r="E60" i="59" s="1"/>
  <c r="D62" i="59"/>
  <c r="C65" i="59"/>
  <c r="C69" i="59"/>
  <c r="B9" i="59" l="1"/>
  <c r="B8" i="59" s="1"/>
  <c r="S10" i="59"/>
  <c r="F10" i="59"/>
  <c r="AB3" i="59"/>
  <c r="AB7" i="59"/>
  <c r="AB8" i="59"/>
  <c r="AB9" i="59"/>
  <c r="AB10" i="59"/>
  <c r="E10" i="59"/>
  <c r="AA8" i="59"/>
  <c r="AA9" i="59"/>
  <c r="AA10" i="59"/>
  <c r="AA3" i="59"/>
  <c r="AA7" i="59"/>
  <c r="C9" i="59"/>
  <c r="D10" i="59"/>
  <c r="D65" i="59"/>
  <c r="C64" i="59"/>
  <c r="D64" i="59" s="1"/>
  <c r="D57" i="59"/>
  <c r="C56" i="59"/>
  <c r="D56" i="59" s="1"/>
  <c r="C52" i="59"/>
  <c r="D52" i="59" s="1"/>
  <c r="D53" i="59"/>
  <c r="C34" i="59"/>
  <c r="D33" i="59"/>
  <c r="D69" i="59"/>
  <c r="C68" i="59"/>
  <c r="D68" i="59" s="1"/>
  <c r="D61" i="59"/>
  <c r="C60" i="59"/>
  <c r="D60" i="59" s="1"/>
  <c r="C48" i="59"/>
  <c r="O49" i="59"/>
  <c r="D49" i="59"/>
  <c r="C46" i="59"/>
  <c r="D45" i="59"/>
  <c r="C42" i="59"/>
  <c r="D41" i="59"/>
  <c r="C38" i="59"/>
  <c r="D37" i="59"/>
  <c r="N47" i="59"/>
  <c r="N48" i="59"/>
  <c r="C26" i="59"/>
  <c r="D25" i="59"/>
  <c r="C22" i="59"/>
  <c r="D21" i="59"/>
  <c r="C18" i="59"/>
  <c r="D17" i="59"/>
  <c r="C14" i="59"/>
  <c r="D13" i="59"/>
  <c r="D9" i="59" l="1"/>
  <c r="C8" i="59"/>
  <c r="D8" i="59" s="1"/>
  <c r="E9" i="59"/>
  <c r="E8" i="59" s="1"/>
  <c r="U10" i="59"/>
  <c r="F9" i="59"/>
  <c r="F8" i="59" s="1"/>
  <c r="V10" i="59"/>
  <c r="O48" i="59"/>
  <c r="D48" i="59"/>
  <c r="O47" i="59"/>
  <c r="T34" i="59"/>
  <c r="D34" i="59"/>
  <c r="T14" i="59"/>
  <c r="D14" i="59"/>
  <c r="T18" i="59"/>
  <c r="D18" i="59"/>
  <c r="T22" i="59"/>
  <c r="D22" i="59"/>
  <c r="T26" i="59"/>
  <c r="D26" i="59"/>
  <c r="T38" i="59"/>
  <c r="D38" i="59"/>
  <c r="T42" i="59"/>
  <c r="D42" i="59"/>
  <c r="T46" i="59"/>
  <c r="D46"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D20" i="12"/>
  <c r="C2" i="12"/>
  <c r="B24" i="1"/>
  <c r="F11" i="12"/>
  <c r="F28" i="12"/>
  <c r="I1" i="4"/>
  <c r="B6" i="50" s="1"/>
  <c r="B17" i="60" s="1"/>
  <c r="B1" i="4"/>
  <c r="B9" i="49" s="1"/>
  <c r="B2" i="60" s="1"/>
  <c r="M11" i="15"/>
  <c r="J10" i="15"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AA19" i="34" s="1"/>
  <c r="D80" i="34"/>
  <c r="E80" i="34" s="1"/>
  <c r="D78" i="34"/>
  <c r="E78" i="34" s="1"/>
  <c r="F78" i="34" s="1"/>
  <c r="G78" i="34" s="1"/>
  <c r="F15" i="34"/>
  <c r="AA15" i="34" s="1"/>
  <c r="D70" i="34"/>
  <c r="E70" i="34" s="1"/>
  <c r="F70" i="34" s="1"/>
  <c r="G70" i="34" s="1"/>
  <c r="H70" i="34" s="1"/>
  <c r="I70" i="34" s="1"/>
  <c r="J70" i="34" s="1"/>
  <c r="K70" i="34" s="1"/>
  <c r="L70" i="34" s="1"/>
  <c r="M70" i="34" s="1"/>
  <c r="F11" i="34"/>
  <c r="S11" i="34" s="1"/>
  <c r="M68" i="34"/>
  <c r="L68" i="34"/>
  <c r="K68" i="34"/>
  <c r="J68" i="34"/>
  <c r="I68" i="34"/>
  <c r="H68" i="34"/>
  <c r="G68" i="34"/>
  <c r="F68" i="34"/>
  <c r="E68" i="34"/>
  <c r="D68" i="34"/>
  <c r="C68" i="34"/>
  <c r="C64" i="34"/>
  <c r="P50" i="34"/>
  <c r="P49" i="34"/>
  <c r="V48" i="34"/>
  <c r="T48" i="34"/>
  <c r="R48" i="34"/>
  <c r="P48" i="34"/>
  <c r="Q47" i="34"/>
  <c r="Z47" i="34" s="1"/>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H39" i="33"/>
  <c r="AB39" i="33" s="1"/>
  <c r="F26" i="33"/>
  <c r="AA26" i="33" s="1"/>
  <c r="S40" i="33"/>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38" i="34" s="1"/>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W14" i="33"/>
  <c r="AA13" i="33"/>
  <c r="AC31" i="33"/>
  <c r="AA30" i="33"/>
  <c r="AB10" i="33"/>
  <c r="S11" i="33"/>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B30" i="34"/>
  <c r="AB12" i="34"/>
  <c r="AC30" i="34"/>
  <c r="H23" i="34"/>
  <c r="AB23" i="34" s="1"/>
  <c r="F33" i="34"/>
  <c r="S33" i="34" s="1"/>
  <c r="F35" i="34"/>
  <c r="AA35" i="34" s="1"/>
  <c r="J35" i="34"/>
  <c r="AC35" i="34" s="1"/>
  <c r="F27" i="34"/>
  <c r="S27" i="34" s="1"/>
  <c r="W34" i="34"/>
  <c r="S28" i="34"/>
  <c r="J33" i="34"/>
  <c r="W33" i="34" s="1"/>
  <c r="J37" i="34"/>
  <c r="W37" i="34" s="1"/>
  <c r="AB33" i="34"/>
  <c r="AC37" i="34"/>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A131" i="9"/>
  <c r="A134" i="57"/>
  <c r="B102" i="57"/>
  <c r="B106" i="57" s="1"/>
  <c r="C111" i="57"/>
  <c r="H106" i="57" s="1"/>
  <c r="D127" i="57"/>
  <c r="S23" i="21"/>
  <c r="W17" i="21"/>
  <c r="AC15" i="21"/>
  <c r="C109" i="57"/>
  <c r="H103" i="57" s="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U15" i="21"/>
  <c r="AB15" i="21"/>
  <c r="AA16" i="35"/>
  <c r="S14" i="39"/>
  <c r="AB29" i="35"/>
  <c r="U29" i="35"/>
  <c r="AA35" i="39"/>
  <c r="AB21" i="39"/>
  <c r="U25" i="35"/>
  <c r="W44" i="33"/>
  <c r="U36" i="37"/>
  <c r="AB46" i="34"/>
  <c r="S14" i="34"/>
  <c r="AA14" i="34"/>
  <c r="W44" i="21"/>
  <c r="AB3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F70" i="43"/>
  <c r="H72" i="43" s="1"/>
  <c r="F48" i="43"/>
  <c r="H51" i="43" s="1"/>
  <c r="M9" i="43"/>
  <c r="N3" i="43"/>
  <c r="A121" i="9"/>
  <c r="N5" i="43"/>
  <c r="F101" i="9"/>
  <c r="M4" i="43"/>
  <c r="F33" i="9"/>
  <c r="C25" i="57"/>
  <c r="F107" i="43"/>
  <c r="N102" i="43"/>
  <c r="C102" i="43"/>
  <c r="G103" i="43"/>
  <c r="K104" i="43"/>
  <c r="D103" i="43"/>
  <c r="H106" i="43"/>
  <c r="E103" i="43"/>
  <c r="M105" i="43"/>
  <c r="G4" i="47"/>
  <c r="W40" i="40"/>
  <c r="U15" i="37"/>
  <c r="AB24" i="36"/>
  <c r="H25" i="34"/>
  <c r="U25" i="34" s="1"/>
  <c r="AB35" i="39"/>
  <c r="AC40" i="37"/>
  <c r="AC36" i="37"/>
  <c r="S27" i="37"/>
  <c r="AA12" i="37"/>
  <c r="AA34" i="35"/>
  <c r="S34" i="35"/>
  <c r="AB24" i="35"/>
  <c r="H27" i="33"/>
  <c r="AB27" i="33" s="1"/>
  <c r="F43" i="33"/>
  <c r="S43" i="33" s="1"/>
  <c r="F125" i="33"/>
  <c r="G125" i="33" s="1"/>
  <c r="J43" i="33"/>
  <c r="AC43" i="33" s="1"/>
  <c r="AB31" i="21"/>
  <c r="U31" i="21"/>
  <c r="AA29" i="21"/>
  <c r="S29" i="21"/>
  <c r="W29" i="21"/>
  <c r="AC27" i="21"/>
  <c r="H27" i="36"/>
  <c r="AB27" i="36" s="1"/>
  <c r="F27" i="36"/>
  <c r="AA27" i="36" s="1"/>
  <c r="J28" i="34"/>
  <c r="W28" i="34" s="1"/>
  <c r="AB34" i="21"/>
  <c r="H11" i="34"/>
  <c r="U11" i="34" s="1"/>
  <c r="S17" i="37"/>
  <c r="J11" i="37"/>
  <c r="AC11" i="37" s="1"/>
  <c r="W12" i="39"/>
  <c r="AC12" i="39"/>
  <c r="S45" i="21"/>
  <c r="AB13" i="21"/>
  <c r="AC37" i="37"/>
  <c r="U38" i="40"/>
  <c r="F23" i="39"/>
  <c r="AA23" i="39" s="1"/>
  <c r="F97" i="39"/>
  <c r="G97" i="39" s="1"/>
  <c r="S26" i="37"/>
  <c r="S24" i="36"/>
  <c r="F44" i="34"/>
  <c r="S44" i="34" s="1"/>
  <c r="F126" i="34"/>
  <c r="G126" i="34" s="1"/>
  <c r="J44" i="34"/>
  <c r="AC44" i="34" s="1"/>
  <c r="S40" i="21"/>
  <c r="U31" i="37"/>
  <c r="W27" i="37"/>
  <c r="AB27" i="37"/>
  <c r="H60" i="37"/>
  <c r="H10" i="37"/>
  <c r="U10" i="37" s="1"/>
  <c r="S24" i="35"/>
  <c r="AA27" i="33"/>
  <c r="AB43" i="33"/>
  <c r="S31" i="21"/>
  <c r="AB29" i="21"/>
  <c r="AC27" i="36"/>
  <c r="W27" i="36"/>
  <c r="F101" i="33"/>
  <c r="G101" i="33"/>
  <c r="H101" i="33" s="1"/>
  <c r="I101" i="33" s="1"/>
  <c r="J101" i="33" s="1"/>
  <c r="K101" i="33" s="1"/>
  <c r="L101" i="33" s="1"/>
  <c r="M101" i="33" s="1"/>
  <c r="J32" i="33"/>
  <c r="W32" i="33" s="1"/>
  <c r="H32" i="33"/>
  <c r="AB32" i="33" s="1"/>
  <c r="U45" i="21"/>
  <c r="U12" i="36"/>
  <c r="AC45" i="21"/>
  <c r="W45" i="21"/>
  <c r="W13" i="21"/>
  <c r="AC13" i="21"/>
  <c r="S27" i="36"/>
  <c r="I60" i="37"/>
  <c r="J10" i="37"/>
  <c r="AC10" i="37" s="1"/>
  <c r="H23" i="39"/>
  <c r="AB23" i="39" s="1"/>
  <c r="J11" i="34"/>
  <c r="W11" i="34" s="1"/>
  <c r="J27" i="33"/>
  <c r="W27" i="33" s="1"/>
  <c r="J25" i="34"/>
  <c r="W25" i="34" s="1"/>
  <c r="U23" i="39"/>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F118" i="34" l="1"/>
  <c r="G118" i="34" s="1"/>
  <c r="F40" i="34"/>
  <c r="AA40" i="34" s="1"/>
  <c r="H40" i="34"/>
  <c r="U40" i="34" s="1"/>
  <c r="J40" i="34"/>
  <c r="AC40" i="34" s="1"/>
  <c r="F109" i="34"/>
  <c r="F36" i="34"/>
  <c r="AA36" i="34" s="1"/>
  <c r="F80" i="34"/>
  <c r="G80" i="34" s="1"/>
  <c r="J17" i="34"/>
  <c r="AC17" i="34" s="1"/>
  <c r="F17" i="34"/>
  <c r="AA17" i="34" s="1"/>
  <c r="H17" i="34"/>
  <c r="U17" i="34" s="1"/>
  <c r="AC10" i="34"/>
  <c r="AC11" i="34"/>
  <c r="AA44" i="34"/>
  <c r="U39" i="34"/>
  <c r="S37" i="34"/>
  <c r="W40" i="34"/>
  <c r="AB25" i="34"/>
  <c r="S23" i="34"/>
  <c r="W17" i="34"/>
  <c r="U15" i="34"/>
  <c r="W9" i="34"/>
  <c r="U9" i="34"/>
  <c r="H74" i="43"/>
  <c r="M1" i="43"/>
  <c r="N6" i="43"/>
  <c r="B74" i="43"/>
  <c r="C27" i="39"/>
  <c r="AB8" i="34"/>
  <c r="W36" i="33"/>
  <c r="W33" i="33"/>
  <c r="F7" i="15"/>
  <c r="C8" i="11"/>
  <c r="C5" i="11" s="1"/>
  <c r="E5" i="1"/>
  <c r="AB37" i="21"/>
  <c r="W8" i="21"/>
  <c r="F31" i="15"/>
  <c r="C6" i="15"/>
  <c r="H56" i="43"/>
  <c r="D10" i="11"/>
  <c r="C10" i="11" s="1"/>
  <c r="C2" i="31"/>
  <c r="I23" i="31" s="1"/>
  <c r="P60" i="15"/>
  <c r="D3" i="35"/>
  <c r="D3" i="34"/>
  <c r="D78" i="9"/>
  <c r="D94" i="57"/>
  <c r="D79" i="57"/>
  <c r="C29" i="12"/>
  <c r="D28" i="12" s="1"/>
  <c r="C114" i="57"/>
  <c r="H109" i="57" s="1"/>
  <c r="C112" i="57"/>
  <c r="H107" i="57" s="1"/>
  <c r="A16" i="55"/>
  <c r="B46" i="60" s="1"/>
  <c r="D3" i="33"/>
  <c r="D3" i="37"/>
  <c r="D3" i="36"/>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U43" i="34"/>
  <c r="S43" i="34"/>
  <c r="AB19" i="34"/>
  <c r="S17" i="34"/>
  <c r="AB17" i="34"/>
  <c r="AA9" i="34"/>
  <c r="W15" i="34"/>
  <c r="W31" i="34"/>
  <c r="U23"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2"/>
  <c r="M18" i="15"/>
  <c r="D69" i="57"/>
  <c r="F54" i="57"/>
  <c r="F31" i="12"/>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S36" i="34" l="1"/>
  <c r="H36" i="34"/>
  <c r="J36" i="34"/>
  <c r="G109" i="34"/>
  <c r="H109" i="34" s="1"/>
  <c r="I109" i="34" s="1"/>
  <c r="J109" i="34" s="1"/>
  <c r="K109" i="34" s="1"/>
  <c r="L109" i="34" s="1"/>
  <c r="M109" i="34" s="1"/>
  <c r="F59" i="43"/>
  <c r="G15" i="47"/>
  <c r="C6" i="43"/>
  <c r="C33" i="21"/>
  <c r="C7" i="12"/>
  <c r="C8" i="12" s="1"/>
  <c r="C4" i="12" s="1"/>
  <c r="C23" i="12" s="1"/>
  <c r="D19" i="12"/>
  <c r="C19" i="12" s="1"/>
  <c r="D14" i="12"/>
  <c r="C14" i="12" s="1"/>
  <c r="D17" i="12"/>
  <c r="C17" i="12" s="1"/>
  <c r="B27" i="31"/>
  <c r="C20" i="11"/>
  <c r="C28" i="11" s="1"/>
  <c r="M60" i="15"/>
  <c r="M20" i="43"/>
  <c r="C19" i="43" s="1"/>
  <c r="C10" i="15"/>
  <c r="C5" i="15" s="1"/>
  <c r="C32" i="15" s="1"/>
  <c r="C54" i="15"/>
  <c r="C34" i="15"/>
  <c r="N60" i="15"/>
  <c r="L60" i="15"/>
  <c r="Q72" i="15" s="1"/>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AB36" i="34" l="1"/>
  <c r="U36" i="34"/>
  <c r="W36" i="34"/>
  <c r="AC36" i="34"/>
  <c r="H63" i="43"/>
  <c r="H59" i="43"/>
  <c r="H67" i="43"/>
  <c r="H60" i="43"/>
  <c r="H61" i="43"/>
  <c r="H65" i="43"/>
  <c r="H62" i="43"/>
  <c r="H64" i="43"/>
  <c r="H66" i="43"/>
  <c r="H33" i="21"/>
  <c r="J33" i="21"/>
  <c r="F33" i="21"/>
  <c r="B25" i="31"/>
  <c r="X27" i="31"/>
  <c r="X25" i="31" s="1"/>
  <c r="C36" i="57" s="1"/>
  <c r="F124" i="57" s="1"/>
  <c r="V27" i="31"/>
  <c r="V25" i="31" s="1"/>
  <c r="S27" i="31"/>
  <c r="S25" i="31" s="1"/>
  <c r="Y27" i="31"/>
  <c r="Y25" i="31" s="1"/>
  <c r="U27" i="31"/>
  <c r="U25" i="31" s="1"/>
  <c r="C35" i="57" s="1"/>
  <c r="D124" i="57" s="1"/>
  <c r="T27" i="31"/>
  <c r="T25" i="31" s="1"/>
  <c r="C31" i="12"/>
  <c r="R25" i="31"/>
  <c r="B24" i="31" s="1"/>
  <c r="B3" i="31" s="1"/>
  <c r="C34" i="57" s="1"/>
  <c r="I124" i="57" s="1"/>
  <c r="I104" i="57" s="1"/>
  <c r="B23" i="31"/>
  <c r="B2" i="31" s="1"/>
  <c r="C33" i="57" s="1"/>
  <c r="H124" i="57" s="1"/>
  <c r="C5" i="43"/>
  <c r="I55" i="15"/>
  <c r="J54" i="15"/>
  <c r="G43" i="35"/>
  <c r="H43" i="35" s="1"/>
  <c r="C107" i="57"/>
  <c r="Q59" i="15"/>
  <c r="F7" i="33"/>
  <c r="AA7" i="33" s="1"/>
  <c r="R48" i="33" s="1"/>
  <c r="R39" i="35"/>
  <c r="C38" i="35" s="1"/>
  <c r="D25" i="12"/>
  <c r="C25" i="11"/>
  <c r="C26" i="11"/>
  <c r="D22" i="11" s="1"/>
  <c r="C23" i="11"/>
  <c r="C24" i="11"/>
  <c r="H7" i="36"/>
  <c r="U7" i="36" s="1"/>
  <c r="B40" i="1"/>
  <c r="M27" i="15" s="1"/>
  <c r="C49" i="15"/>
  <c r="J7" i="33"/>
  <c r="W7" i="33" s="1"/>
  <c r="J24" i="15"/>
  <c r="D41" i="11"/>
  <c r="C11" i="12"/>
  <c r="C34" i="11"/>
  <c r="C14" i="15"/>
  <c r="E81" i="43"/>
  <c r="F7" i="21"/>
  <c r="AA7"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T16" i="43" l="1"/>
  <c r="V16" i="43" s="1"/>
  <c r="I103" i="57"/>
  <c r="I113" i="57" s="1"/>
  <c r="C106" i="57"/>
  <c r="H125" i="57"/>
  <c r="B124" i="57"/>
  <c r="E124" i="57" s="1"/>
  <c r="H102" i="57"/>
  <c r="W33" i="21"/>
  <c r="AC33" i="21"/>
  <c r="D125" i="57"/>
  <c r="G124" i="57"/>
  <c r="F125" i="57"/>
  <c r="AA33" i="21"/>
  <c r="R48" i="21" s="1"/>
  <c r="E48" i="21" s="1"/>
  <c r="S33" i="21"/>
  <c r="AB33" i="21"/>
  <c r="U33" i="21"/>
  <c r="D110" i="57"/>
  <c r="C36" i="43"/>
  <c r="C35" i="43"/>
  <c r="C34" i="43"/>
  <c r="C33" i="43"/>
  <c r="C67" i="15"/>
  <c r="C61" i="15"/>
  <c r="S7" i="33"/>
  <c r="D109" i="57"/>
  <c r="I111" i="57"/>
  <c r="B33" i="1"/>
  <c r="F41" i="15" s="1"/>
  <c r="F70" i="15" s="1"/>
  <c r="Q50" i="15"/>
  <c r="D46" i="57"/>
  <c r="C39" i="35"/>
  <c r="B3" i="35" s="1"/>
  <c r="AB7" i="36"/>
  <c r="T36" i="36" s="1"/>
  <c r="G36" i="36" s="1"/>
  <c r="G41" i="36" s="1"/>
  <c r="H41" i="36" s="1"/>
  <c r="AC7" i="33"/>
  <c r="V48" i="33" s="1"/>
  <c r="I48" i="33" s="1"/>
  <c r="I52" i="33" s="1"/>
  <c r="J52" i="33" s="1"/>
  <c r="S7" i="21"/>
  <c r="M49" i="57"/>
  <c r="C15" i="12"/>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128" i="57" l="1"/>
  <c r="M50" i="57"/>
  <c r="D53" i="57"/>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3"/>
  <c r="E2" i="21"/>
  <c r="E2" i="36"/>
  <c r="E2" i="11"/>
  <c r="E2" i="37"/>
  <c r="C20" i="57"/>
  <c r="C19" i="57"/>
  <c r="E2" i="34"/>
  <c r="E2" i="35"/>
  <c r="B2" i="36" l="1"/>
  <c r="B3" i="36" s="1"/>
  <c r="B2" i="34"/>
  <c r="B3" i="34" s="1"/>
  <c r="B2" i="35"/>
  <c r="B2" i="37"/>
  <c r="B3" i="37" s="1"/>
  <c r="B2" i="33"/>
  <c r="B3" i="33" s="1"/>
  <c r="B2" i="21"/>
  <c r="C102" i="57"/>
  <c r="B2" i="11"/>
  <c r="G20" i="57"/>
  <c r="C103" i="57"/>
  <c r="Q65" i="15"/>
  <c r="L58" i="15"/>
  <c r="L61" i="15" s="1"/>
  <c r="L47" i="15" s="1"/>
  <c r="O68" i="39"/>
  <c r="O70" i="39" s="1"/>
  <c r="N70" i="39"/>
  <c r="O63" i="40"/>
  <c r="O65" i="40" s="1"/>
  <c r="N65" i="40"/>
  <c r="D19" i="57"/>
  <c r="D19" i="9"/>
  <c r="D101" i="9" l="1"/>
  <c r="B3" i="21"/>
  <c r="B2" i="15"/>
  <c r="B3" i="15"/>
  <c r="Q64" i="15"/>
  <c r="Q73" i="15" s="1"/>
  <c r="Q55" i="15"/>
  <c r="Q60" i="15" s="1"/>
  <c r="D22" i="57"/>
  <c r="D102" i="57"/>
  <c r="G19" i="57"/>
  <c r="C105" i="57" s="1"/>
  <c r="H7" i="40"/>
  <c r="F7" i="40"/>
  <c r="J7" i="40"/>
  <c r="H7" i="39"/>
  <c r="F7" i="39"/>
  <c r="J7" i="39"/>
  <c r="C19" i="9"/>
  <c r="C20" i="9"/>
  <c r="D20" i="9"/>
  <c r="D102" i="9" l="1"/>
  <c r="C101" i="9"/>
  <c r="G19" i="9"/>
  <c r="D22" i="9"/>
  <c r="C102" i="9"/>
  <c r="G20"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G47" i="40"/>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D10" i="52" s="1"/>
  <c r="D128" i="9" l="1"/>
  <c r="D11" i="52" s="1"/>
  <c r="D20" i="50"/>
  <c r="D19" i="50"/>
  <c r="B32" i="60" s="1"/>
  <c r="B31" i="60"/>
  <c r="I114" i="9" l="1"/>
  <c r="D116" i="9"/>
  <c r="D129" i="9" l="1"/>
  <c r="D12" i="52" s="1"/>
  <c r="D21" i="50"/>
  <c r="D42" i="50"/>
  <c r="D43" i="50" s="1"/>
  <c r="D22" i="50" l="1"/>
  <c r="B35" i="60" s="1"/>
  <c r="B33" i="60"/>
  <c r="F121" i="9"/>
  <c r="F4" i="52" s="1"/>
  <c r="B40" i="60" s="1"/>
  <c r="D121" i="9"/>
  <c r="D4" i="52" s="1"/>
  <c r="B37" i="60" s="1"/>
  <c r="H121" i="9"/>
  <c r="H4" i="52" l="1"/>
  <c r="D14" i="62"/>
  <c r="I102" i="9"/>
  <c r="M48" i="9" s="1"/>
  <c r="I121" i="9"/>
  <c r="C104" i="9" s="1"/>
  <c r="I110" i="9"/>
  <c r="D122" i="9"/>
  <c r="D5" i="52" s="1"/>
  <c r="B39" i="60" s="1"/>
  <c r="E121" i="9"/>
  <c r="E4" i="52" s="1"/>
  <c r="B38" i="60" s="1"/>
  <c r="D106" i="9"/>
  <c r="D112" i="9" s="1"/>
  <c r="F122" i="9"/>
  <c r="F5" i="52" s="1"/>
  <c r="B42" i="60" s="1"/>
  <c r="G121" i="9"/>
  <c r="G4" i="52" s="1"/>
  <c r="B41" i="60" s="1"/>
  <c r="C103" i="9"/>
  <c r="D107" i="9"/>
  <c r="D7" i="50"/>
  <c r="I103" i="9"/>
  <c r="H122" i="9"/>
  <c r="H5" i="52" s="1"/>
  <c r="I4" i="52"/>
  <c r="E14" i="62" l="1"/>
  <c r="F14" i="62"/>
  <c r="B5" i="62"/>
  <c r="D28" i="50"/>
  <c r="D29" i="50" s="1"/>
  <c r="D45" i="9"/>
  <c r="D59" i="9" s="1"/>
  <c r="M55" i="9" s="1"/>
  <c r="D30" i="50"/>
  <c r="D9" i="50"/>
  <c r="B21" i="60" s="1"/>
  <c r="B19" i="60"/>
  <c r="D8" i="50"/>
  <c r="B22" i="60" s="1"/>
  <c r="D117" i="9"/>
  <c r="D113" i="9"/>
  <c r="D125" i="9"/>
  <c r="D36" i="50"/>
  <c r="D37" i="50" s="1"/>
  <c r="D15" i="50"/>
  <c r="M49" i="9"/>
  <c r="D5" i="62" l="1"/>
  <c r="C5" i="62"/>
  <c r="D8" i="52"/>
  <c r="G14" i="62"/>
  <c r="B6" i="62" s="1"/>
  <c r="D53" i="9"/>
  <c r="D48" i="9" s="1"/>
  <c r="M52" i="9" s="1"/>
  <c r="D52" i="9"/>
  <c r="D55" i="9"/>
  <c r="M53" i="9" s="1"/>
  <c r="C93" i="9"/>
  <c r="C86" i="9" s="1"/>
  <c r="C85" i="9"/>
  <c r="C72" i="9"/>
  <c r="C78" i="9"/>
  <c r="C73" i="9" s="1"/>
  <c r="C64" i="9"/>
  <c r="C63" i="9" s="1"/>
  <c r="C67" i="9" s="1"/>
  <c r="C68" i="9" s="1"/>
  <c r="D54" i="9" s="1"/>
  <c r="B29" i="60"/>
  <c r="D16" i="50"/>
  <c r="B30" i="60" s="1"/>
  <c r="D44" i="50"/>
  <c r="I115" i="9"/>
  <c r="D23" i="50" s="1"/>
  <c r="B34" i="60" s="1"/>
  <c r="L68" i="9"/>
  <c r="M68" i="9" s="1"/>
  <c r="L63" i="9"/>
  <c r="M63" i="9" s="1"/>
  <c r="L64" i="9"/>
  <c r="M64" i="9" s="1"/>
  <c r="L65" i="9"/>
  <c r="M65" i="9" s="1"/>
  <c r="L66" i="9"/>
  <c r="M66" i="9" s="1"/>
  <c r="L67" i="9"/>
  <c r="M67" i="9" s="1"/>
  <c r="I111" i="9"/>
  <c r="D38" i="50"/>
  <c r="B62" i="60" s="1"/>
  <c r="D6" i="62" l="1"/>
  <c r="C6" i="62"/>
  <c r="M69" i="9"/>
  <c r="N69" i="9" s="1"/>
  <c r="C95" i="9"/>
  <c r="C79" i="9"/>
  <c r="C80" i="9" s="1"/>
  <c r="E80" i="9" s="1"/>
  <c r="E81" i="9" s="1"/>
  <c r="D17" i="50"/>
  <c r="D126" i="9"/>
  <c r="D9" i="52" s="1"/>
  <c r="C96" i="9" l="1"/>
  <c r="E96" i="9" s="1"/>
  <c r="E97" i="9" s="1"/>
  <c r="C81" i="9"/>
  <c r="C97" i="9" l="1"/>
  <c r="D58" i="9" s="1"/>
  <c r="D56" i="9" s="1"/>
  <c r="M54" i="9" s="1"/>
  <c r="N57" i="9" s="1"/>
  <c r="N59" i="9" s="1"/>
  <c r="P57" i="9" l="1"/>
  <c r="N58"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<sst xmlns="http://schemas.openxmlformats.org/spreadsheetml/2006/main" count="6867" uniqueCount="2894">
  <si>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</si>
  <si>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</si>
  <si>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</si>
  <si>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</si>
  <si>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</si>
  <si>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</si>
  <si>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</si>
  <si>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</si>
  <si>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</si>
  <si>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</si>
  <si>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</si>
  <si>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</si>
  <si>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</si>
  <si>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</si>
  <si>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</si>
  <si>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</si>
  <si>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</si>
  <si>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</si>
  <si>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</si>
  <si>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</si>
  <si>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</si>
  <si>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</si>
  <si>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</si>
  <si>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</si>
  <si>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</si>
  <si>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</si>
  <si>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</si>
  <si>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</si>
  <si>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</si>
  <si>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</si>
  <si>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</si>
  <si>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</si>
  <si>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</si>
  <si>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</si>
  <si>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</si>
  <si>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</si>
  <si>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</si>
  <si>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</si>
  <si>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</si>
  <si>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</si>
  <si>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</si>
  <si>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</si>
  <si>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</si>
  <si>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</si>
  <si>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</si>
  <si>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</si>
  <si>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</si>
  <si>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</si>
  <si>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</si>
  <si>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</si>
  <si>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</si>
  <si>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</si>
  <si>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</si>
  <si>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</si>
  <si>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</si>
  <si>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</si>
  <si>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</si>
  <si>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</si>
  <si>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</si>
  <si>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</si>
  <si>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</si>
  <si>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</si>
  <si>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</si>
  <si>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</si>
  <si>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</si>
  <si>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</si>
  <si>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</si>
  <si>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</si>
  <si>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</si>
  <si>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</si>
  <si>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</si>
  <si>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</si>
  <si>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</si>
  <si>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</si>
  <si>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</si>
  <si>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</si>
  <si>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</si>
  <si>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</si>
  <si>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</si>
  <si>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</si>
  <si>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</si>
  <si>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</si>
  <si>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</si>
  <si>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</si>
  <si>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</si>
  <si>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</si>
  <si>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</si>
  <si>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</si>
  <si>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</si>
  <si>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</si>
  <si>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</si>
  <si>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</si>
  <si>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</si>
  <si>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</si>
  <si>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</si>
  <si>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</si>
  <si>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</si>
  <si>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</si>
  <si>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</si>
  <si>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</si>
  <si>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</si>
  <si>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</si>
  <si>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</si>
  <si>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</si>
  <si>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</si>
  <si>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</si>
  <si>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</si>
  <si>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</si>
  <si>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</si>
  <si>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</si>
  <si>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</si>
  <si>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</si>
  <si>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</si>
  <si>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</si>
  <si>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</si>
  <si>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</si>
  <si>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</si>
  <si>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</si>
  <si>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</si>
  <si>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</si>
  <si>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</si>
  <si>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</si>
  <si>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</si>
  <si>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</si>
  <si>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</si>
  <si>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</si>
  <si>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</si>
  <si>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</si>
  <si>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</si>
  <si>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</si>
  <si>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</si>
  <si>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</si>
  <si>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</si>
  <si>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</si>
  <si>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</si>
  <si>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</si>
  <si>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</si>
  <si>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</si>
  <si>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</si>
  <si>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</si>
  <si>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</si>
  <si>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</si>
  <si>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</si>
  <si>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</si>
  <si>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</si>
  <si>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</si>
  <si>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</si>
  <si>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</si>
  <si>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</si>
  <si>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</si>
  <si>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</si>
  <si>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</si>
  <si>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</si>
  <si>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</si>
  <si>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</si>
  <si>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</si>
  <si>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</si>
  <si>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</si>
  <si>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</si>
  <si>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</si>
  <si>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</si>
  <si>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</si>
  <si>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</si>
  <si>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</si>
  <si>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</si>
  <si>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</si>
  <si>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</si>
  <si>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</si>
  <si>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</si>
  <si>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</si>
  <si>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</si>
  <si>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</si>
  <si>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</si>
  <si>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</si>
  <si>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</si>
  <si>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</si>
  <si>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</si>
  <si>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</si>
  <si>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</si>
  <si>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</si>
  <si>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</si>
  <si>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</si>
  <si>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</si>
  <si>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</si>
  <si>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</si>
  <si>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</si>
  <si>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</si>
  <si>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</si>
  <si>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</si>
  <si>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</si>
  <si>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</si>
  <si>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</si>
  <si>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</si>
  <si>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</si>
  <si>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</si>
  <si>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</si>
  <si>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</si>
  <si>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</si>
  <si>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</si>
  <si>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</si>
  <si>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</si>
  <si>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</si>
  <si>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</si>
  <si>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</si>
  <si>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</si>
  <si>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</si>
  <si>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</si>
  <si>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</si>
  <si>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</si>
  <si>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</si>
  <si>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</si>
  <si>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</si>
  <si>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</si>
  <si>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</si>
  <si>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</si>
  <si>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</si>
  <si>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</si>
  <si>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</si>
  <si>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</si>
  <si>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</si>
  <si>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</si>
  <si>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</si>
  <si>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</si>
  <si>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</si>
  <si>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</si>
  <si>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</si>
  <si>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</si>
  <si>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</si>
  <si>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</si>
  <si>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</si>
  <si>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</si>
  <si>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</si>
  <si>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</si>
  <si>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</si>
  <si>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</si>
  <si>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</si>
  <si>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</si>
  <si>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</si>
  <si>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</si>
  <si>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</si>
  <si>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</si>
  <si>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</si>
  <si>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</si>
  <si>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</si>
  <si>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</si>
  <si>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</si>
  <si>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</si>
  <si>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</si>
  <si>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</si>
  <si>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</si>
  <si>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</si>
  <si>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</si>
  <si>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</si>
  <si>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</si>
  <si>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</si>
  <si>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</si>
  <si>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</si>
  <si>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</si>
  <si>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</si>
  <si>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</si>
  <si>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</si>
  <si>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</si>
  <si>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</si>
  <si>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</si>
  <si>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</si>
  <si>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</si>
  <si>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</si>
  <si>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</si>
  <si>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</si>
  <si>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</si>
  <si>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</si>
  <si>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</si>
  <si>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</si>
  <si>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</si>
  <si>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</si>
  <si>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</si>
  <si>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</si>
  <si>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</si>
  <si>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</si>
  <si>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</si>
  <si>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</si>
  <si>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</si>
  <si>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</si>
  <si>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</si>
  <si>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</si>
  <si>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</si>
  <si>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</si>
  <si>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</si>
  <si>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</si>
  <si>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</si>
  <si>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</si>
  <si>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</si>
  <si>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</si>
  <si>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</si>
  <si>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</si>
  <si>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</si>
  <si>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</si>
  <si>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</si>
  <si>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</si>
  <si>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</si>
  <si>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</si>
  <si>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</si>
  <si>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</si>
  <si>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</si>
  <si>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</si>
  <si>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</si>
  <si>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</si>
  <si>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</si>
  <si>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</si>
  <si>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</si>
  <si>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</si>
  <si>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</si>
  <si>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</si>
  <si>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</si>
  <si>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</si>
  <si>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</si>
  <si>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</si>
  <si>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</si>
  <si>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</si>
  <si>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</si>
  <si>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</si>
  <si>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</si>
  <si>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</si>
  <si>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</si>
  <si>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</si>
  <si>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</si>
  <si>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</si>
  <si>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</si>
  <si>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</si>
  <si>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</si>
  <si>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</si>
  <si>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</si>
  <si>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</si>
  <si>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</si>
  <si>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</si>
  <si>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</si>
  <si>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</si>
  <si>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</si>
  <si>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</si>
  <si>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</si>
  <si>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</si>
  <si>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</si>
  <si>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</si>
  <si>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</si>
  <si>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</si>
  <si>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</si>
  <si>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</si>
  <si>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</si>
  <si>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</si>
  <si>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</si>
  <si>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</si>
  <si>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</si>
  <si>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</si>
  <si>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</si>
  <si>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</si>
  <si>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</si>
  <si>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</si>
  <si>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</si>
  <si>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</si>
  <si>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</si>
  <si>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</si>
  <si>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</si>
  <si>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</si>
  <si>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</si>
  <si>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</si>
  <si>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</si>
  <si>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</si>
  <si>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</si>
  <si>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</si>
  <si>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</si>
  <si>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</si>
  <si>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</si>
  <si>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</si>
  <si>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</si>
  <si>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</si>
  <si>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</si>
  <si>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</si>
  <si>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</si>
  <si>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</si>
  <si>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</si>
  <si>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</si>
  <si>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</si>
  <si>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</si>
  <si>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</si>
  <si>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</si>
  <si>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</si>
  <si>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</si>
  <si>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</si>
  <si>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</si>
  <si>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</si>
  <si>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</si>
  <si>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</si>
  <si>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</si>
  <si>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</si>
  <si>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</si>
  <si>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</si>
  <si>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</si>
  <si>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</si>
  <si>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</si>
  <si>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</si>
  <si>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</si>
  <si>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</si>
  <si>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</si>
  <si>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</si>
  <si>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</si>
  <si>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</si>
  <si>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</si>
  <si>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</si>
  <si>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</si>
  <si>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</si>
  <si>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</si>
  <si>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</si>
  <si>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</si>
  <si>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</si>
  <si>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</si>
  <si>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</si>
  <si>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</si>
  <si>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</si>
  <si>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</si>
  <si>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</si>
  <si>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</si>
  <si>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</si>
  <si>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</si>
  <si>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</si>
  <si>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</si>
  <si>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</si>
  <si>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</si>
  <si>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</si>
  <si>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</si>
  <si>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</si>
  <si>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</si>
  <si>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</si>
  <si>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</si>
  <si>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</si>
  <si>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</si>
  <si>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</si>
  <si>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</si>
  <si>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</si>
  <si>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</si>
  <si>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</si>
  <si>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</si>
  <si>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</si>
  <si>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</si>
  <si>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</si>
  <si>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</si>
  <si>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</si>
  <si>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</si>
  <si>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</si>
  <si>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</si>
  <si>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</si>
  <si>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</si>
  <si>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</si>
  <si>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</si>
  <si>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</si>
  <si>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</si>
  <si>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</si>
  <si>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</si>
  <si>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</si>
  <si>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</si>
  <si>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</si>
  <si>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</si>
  <si>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</si>
  <si>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</si>
  <si>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</si>
  <si>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</si>
  <si>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</si>
  <si>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</si>
  <si>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</si>
  <si>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</si>
  <si>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</si>
  <si>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</si>
  <si>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</si>
  <si>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</si>
  <si>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</si>
  <si>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</si>
  <si>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</si>
  <si>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</si>
  <si>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</si>
  <si>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</si>
  <si>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</si>
  <si>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</si>
  <si>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</si>
  <si>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</si>
  <si>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</si>
  <si>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</si>
  <si>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</si>
  <si>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</si>
  <si>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</si>
  <si>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</si>
  <si>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</si>
  <si>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</si>
  <si>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</si>
  <si>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</si>
  <si>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</si>
  <si>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</si>
  <si>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</si>
  <si>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</si>
  <si>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</si>
  <si>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</si>
  <si>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</si>
  <si>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</si>
  <si>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</si>
  <si>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</si>
  <si>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</si>
  <si>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</si>
  <si>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</si>
  <si>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</si>
  <si>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</si>
  <si>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</si>
  <si>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</si>
  <si>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</si>
  <si>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</si>
  <si>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</si>
  <si>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</si>
  <si>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</si>
  <si>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</si>
  <si>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</si>
  <si>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</si>
  <si>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</si>
  <si>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</si>
  <si>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</si>
  <si>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</si>
  <si>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</si>
  <si>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</si>
  <si>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</si>
  <si>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</si>
  <si>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</si>
  <si>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</si>
  <si>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</si>
  <si>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</si>
  <si>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</si>
  <si>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</si>
  <si>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</si>
  <si>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</si>
  <si>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</si>
  <si>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</si>
  <si>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</si>
  <si>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</si>
  <si>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</si>
  <si>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</si>
  <si>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</si>
  <si>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</si>
  <si>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</si>
  <si>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</si>
  <si>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</si>
  <si>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</si>
  <si>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</si>
  <si>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</si>
  <si>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</si>
  <si>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</si>
  <si>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</si>
  <si>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</si>
  <si>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</si>
  <si>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</si>
  <si>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</si>
  <si>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</si>
  <si>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</si>
  <si>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</si>
  <si>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</si>
  <si>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</si>
  <si>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</si>
  <si>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</si>
  <si>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</si>
  <si>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</si>
  <si>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</si>
  <si>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</si>
  <si>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</si>
  <si>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</si>
  <si>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</si>
  <si>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</si>
  <si>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</si>
  <si>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</si>
  <si>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</si>
  <si>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</si>
  <si>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</si>
  <si>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</si>
  <si>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</si>
  <si>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</si>
  <si>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</si>
  <si>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</si>
  <si>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</si>
  <si>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</si>
  <si>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</si>
  <si>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</si>
  <si>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</si>
  <si>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</si>
  <si>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</si>
  <si>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</si>
  <si>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</si>
  <si>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</si>
  <si>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</si>
  <si>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</si>
  <si>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</si>
  <si>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</si>
  <si>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</si>
  <si>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</si>
  <si>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</si>
  <si>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</si>
  <si>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</si>
  <si>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</si>
  <si>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</si>
  <si>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</si>
  <si>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</si>
  <si>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</si>
  <si>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</si>
  <si>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</si>
  <si>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</si>
  <si>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</si>
  <si>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</si>
  <si>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</si>
  <si>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</si>
  <si>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</si>
  <si>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</si>
  <si>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</si>
  <si>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</si>
  <si>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</si>
  <si>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</si>
  <si>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</si>
  <si>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</si>
  <si>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</si>
  <si>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</si>
  <si>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</si>
  <si>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</si>
  <si>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</si>
  <si>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</si>
  <si>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</si>
  <si>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</si>
  <si>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</si>
  <si>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</si>
  <si>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</si>
  <si>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</si>
  <si>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</si>
  <si>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</si>
  <si>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</si>
  <si>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</si>
  <si>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</si>
  <si>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</si>
  <si>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</si>
  <si>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</si>
  <si>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</si>
  <si>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</si>
  <si>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</si>
  <si>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</si>
  <si>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</si>
  <si>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</si>
  <si>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</si>
  <si>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</si>
  <si>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</si>
  <si>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</si>
  <si>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</si>
  <si>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</si>
  <si>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</si>
  <si>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</si>
  <si>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</si>
  <si>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</si>
  <si>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</si>
  <si>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</si>
  <si>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</si>
  <si>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</si>
  <si>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</si>
  <si>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</si>
  <si>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</si>
  <si>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</si>
  <si>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</si>
  <si>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</si>
  <si>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</si>
  <si>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</si>
  <si>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</si>
  <si>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</si>
  <si>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</si>
  <si>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</si>
  <si>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</si>
  <si>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</si>
  <si>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</si>
  <si>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</si>
  <si>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</si>
  <si>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</si>
  <si>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</si>
  <si>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</si>
  <si>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</si>
  <si>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</si>
  <si>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</si>
  <si>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</si>
  <si>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</si>
  <si>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</si>
  <si>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</si>
  <si>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</si>
  <si>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</si>
  <si>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</si>
  <si>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</si>
  <si>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</si>
  <si>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</si>
  <si>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</si>
  <si>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</si>
  <si>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</si>
  <si>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</si>
  <si>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</si>
  <si>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</si>
  <si>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</si>
  <si>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</si>
  <si>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</si>
  <si>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</si>
  <si>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</si>
  <si>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</si>
  <si>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</si>
  <si>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</si>
  <si>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</si>
  <si>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</si>
  <si>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</si>
  <si>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</si>
  <si>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</si>
  <si>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</si>
  <si>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</si>
  <si>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</si>
  <si>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</si>
  <si>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</si>
  <si>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</si>
  <si>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</si>
  <si>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</si>
  <si>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</si>
  <si>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</si>
  <si>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</si>
  <si>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</si>
  <si>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</si>
  <si>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</si>
  <si>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</si>
  <si>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</si>
  <si>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</si>
  <si>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</si>
  <si>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</si>
  <si>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</si>
  <si>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</si>
  <si>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</si>
  <si>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</si>
  <si>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</si>
  <si>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</si>
  <si>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</si>
  <si>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</si>
  <si>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</si>
  <si>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</si>
  <si>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</si>
  <si>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</si>
  <si>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</si>
  <si>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</si>
  <si>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</si>
  <si>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</si>
  <si>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</si>
  <si>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</si>
  <si>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</si>
  <si>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</si>
  <si>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</si>
  <si>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</si>
  <si>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</si>
  <si>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</si>
  <si>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</si>
  <si>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</si>
  <si>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</si>
  <si>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</si>
  <si>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</si>
  <si>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</si>
  <si>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</si>
  <si>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</si>
  <si>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</si>
  <si>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</si>
  <si>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</si>
  <si>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</si>
  <si>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</si>
  <si>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</si>
  <si>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</si>
  <si>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</si>
  <si>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</si>
  <si>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</si>
  <si>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</si>
  <si>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</si>
  <si>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</si>
  <si>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</si>
  <si>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</si>
  <si>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</si>
  <si>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</si>
  <si>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</si>
  <si>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</si>
  <si>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</si>
  <si>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</si>
  <si>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</si>
  <si>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</si>
  <si>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</si>
  <si>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</si>
  <si>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</si>
  <si>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</si>
  <si>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</si>
  <si>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</si>
  <si>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</si>
  <si>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</si>
  <si>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</si>
  <si>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</si>
  <si>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</si>
  <si>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</si>
  <si>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</si>
  <si>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</si>
  <si>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</si>
  <si>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</si>
  <si>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</si>
  <si>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</si>
  <si>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</si>
  <si>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</si>
  <si>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</si>
  <si>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</si>
  <si>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</si>
  <si>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</si>
  <si>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</si>
  <si>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</si>
  <si>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</si>
  <si>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</si>
  <si>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</si>
  <si>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</si>
  <si>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</si>
  <si>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</si>
  <si>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</si>
  <si>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</si>
  <si>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</si>
  <si>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</si>
  <si>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</si>
  <si>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</si>
  <si>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</si>
  <si>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</si>
  <si>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</si>
  <si>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</si>
  <si>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</si>
  <si>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</si>
  <si>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</si>
  <si>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</si>
  <si>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</si>
  <si>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</si>
  <si>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</si>
  <si>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</si>
  <si>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</si>
  <si>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</si>
  <si>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</si>
  <si>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</si>
  <si>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</si>
  <si>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</si>
  <si>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</si>
  <si>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</si>
  <si>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</si>
  <si>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</si>
  <si>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</si>
  <si>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</si>
  <si>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</si>
  <si>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</si>
  <si>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</si>
  <si>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</si>
  <si>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</si>
  <si>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</si>
  <si>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</si>
  <si>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</si>
  <si>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</si>
  <si>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</si>
  <si>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</si>
  <si>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</si>
  <si>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</si>
  <si>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</si>
  <si>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</si>
  <si>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</si>
  <si>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</si>
  <si>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</si>
  <si>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</si>
  <si>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</si>
  <si>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</si>
  <si>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</si>
  <si>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</si>
  <si>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</si>
  <si>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</si>
  <si>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</si>
  <si>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</si>
  <si>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</si>
  <si>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</si>
  <si>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</si>
  <si>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</si>
  <si>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</si>
  <si>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</si>
  <si>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</si>
  <si>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</si>
  <si>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</si>
  <si>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</si>
  <si>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</si>
  <si>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</si>
  <si>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</si>
  <si>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</si>
  <si>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</si>
  <si>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</si>
  <si>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</si>
  <si>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</si>
  <si>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</si>
  <si>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</si>
  <si>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</si>
  <si>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</si>
  <si>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</si>
  <si>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</si>
  <si>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</si>
  <si>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</si>
  <si>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</si>
  <si>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</si>
  <si>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</si>
  <si>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</si>
  <si>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</si>
  <si>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</si>
  <si>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</si>
  <si>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</si>
  <si>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</si>
  <si>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</si>
  <si>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</si>
  <si>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</si>
  <si>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</si>
  <si>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</si>
  <si>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</si>
  <si>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</si>
  <si>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</si>
  <si>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</si>
  <si>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</si>
  <si>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</si>
  <si>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</si>
  <si>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</si>
  <si>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</si>
  <si>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</si>
  <si>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</si>
  <si>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</si>
  <si>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</si>
  <si>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</si>
  <si>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</si>
  <si>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</si>
  <si>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</si>
  <si>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</si>
  <si>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</si>
  <si>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</si>
  <si>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</si>
  <si>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</si>
  <si>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</si>
  <si>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</si>
  <si>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</si>
  <si>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</si>
  <si>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</si>
  <si>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</si>
  <si>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</si>
  <si>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</si>
  <si>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</si>
  <si>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</si>
  <si>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</si>
  <si>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</si>
  <si>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</si>
  <si>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</si>
  <si>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</si>
  <si>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</si>
  <si>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</si>
  <si>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</si>
  <si>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</si>
  <si>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</si>
  <si>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</si>
  <si>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</si>
  <si>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</si>
  <si>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</si>
  <si>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</si>
  <si>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</si>
  <si>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</si>
  <si>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</si>
  <si>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</si>
  <si>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</si>
  <si>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</si>
  <si>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</si>
  <si>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</si>
  <si>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</si>
  <si>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</si>
  <si>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</si>
  <si>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</si>
  <si>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</si>
  <si>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</si>
  <si>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</si>
  <si>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</si>
  <si>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</si>
  <si>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</si>
  <si>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</si>
  <si>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</si>
  <si>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</si>
  <si>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</si>
  <si>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</si>
  <si>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</si>
  <si>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</si>
  <si>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</si>
  <si>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</si>
  <si>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</si>
  <si>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</si>
  <si>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</si>
  <si>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</si>
  <si>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</si>
  <si>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</si>
  <si>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</si>
  <si>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</si>
  <si>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</si>
  <si>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</si>
  <si>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</si>
  <si>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</si>
  <si>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</si>
  <si>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</si>
  <si>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</si>
  <si>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</si>
  <si>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</si>
  <si>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</si>
  <si>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</si>
  <si>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</si>
  <si>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</si>
  <si>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</si>
  <si>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</si>
  <si>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</si>
  <si>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</si>
  <si>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</si>
  <si>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</si>
  <si>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</si>
  <si>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</si>
  <si>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</si>
  <si>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</si>
  <si>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</si>
  <si>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</si>
  <si>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</si>
  <si>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</si>
  <si>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</si>
  <si>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</si>
  <si>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</si>
  <si>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</si>
  <si>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</si>
  <si>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</si>
  <si>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</si>
  <si>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</si>
  <si>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</si>
  <si>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</si>
  <si>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</si>
  <si>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</si>
  <si>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</si>
  <si>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</si>
  <si>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</si>
  <si>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</si>
  <si>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</si>
  <si>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</si>
  <si>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</si>
  <si>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</si>
  <si>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</si>
  <si>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</si>
  <si>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</si>
  <si>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</si>
  <si>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</si>
  <si>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</si>
  <si>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</si>
  <si>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</si>
  <si>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</si>
  <si>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</si>
  <si>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</si>
  <si>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</si>
  <si>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</si>
  <si>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</si>
  <si>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</si>
  <si>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</si>
  <si>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</si>
  <si>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</si>
  <si>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</si>
  <si>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</si>
  <si>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</si>
  <si>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</si>
  <si>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</si>
  <si>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</si>
  <si>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</si>
  <si>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</si>
  <si>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</si>
  <si>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</si>
  <si>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</si>
  <si>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</si>
  <si>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</si>
  <si>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</si>
  <si>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</si>
  <si>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</si>
  <si>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</si>
  <si>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</si>
  <si>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</si>
  <si>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</si>
  <si>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</si>
  <si>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</si>
  <si>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</si>
  <si>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</si>
  <si>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</si>
  <si>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</si>
  <si>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</si>
  <si>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</si>
  <si>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</si>
  <si>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</si>
  <si>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</si>
  <si>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</si>
  <si>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</si>
  <si>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</si>
  <si>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</si>
  <si>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</si>
  <si>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</si>
  <si>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</si>
  <si>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</si>
  <si>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</si>
  <si>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</si>
  <si>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</si>
  <si>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</si>
  <si>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</si>
  <si>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</si>
  <si>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</si>
  <si>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</si>
  <si>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</si>
  <si>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</si>
  <si>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</si>
  <si>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</si>
  <si>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</si>
  <si>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</si>
  <si>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</si>
  <si>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</si>
  <si>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</si>
  <si>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</si>
  <si>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</si>
  <si>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</si>
  <si>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</si>
  <si>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</si>
  <si>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</si>
  <si>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</si>
  <si>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</si>
  <si>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</si>
  <si>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</si>
  <si>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</si>
  <si>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</si>
  <si>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</si>
  <si>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</si>
  <si>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</si>
  <si>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</si>
  <si>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</si>
  <si>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</si>
  <si>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</si>
  <si>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</si>
  <si>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</si>
  <si>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</si>
  <si>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</si>
  <si>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</si>
  <si>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</si>
  <si>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</si>
  <si>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</si>
  <si>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</si>
  <si>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</si>
  <si>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</si>
  <si>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</si>
  <si>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</si>
  <si>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</si>
  <si>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</si>
  <si>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</si>
  <si>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</si>
  <si>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</si>
  <si>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</si>
  <si>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</si>
  <si>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</si>
  <si>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</si>
  <si>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</si>
  <si>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</si>
  <si>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</si>
  <si>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</si>
  <si>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</si>
  <si>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</si>
  <si>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</si>
  <si>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</si>
  <si>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</si>
  <si>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</si>
  <si>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</si>
  <si>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</si>
  <si>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</si>
  <si>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</si>
  <si>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</si>
  <si>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</si>
  <si>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</si>
  <si>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</si>
  <si>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</si>
  <si>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</si>
  <si>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</si>
  <si>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</si>
  <si>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</si>
  <si>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</si>
  <si>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</si>
  <si>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</si>
  <si>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</si>
  <si>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</si>
  <si>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</si>
  <si>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</si>
  <si>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</si>
  <si>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</si>
  <si>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</si>
  <si>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</si>
  <si>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</si>
  <si>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</si>
  <si>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</si>
  <si>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</si>
  <si>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</si>
  <si>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</si>
  <si>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</si>
  <si>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</si>
  <si>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</si>
  <si>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</si>
  <si>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</si>
  <si>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</si>
  <si>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</si>
  <si>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</si>
  <si>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</si>
  <si>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</si>
  <si>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</si>
  <si>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</si>
  <si>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</si>
  <si>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</si>
  <si>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</si>
  <si>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</si>
  <si>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</si>
  <si>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</si>
  <si>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</si>
  <si>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</si>
  <si>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</si>
  <si>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</si>
  <si>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</si>
  <si>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</si>
  <si>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</si>
  <si>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</si>
  <si>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</si>
  <si>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</si>
  <si>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</si>
  <si>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</si>
  <si>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</si>
  <si>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</si>
  <si>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</si>
  <si>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</si>
  <si>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</si>
  <si>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</si>
  <si>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</si>
  <si>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</si>
  <si>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</si>
  <si>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</si>
  <si>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</si>
  <si>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</si>
  <si>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</si>
  <si>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</si>
  <si>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</si>
  <si>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</si>
  <si>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</si>
  <si>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</si>
  <si>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</si>
  <si>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</si>
  <si>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</si>
  <si>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</si>
  <si>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</si>
  <si>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</si>
  <si>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</si>
  <si>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</si>
  <si>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</si>
  <si>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</si>
  <si>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</si>
  <si>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</si>
  <si>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</si>
  <si>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</si>
  <si>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</si>
  <si>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</si>
  <si>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</si>
  <si>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</si>
  <si>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</si>
  <si>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</si>
  <si>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</si>
  <si>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</si>
  <si>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</si>
  <si>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</si>
  <si>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</si>
  <si>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</si>
  <si>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</si>
  <si>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</si>
  <si>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</si>
  <si>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</si>
  <si>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</si>
  <si>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</si>
  <si>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</si>
  <si>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</si>
  <si>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</si>
  <si>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</si>
  <si>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</si>
  <si>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</si>
  <si>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</si>
  <si>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</si>
  <si>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</si>
  <si>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</si>
  <si>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</si>
  <si>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</si>
  <si>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</si>
  <si>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</si>
  <si>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</si>
  <si>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</si>
  <si>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</si>
  <si>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</si>
  <si>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</si>
  <si>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</si>
  <si>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</si>
  <si>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</si>
  <si>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</si>
  <si>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</si>
  <si>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</si>
  <si>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</si>
  <si>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</si>
  <si>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</si>
  <si>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</si>
  <si>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</si>
  <si>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</si>
  <si>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</si>
  <si>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</si>
  <si>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</si>
  <si>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</si>
  <si>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</si>
  <si>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</si>
  <si>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</si>
  <si>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</si>
  <si>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</si>
  <si>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</si>
  <si>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</si>
  <si>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</si>
  <si>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</si>
  <si>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</si>
  <si>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</si>
  <si>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</si>
  <si>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</si>
  <si>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</si>
  <si>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</si>
  <si>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</si>
  <si>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</si>
  <si>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</si>
  <si>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</si>
  <si>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</si>
  <si>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</si>
  <si>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</si>
  <si>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</si>
  <si>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</si>
  <si>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</si>
  <si>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</si>
  <si>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</si>
  <si>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</si>
  <si>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</si>
  <si>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</si>
  <si>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</si>
  <si>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</si>
  <si>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</si>
  <si>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</si>
  <si>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</si>
  <si>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</si>
  <si>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</si>
  <si>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</si>
  <si>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</si>
  <si>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</si>
  <si>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</si>
  <si>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</si>
  <si>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</si>
  <si>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</si>
  <si>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</si>
  <si>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</si>
  <si>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</si>
  <si>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</si>
  <si>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</si>
  <si>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</si>
  <si>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</si>
  <si>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</si>
  <si>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</si>
  <si>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</si>
  <si>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</si>
  <si>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</si>
  <si>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</si>
  <si>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</si>
  <si>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</si>
  <si>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</si>
  <si>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</si>
  <si>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</si>
  <si>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</si>
  <si>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</si>
  <si>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</si>
  <si>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</si>
  <si>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</si>
  <si>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</si>
  <si>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</si>
  <si>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</si>
  <si>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</si>
  <si>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</si>
  <si>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</si>
  <si>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</si>
  <si>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</si>
  <si>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</si>
  <si>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</si>
  <si>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</si>
  <si>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</si>
  <si>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</si>
  <si>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</si>
  <si>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</si>
  <si>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</si>
  <si>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</si>
  <si>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</si>
  <si>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</si>
  <si>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</si>
  <si>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</si>
  <si>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</si>
  <si>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</si>
  <si>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</si>
  <si>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</si>
  <si>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</si>
  <si>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</si>
  <si>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</si>
  <si>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</si>
  <si>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</si>
  <si>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</si>
  <si>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</si>
  <si>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</si>
  <si>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</si>
  <si>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</si>
  <si>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</si>
  <si>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</si>
  <si>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</si>
  <si>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</si>
  <si>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</si>
  <si>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</si>
  <si>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</si>
  <si>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</si>
  <si>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</si>
  <si>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</si>
  <si>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</si>
  <si>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</si>
  <si>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</si>
  <si>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</si>
  <si>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</si>
  <si>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</si>
  <si>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</si>
  <si>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</si>
  <si>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</si>
  <si>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</si>
  <si>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</si>
  <si>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</si>
  <si>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</si>
  <si>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</si>
  <si>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</si>
  <si>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</si>
  <si>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</si>
  <si>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</si>
  <si>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</si>
  <si>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</si>
  <si>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</si>
  <si>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</si>
  <si>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</si>
  <si>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</si>
  <si>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</si>
  <si>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</si>
  <si>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</si>
  <si>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</si>
  <si>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</si>
  <si>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</si>
  <si>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</si>
  <si>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</si>
  <si>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</si>
  <si>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</si>
  <si>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</si>
  <si>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</si>
  <si>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</si>
  <si>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</si>
  <si>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</si>
  <si>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</si>
  <si>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</si>
  <si>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</si>
  <si>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</si>
  <si>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</si>
  <si>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</si>
  <si>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</si>
  <si>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</si>
  <si>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</si>
  <si>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</si>
  <si>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</si>
  <si>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</si>
  <si>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</si>
  <si>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</si>
  <si>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</si>
  <si>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</si>
  <si>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</si>
  <si>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</si>
  <si>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</si>
  <si>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</si>
  <si>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</si>
  <si>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</si>
  <si>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</si>
  <si>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</si>
  <si>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</si>
  <si>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</si>
  <si>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</si>
  <si>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</si>
  <si>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</si>
  <si>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</si>
  <si>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</si>
  <si>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</si>
  <si>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</si>
  <si>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</si>
  <si>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</si>
  <si>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</si>
  <si>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</si>
  <si>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</si>
  <si>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</si>
  <si>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</si>
  <si>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</si>
  <si>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</si>
  <si>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</si>
  <si>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</si>
  <si>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</si>
  <si>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</si>
  <si>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</si>
  <si>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</si>
  <si>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</si>
  <si>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</si>
  <si>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</si>
  <si>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</si>
  <si>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</si>
  <si>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</si>
  <si>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</si>
  <si>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</si>
  <si>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</si>
  <si>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</si>
  <si>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</si>
  <si>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</si>
  <si>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</si>
  <si>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</si>
  <si>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</si>
  <si>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</si>
  <si>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</si>
  <si>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</si>
  <si>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</si>
  <si>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</si>
  <si>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</si>
  <si>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</si>
  <si>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</si>
  <si>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</si>
  <si>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</si>
  <si>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</si>
  <si>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</si>
  <si>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</si>
  <si>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</si>
  <si>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</si>
  <si>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</si>
  <si>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</si>
  <si>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</si>
  <si>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</si>
  <si>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</si>
  <si>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</si>
  <si>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</si>
  <si>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</si>
  <si>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</si>
  <si>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</si>
  <si>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</si>
  <si>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</si>
  <si>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</si>
  <si>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</si>
  <si>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</si>
  <si>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</si>
  <si>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</si>
  <si>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</si>
  <si>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</si>
  <si>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</si>
  <si>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</si>
  <si>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</si>
  <si>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</si>
  <si>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</si>
  <si>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</si>
  <si>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</si>
  <si>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</si>
  <si>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</si>
  <si>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</si>
  <si>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</si>
  <si>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</si>
  <si>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</si>
  <si>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</si>
  <si>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</si>
  <si>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</si>
  <si>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</si>
  <si>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</si>
  <si>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</si>
  <si>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</si>
  <si>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</si>
  <si>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</si>
  <si>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</si>
  <si>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</si>
  <si>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</si>
  <si>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</si>
  <si>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</si>
  <si>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</si>
  <si>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</si>
  <si>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</si>
  <si>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</si>
  <si>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</si>
  <si>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</si>
  <si>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</si>
  <si>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</si>
  <si>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</si>
  <si>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</si>
  <si>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</si>
  <si>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</si>
  <si>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</si>
  <si>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</si>
  <si>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</si>
  <si>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</si>
  <si>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</si>
  <si>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</si>
  <si>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</si>
  <si>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</si>
  <si>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</si>
  <si>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</si>
  <si>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</si>
  <si>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</si>
  <si>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</si>
  <si>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</si>
  <si>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</si>
  <si>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</si>
  <si>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</si>
  <si>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</si>
  <si>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</si>
  <si>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</si>
  <si>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</si>
  <si>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</si>
  <si>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</si>
  <si>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</si>
  <si>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</si>
  <si>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</si>
  <si>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</si>
  <si>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</si>
  <si>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</si>
  <si>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</si>
  <si>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</si>
  <si>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</si>
  <si>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</si>
  <si>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</si>
  <si>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</si>
  <si>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</si>
  <si>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</si>
  <si>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</si>
  <si>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</si>
  <si>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</si>
  <si>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</si>
  <si>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</si>
  <si>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</si>
  <si>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</si>
  <si>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</si>
  <si>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</si>
  <si>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</si>
  <si>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</si>
  <si>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</si>
  <si>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</si>
  <si>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</si>
  <si>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</si>
  <si>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</si>
  <si>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</si>
  <si>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</si>
  <si>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</si>
  <si>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</si>
  <si>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</si>
  <si>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</si>
  <si>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</si>
  <si>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</si>
  <si>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</si>
  <si>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</si>
  <si>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</si>
  <si>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</si>
  <si>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</si>
  <si>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</si>
  <si>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</si>
  <si>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</si>
  <si>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</si>
  <si>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</si>
  <si>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</si>
  <si>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</si>
  <si>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</si>
  <si>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</si>
  <si>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</si>
  <si>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</si>
  <si>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</si>
  <si>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</si>
  <si>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</si>
  <si>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</si>
  <si>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</si>
  <si>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</si>
  <si>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</si>
  <si>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</si>
  <si>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</si>
  <si>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</si>
  <si>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</si>
  <si>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</si>
  <si>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</si>
  <si>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</si>
  <si>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</si>
  <si>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</si>
  <si>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</si>
  <si>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</si>
  <si>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</si>
  <si>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</si>
  <si>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</si>
  <si>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</si>
  <si>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</si>
  <si>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</si>
  <si>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</si>
  <si>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</si>
  <si>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</si>
  <si>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</si>
  <si>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</si>
  <si>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</si>
  <si>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</si>
  <si>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</si>
  <si>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</si>
  <si>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</si>
  <si>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</si>
  <si>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</si>
  <si>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</si>
  <si>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</si>
  <si>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</si>
  <si>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</si>
  <si>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</si>
  <si>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</si>
  <si>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</si>
  <si>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</si>
  <si>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</si>
  <si>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</si>
  <si>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</si>
  <si>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</si>
  <si>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</si>
  <si>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</si>
  <si>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</si>
  <si>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</si>
  <si>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</si>
  <si>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</si>
  <si>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</si>
  <si>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</si>
  <si>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</si>
  <si>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</si>
  <si>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</si>
  <si>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</si>
  <si>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</si>
  <si>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</si>
  <si>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</si>
  <si>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</si>
  <si>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</si>
  <si>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</si>
  <si>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</si>
  <si>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</si>
  <si>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</si>
  <si>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</si>
  <si>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</si>
  <si>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</si>
  <si>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</si>
  <si>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</si>
  <si>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</si>
  <si>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</si>
  <si>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</si>
  <si>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</si>
  <si>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</si>
  <si>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</si>
  <si>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</si>
  <si>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</si>
  <si>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</si>
  <si>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</si>
  <si>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</si>
  <si>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</si>
  <si>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</si>
  <si>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</si>
  <si>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</si>
  <si>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</si>
  <si>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</si>
  <si>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</si>
  <si>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</si>
  <si>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</si>
  <si>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</si>
  <si>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</si>
  <si>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</si>
  <si>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</si>
  <si>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</si>
  <si>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</si>
  <si>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</si>
  <si>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</si>
  <si>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</si>
  <si>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</si>
  <si>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</si>
  <si>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</si>
  <si>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</si>
  <si>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</si>
  <si>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</si>
  <si>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</si>
  <si>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</si>
  <si>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</si>
  <si>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</si>
  <si>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</si>
  <si>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</si>
  <si>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</si>
  <si>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</si>
  <si>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</si>
  <si>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</si>
  <si>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</si>
  <si>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</si>
  <si>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</si>
  <si>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</si>
  <si>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</si>
  <si>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</si>
  <si>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</si>
  <si>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</si>
  <si>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</si>
  <si>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</si>
  <si>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</si>
  <si>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</si>
  <si>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</si>
  <si>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</si>
  <si>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</si>
  <si>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</si>
  <si>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</si>
  <si>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</si>
  <si>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</si>
  <si>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</si>
  <si>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</si>
  <si>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</si>
  <si>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</si>
  <si>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</si>
  <si>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</si>
  <si>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</si>
  <si>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</si>
  <si>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</si>
  <si>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</si>
  <si>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</si>
  <si>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</si>
  <si>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</si>
  <si>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</si>
  <si>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</si>
  <si>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</si>
  <si>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</si>
  <si>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</si>
  <si>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</si>
  <si>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</si>
  <si>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</si>
  <si>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</si>
  <si>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</si>
  <si>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</si>
  <si>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</si>
  <si>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</si>
  <si>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</si>
  <si>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</si>
  <si>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</si>
  <si>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</si>
  <si>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</si>
  <si>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</si>
  <si>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</si>
  <si>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</si>
  <si>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</si>
  <si>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</si>
  <si>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</si>
  <si>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</si>
  <si>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</si>
  <si>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</si>
  <si>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</si>
  <si>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</si>
  <si>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</si>
  <si>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</si>
  <si>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</si>
  <si>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</si>
  <si>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</si>
  <si>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</si>
  <si>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</si>
  <si>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</si>
  <si>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</si>
  <si>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</si>
  <si>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</si>
  <si>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</si>
  <si>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</si>
  <si>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</si>
  <si>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</si>
  <si>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</si>
  <si>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</si>
  <si>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</si>
  <si>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</si>
  <si>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</si>
  <si>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</si>
  <si>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</si>
  <si>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</si>
  <si>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</si>
  <si>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</si>
  <si>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</si>
  <si>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</si>
  <si>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</si>
  <si>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</si>
  <si>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</si>
  <si>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</si>
  <si>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</si>
  <si>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</si>
  <si>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</si>
  <si>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</si>
  <si>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</si>
  <si>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</si>
  <si>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</si>
  <si>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</si>
  <si>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</si>
  <si>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</si>
  <si>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</si>
  <si>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</si>
  <si>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</si>
  <si>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</si>
  <si>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</si>
  <si>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</si>
  <si>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</si>
  <si>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</si>
  <si>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</si>
  <si>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</si>
  <si>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</si>
  <si>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</si>
  <si>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</si>
  <si>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</si>
  <si>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</si>
  <si>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</si>
  <si>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</si>
  <si>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</si>
  <si>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</si>
  <si>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</si>
  <si>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</si>
  <si>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</si>
  <si>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</si>
  <si>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</si>
  <si>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</si>
  <si>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</si>
  <si>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</si>
  <si>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</si>
  <si>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</si>
  <si>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</si>
  <si>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</si>
  <si>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</si>
  <si>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</si>
  <si>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</si>
  <si>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</si>
  <si>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</si>
  <si>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</si>
  <si>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</si>
  <si>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</si>
  <si>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</si>
  <si>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</si>
  <si>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</si>
  <si>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</si>
  <si>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</si>
  <si>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</si>
  <si>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</si>
  <si>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</si>
  <si>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</si>
  <si>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</si>
  <si>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</si>
  <si>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</si>
  <si>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</si>
  <si>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</si>
  <si>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</si>
  <si>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</si>
  <si>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</si>
  <si>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</si>
  <si>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</si>
  <si>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</si>
  <si>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</si>
  <si>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</si>
  <si>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</si>
  <si>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</si>
  <si>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</si>
  <si>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</si>
  <si>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</si>
  <si>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</si>
  <si>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</si>
  <si>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</si>
  <si>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</si>
  <si>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</si>
  <si>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</si>
  <si>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</si>
  <si>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</si>
  <si>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</si>
  <si>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</si>
  <si>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</si>
  <si>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</si>
  <si>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</si>
  <si>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</si>
  <si>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</si>
  <si>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</si>
  <si>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</si>
  <si>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</si>
  <si>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</si>
  <si>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</si>
  <si>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</si>
  <si>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</si>
  <si>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</si>
  <si>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</si>
  <si>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</si>
  <si>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</si>
  <si>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</si>
  <si>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</si>
  <si>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</si>
  <si>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</si>
  <si>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</si>
  <si>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</si>
  <si>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</si>
  <si>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</si>
  <si>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</si>
  <si>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</si>
  <si>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</si>
  <si>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</si>
  <si>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</si>
  <si>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</si>
  <si>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</si>
  <si>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</si>
  <si>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</si>
  <si>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</si>
  <si>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</si>
  <si>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</si>
  <si>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</si>
  <si>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</si>
  <si>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</si>
  <si>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</si>
  <si>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</si>
  <si>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</si>
  <si>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</si>
  <si>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</si>
  <si>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</si>
  <si>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</si>
  <si>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</si>
  <si>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</si>
  <si>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</si>
  <si>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</si>
  <si>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</si>
  <si>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</si>
  <si>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</si>
  <si>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</si>
  <si>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</si>
  <si>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</si>
  <si>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</si>
  <si>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</si>
  <si>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</si>
  <si>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</si>
  <si>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</si>
  <si>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</si>
  <si>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</si>
  <si>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</si>
  <si>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</si>
  <si>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</si>
  <si>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</si>
  <si>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</si>
  <si>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</si>
  <si>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</si>
  <si>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</si>
  <si>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</si>
  <si>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</si>
  <si>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</si>
  <si>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</si>
  <si>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</si>
  <si>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</si>
  <si>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</si>
  <si>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</si>
  <si>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</si>
  <si>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</si>
  <si>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</si>
  <si>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</si>
  <si>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</si>
  <si>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</si>
  <si>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</si>
  <si>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</si>
  <si>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</si>
  <si>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</si>
  <si>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</si>
  <si>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</si>
  <si>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</si>
  <si>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</si>
  <si>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</si>
  <si>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</si>
  <si>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</si>
  <si>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</si>
  <si>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</si>
  <si>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</si>
  <si>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</si>
  <si>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</si>
  <si>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</si>
  <si>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</si>
  <si>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</si>
  <si>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</si>
  <si>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</si>
  <si>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</si>
  <si>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</si>
  <si>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</si>
  <si>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</si>
  <si>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</si>
  <si>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</si>
  <si>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</si>
  <si>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</si>
  <si>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</si>
  <si>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</si>
  <si>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</si>
  <si>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</si>
  <si>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</si>
  <si>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</si>
  <si>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</si>
  <si>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</si>
  <si>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</si>
  <si>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</si>
  <si>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</si>
  <si>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</si>
  <si>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</si>
  <si>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</si>
  <si>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</si>
  <si>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</si>
  <si>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</si>
  <si>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</si>
  <si>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</si>
  <si>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</si>
  <si>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</si>
  <si>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</si>
  <si>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</si>
  <si>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</si>
  <si>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</si>
  <si>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</si>
  <si>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</si>
  <si>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</si>
  <si>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</si>
  <si>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</si>
  <si>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</si>
  <si>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</si>
  <si>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</si>
  <si>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</si>
  <si>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</si>
  <si>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</si>
  <si>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</si>
  <si>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</si>
  <si>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</si>
  <si>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</si>
  <si>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</si>
  <si>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</si>
  <si>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</si>
  <si>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</si>
  <si>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</si>
  <si>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</si>
  <si>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</si>
  <si>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</si>
  <si>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</si>
  <si>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</si>
  <si>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</si>
  <si>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</si>
  <si>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</si>
  <si>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</si>
  <si>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</si>
  <si>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</si>
  <si>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</si>
  <si>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</si>
  <si>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</si>
  <si>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</si>
  <si>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</si>
  <si>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</si>
  <si>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</si>
  <si>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</si>
  <si>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</si>
  <si>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</si>
  <si>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</si>
  <si>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</si>
  <si>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</si>
  <si>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</si>
  <si>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</si>
  <si>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</si>
  <si>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</si>
  <si>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</si>
  <si>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</si>
  <si>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</si>
  <si>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</si>
  <si>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</si>
  <si>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</si>
  <si>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</si>
  <si>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</si>
  <si>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</si>
  <si>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</si>
  <si>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</si>
  <si>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</si>
  <si>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</si>
  <si>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</si>
  <si>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</si>
  <si>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</si>
  <si>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</si>
  <si>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</si>
  <si>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</si>
  <si>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</si>
  <si>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</si>
  <si>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</si>
  <si>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</si>
  <si>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</si>
  <si>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</si>
  <si>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</si>
  <si>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</si>
  <si>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</si>
  <si>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</si>
  <si>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</si>
  <si>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</si>
  <si>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</si>
  <si>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</si>
  <si>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</si>
  <si>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</si>
  <si>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</si>
  <si>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</si>
  <si>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</si>
  <si>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</si>
  <si>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</si>
  <si>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</si>
  <si>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</si>
  <si>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</si>
  <si>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</si>
  <si>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</si>
  <si>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</si>
  <si>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</si>
  <si>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</si>
  <si>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</si>
  <si>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</si>
  <si>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</si>
  <si>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</si>
  <si>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</si>
  <si>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</si>
  <si>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</si>
  <si>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</si>
  <si>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</si>
  <si>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</si>
  <si>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</si>
  <si>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</si>
  <si>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</si>
  <si>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</si>
  <si>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</si>
  <si>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</si>
  <si>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</si>
  <si>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</si>
  <si>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</si>
  <si>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</si>
  <si>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</si>
  <si>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</si>
  <si>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</si>
  <si>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</si>
  <si>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</si>
  <si>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</si>
  <si>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</si>
  <si>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</si>
  <si>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</si>
  <si>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</si>
  <si>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</si>
  <si>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</si>
  <si>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</si>
  <si>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</si>
  <si>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</si>
  <si>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</si>
  <si>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</si>
  <si>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</si>
  <si>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</si>
  <si>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</si>
  <si>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</si>
  <si>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</si>
  <si>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</si>
  <si>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</si>
  <si>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</si>
  <si>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</si>
  <si>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</si>
  <si>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</si>
  <si>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</si>
  <si>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</si>
  <si>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</si>
  <si>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</si>
  <si>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</si>
  <si>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</si>
  <si>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</si>
  <si>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</si>
  <si>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</si>
  <si>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</si>
  <si>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</si>
  <si>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</si>
  <si>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</si>
  <si>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</si>
  <si>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</si>
  <si>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</si>
  <si>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</si>
  <si>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</si>
  <si>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</si>
  <si>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</si>
  <si>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</si>
  <si>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</si>
  <si>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</si>
  <si>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</si>
  <si>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</si>
  <si>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</si>
  <si>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</si>
  <si>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</si>
  <si>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</si>
  <si>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</si>
  <si>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</si>
  <si>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</si>
  <si>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</si>
  <si>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</si>
  <si>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</si>
  <si>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</si>
  <si>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</si>
  <si>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</si>
  <si>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</si>
  <si>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</si>
  <si>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</si>
  <si>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</si>
  <si>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</si>
  <si>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</si>
  <si>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</si>
  <si>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</si>
  <si>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</si>
  <si>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</si>
  <si>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</si>
  <si>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</si>
  <si>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</si>
  <si>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</si>
  <si>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</si>
  <si>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</si>
  <si>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</si>
  <si>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</si>
  <si>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</si>
  <si>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</si>
  <si>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</si>
  <si>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</si>
  <si>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</si>
  <si>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</si>
  <si>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</si>
  <si>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</si>
  <si>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</si>
  <si>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</si>
  <si>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</si>
  <si>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</si>
  <si>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</si>
  <si>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</si>
  <si>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</si>
  <si>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</si>
  <si>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</si>
  <si>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</si>
  <si>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</si>
  <si>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</si>
  <si>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</si>
  <si>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</si>
  <si>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</si>
  <si>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</si>
  <si>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</si>
  <si>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</si>
  <si>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</si>
  <si>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</si>
  <si>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</si>
  <si>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</si>
  <si>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</si>
  <si>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</si>
  <si>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</si>
  <si>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</si>
  <si>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</si>
  <si>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</si>
  <si>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</si>
  <si>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</si>
  <si>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</si>
  <si>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</si>
  <si>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</si>
  <si>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</si>
  <si>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</si>
  <si>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</si>
  <si>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</si>
  <si>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</si>
  <si>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</si>
  <si>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</si>
  <si>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</si>
  <si>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</si>
  <si>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</si>
  <si>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</si>
  <si>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</si>
  <si>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</si>
  <si>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</si>
  <si>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</si>
  <si>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</si>
  <si>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</si>
  <si>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</si>
  <si>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</si>
  <si>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</si>
  <si>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</si>
  <si>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</si>
  <si>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</si>
  <si>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</si>
  <si>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</si>
  <si>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</si>
  <si>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</si>
  <si>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</si>
  <si>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</si>
  <si>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</si>
  <si>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</si>
  <si>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</si>
  <si>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</si>
  <si>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</si>
  <si>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</si>
  <si>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</si>
  <si>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</si>
  <si>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</si>
  <si>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</si>
  <si>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</si>
  <si>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</si>
  <si>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</si>
  <si>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</si>
  <si>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</si>
  <si>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</si>
  <si>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</si>
  <si>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</si>
  <si>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</si>
  <si>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</si>
  <si>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</si>
  <si>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</si>
  <si>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</si>
  <si>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</si>
  <si>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</si>
  <si>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</si>
  <si>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</si>
  <si>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</si>
  <si>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</si>
  <si>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</si>
  <si>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</si>
  <si>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</si>
  <si>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</si>
  <si>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</si>
  <si>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</si>
  <si>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</si>
  <si>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</si>
  <si>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</si>
  <si>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</si>
  <si>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</si>
  <si>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</si>
  <si>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</si>
  <si>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</si>
  <si>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</si>
  <si>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</si>
  <si>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</si>
  <si>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</si>
  <si>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</si>
  <si>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</si>
  <si>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</si>
  <si>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</si>
  <si>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</si>
  <si>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</si>
  <si>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</si>
  <si>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</si>
  <si>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</si>
  <si>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</si>
  <si>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</si>
  <si>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</si>
  <si>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</si>
  <si>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</si>
  <si>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</si>
  <si>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</si>
  <si>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</si>
  <si>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</si>
  <si>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</si>
  <si>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</si>
  <si>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</si>
  <si>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</si>
  <si>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</si>
  <si>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</si>
  <si>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</si>
  <si>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</si>
  <si>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</si>
  <si>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</si>
  <si>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</si>
  <si>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</si>
  <si>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</si>
  <si>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</si>
  <si>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</si>
  <si>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</si>
  <si>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</si>
  <si>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</si>
  <si>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</si>
  <si>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</si>
  <si>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</si>
  <si>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</si>
  <si>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</si>
  <si>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</si>
  <si>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</si>
  <si>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</si>
  <si>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</si>
  <si>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</si>
  <si>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</si>
  <si>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</si>
  <si>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</si>
  <si>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</si>
  <si>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</si>
  <si>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</si>
  <si>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</si>
  <si>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</si>
  <si>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</si>
  <si>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</si>
  <si>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</si>
  <si>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</si>
  <si>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</si>
  <si>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</si>
  <si>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</si>
  <si>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</si>
  <si>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</si>
  <si>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</si>
  <si>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</si>
  <si>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</si>
  <si>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</si>
  <si>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</si>
  <si>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</si>
  <si>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</si>
  <si>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</si>
  <si>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</si>
  <si>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</si>
  <si>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</si>
  <si>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</si>
  <si>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</si>
  <si>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</si>
  <si>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</si>
  <si>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</si>
  <si>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</si>
  <si>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</si>
  <si>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</si>
  <si>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</si>
  <si>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</si>
  <si>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</si>
  <si>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</si>
  <si>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</si>
  <si>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</si>
  <si>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</si>
  <si>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</si>
  <si>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</si>
  <si>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</si>
  <si>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</si>
  <si>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</si>
  <si>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</si>
  <si>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</si>
  <si>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</si>
  <si>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</si>
  <si>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</si>
  <si>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</si>
  <si>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</si>
  <si>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</si>
  <si>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</si>
  <si>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</si>
  <si>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</si>
  <si>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</si>
  <si>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</si>
  <si>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</si>
  <si>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</si>
  <si>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</si>
  <si>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</si>
  <si>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</si>
  <si>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</si>
  <si>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</si>
  <si>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</si>
  <si>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</si>
  <si>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</si>
  <si>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</si>
  <si>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</si>
  <si>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</si>
  <si>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</si>
  <si>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</si>
  <si>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</si>
  <si>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</si>
  <si>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</si>
  <si>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</si>
  <si>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</si>
  <si>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</si>
  <si>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</si>
  <si>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</si>
  <si>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</si>
  <si>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</si>
  <si>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</si>
  <si>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</si>
  <si>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</si>
  <si>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</si>
  <si>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</si>
  <si>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</si>
  <si>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</si>
  <si>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</si>
  <si>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</si>
  <si>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</si>
  <si>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</si>
  <si>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</si>
  <si>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</si>
  <si>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</si>
  <si>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</si>
  <si>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</si>
  <si>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</si>
  <si>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</si>
  <si>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</si>
  <si>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</si>
  <si>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</si>
  <si>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</si>
  <si>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</si>
  <si>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</si>
  <si>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</si>
  <si>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</si>
  <si>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</si>
  <si>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</si>
  <si>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</si>
  <si>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</si>
  <si>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</si>
  <si>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</si>
  <si>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</si>
  <si>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</si>
  <si>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</si>
  <si>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</si>
  <si>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</si>
  <si>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</si>
  <si>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</si>
  <si>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</si>
  <si>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</si>
  <si>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</si>
  <si>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</si>
  <si>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</si>
  <si>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</si>
  <si>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</si>
  <si>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</si>
  <si>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</si>
  <si>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</si>
  <si>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</si>
  <si>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</si>
  <si>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</si>
  <si>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</si>
  <si>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</si>
  <si>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</si>
  <si>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</si>
  <si>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</si>
  <si>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</si>
  <si>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</si>
  <si>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</si>
  <si>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</si>
  <si>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</si>
  <si>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</si>
  <si>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</si>
  <si>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</si>
  <si>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</si>
  <si>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</si>
  <si>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</si>
  <si>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</si>
  <si>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</si>
  <si>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</si>
  <si>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</si>
  <si>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</si>
  <si>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</si>
  <si>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</si>
  <si>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</si>
  <si>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</si>
  <si>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</si>
  <si>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</si>
  <si>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</si>
  <si>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</si>
  <si>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</si>
  <si>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</si>
  <si>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</si>
  <si>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</si>
  <si>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</si>
  <si>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</si>
  <si>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</si>
  <si>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</si>
  <si>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</si>
  <si>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</si>
  <si>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</si>
  <si>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</si>
  <si>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</si>
  <si>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</si>
  <si>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</si>
  <si>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</si>
  <si>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</si>
  <si>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</si>
  <si>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</si>
  <si>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</si>
  <si>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</si>
  <si>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</si>
  <si>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</si>
  <si>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</si>
  <si>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</si>
  <si>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</si>
  <si>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</si>
  <si>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</si>
  <si>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</si>
  <si>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</si>
  <si>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</si>
  <si>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</si>
  <si>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</si>
  <si>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</si>
  <si>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</si>
  <si>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</si>
  <si>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</si>
  <si>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</si>
  <si>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</si>
  <si>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</si>
  <si>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</si>
  <si>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</si>
  <si>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</si>
  <si>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</si>
  <si>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</si>
  <si>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</si>
  <si>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</si>
  <si>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</si>
  <si>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</si>
  <si>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</si>
  <si>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</si>
  <si>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</si>
  <si>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</si>
  <si>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</si>
  <si>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</si>
  <si>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</si>
  <si>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</si>
  <si>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</si>
  <si>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</si>
  <si>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</si>
  <si>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</si>
  <si>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</si>
  <si>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</si>
  <si>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</si>
  <si>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</si>
  <si>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</si>
  <si>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</si>
  <si>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</si>
  <si>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</si>
  <si>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</si>
  <si>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</si>
  <si>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</si>
  <si>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</si>
  <si>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</si>
  <si>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</si>
  <si>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</si>
  <si>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</si>
  <si>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</si>
  <si>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</si>
  <si>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</si>
  <si>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</si>
  <si>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</si>
  <si>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</si>
  <si>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</si>
  <si>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</si>
  <si>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</si>
  <si>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</si>
  <si>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</si>
  <si>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</si>
  <si>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</si>
  <si>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</si>
  <si>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</si>
  <si>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</si>
  <si>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</si>
  <si>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</si>
  <si>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</si>
  <si>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</si>
  <si>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</si>
  <si>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</si>
  <si>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</si>
  <si>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</si>
  <si>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</si>
  <si>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</si>
  <si>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</si>
  <si>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</si>
  <si>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</si>
  <si>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</si>
  <si>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</si>
  <si>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</si>
  <si>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</si>
  <si>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</si>
  <si>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</si>
  <si>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</si>
  <si>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</si>
  <si>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</si>
  <si>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</si>
  <si>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</si>
  <si>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</si>
  <si>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</si>
  <si>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</si>
  <si>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</si>
  <si>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</si>
  <si>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</si>
  <si>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</si>
  <si>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</si>
  <si>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</si>
  <si>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</si>
  <si>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</si>
  <si>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</si>
  <si>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</si>
  <si>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</si>
  <si>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</si>
  <si>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</si>
  <si>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</si>
  <si>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</si>
  <si>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</si>
  <si>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</si>
  <si>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</si>
  <si>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</si>
  <si>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</si>
  <si>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</si>
  <si>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</si>
  <si>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</si>
  <si>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</si>
  <si>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</si>
  <si>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</si>
  <si>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</si>
  <si>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</si>
  <si>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</si>
  <si>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</si>
  <si>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</si>
  <si>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</si>
  <si>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</si>
  <si>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</si>
  <si>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</si>
  <si>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</si>
  <si>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</si>
  <si>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</si>
  <si>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</si>
  <si>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</si>
  <si>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</si>
  <si>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</si>
  <si>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</si>
  <si>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</si>
  <si>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</si>
  <si>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</si>
  <si>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</si>
  <si>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</si>
  <si>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</si>
  <si>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</si>
  <si>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</si>
  <si>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</si>
  <si>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</si>
  <si>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欧红伟</t>
  </si>
  <si>
    <t>崔锴</t>
  </si>
  <si>
    <t>房地产抵押价值</t>
  </si>
  <si>
    <t>抵押</t>
  </si>
  <si>
    <t>中国农业银行股份有限公司北京顺义支行</t>
    <phoneticPr fontId="7" type="noConversion"/>
  </si>
  <si>
    <t>北京市</t>
  </si>
  <si>
    <t>自然人</t>
  </si>
  <si>
    <t>与房产证证载一致</t>
  </si>
  <si>
    <t>是</t>
  </si>
  <si>
    <t>否</t>
  </si>
  <si>
    <t>未核对原件</t>
  </si>
  <si>
    <t>元</t>
  </si>
  <si>
    <t>总价</t>
  </si>
  <si>
    <t>无租约</t>
  </si>
  <si>
    <t>估价对象</t>
  </si>
  <si>
    <t>售价</t>
  </si>
  <si>
    <t>正常</t>
  </si>
  <si>
    <t>云秀花园</t>
    <phoneticPr fontId="4" type="noConversion"/>
  </si>
  <si>
    <t>钢混</t>
  </si>
  <si>
    <t>非生产用房</t>
  </si>
  <si>
    <t>收益法</t>
  </si>
  <si>
    <t>通州榆景东路6号院</t>
    <phoneticPr fontId="7" type="noConversion"/>
  </si>
  <si>
    <t>齐晓红</t>
    <phoneticPr fontId="7" type="noConversion"/>
  </si>
  <si>
    <r>
      <t>X</t>
    </r>
    <r>
      <rPr>
        <sz val="10"/>
        <color indexed="8"/>
        <rFont val="宋体"/>
        <family val="3"/>
        <charset val="134"/>
      </rPr>
      <t>京房权证通字第</t>
    </r>
    <r>
      <rPr>
        <sz val="10"/>
        <color indexed="8"/>
        <rFont val="Arial"/>
        <family val="2"/>
      </rPr>
      <t>1506718</t>
    </r>
    <r>
      <rPr>
        <sz val="10"/>
        <color indexed="8"/>
        <rFont val="宋体"/>
        <family val="3"/>
        <charset val="134"/>
      </rPr>
      <t>号</t>
    </r>
    <phoneticPr fontId="7" type="noConversion"/>
  </si>
  <si>
    <t>保利大都汇</t>
    <phoneticPr fontId="25" type="noConversion"/>
  </si>
  <si>
    <t>通州富力中心</t>
    <phoneticPr fontId="4" type="noConversion"/>
  </si>
  <si>
    <t>瑞都国际中心</t>
    <phoneticPr fontId="4" type="noConversion"/>
  </si>
  <si>
    <t>收益年期(n)</t>
  </si>
  <si>
    <t>估价对象位于北京市副中心西北部，周边办公楼项目较少，入驻率一般，办公集聚程度较差</t>
    <phoneticPr fontId="4" type="noConversion"/>
  </si>
  <si>
    <t>估价对象周边道路状况为临近金榆路、通8路、快专55路公交线路经过、停车便捷程度较好，综合评价交通便捷度一般</t>
    <phoneticPr fontId="4" type="noConversion"/>
  </si>
  <si>
    <t>估价对象所在区域公共配套设施齐备情况一般</t>
    <phoneticPr fontId="4" type="noConversion"/>
  </si>
  <si>
    <t>估价对象所在区域基础设施水平七通</t>
    <phoneticPr fontId="4" type="noConversion"/>
  </si>
  <si>
    <t>区域2公里内有自然环境：温榆河；人文环境：北京物资学院；综合评价环境状况较好</t>
    <phoneticPr fontId="4" type="noConversion"/>
  </si>
  <si>
    <t>城市次干道——温榆河西路</t>
    <phoneticPr fontId="4" type="noConversion"/>
  </si>
  <si>
    <t>——</t>
    <phoneticPr fontId="20" type="noConversion"/>
  </si>
  <si>
    <t>——</t>
    <phoneticPr fontId="35" type="noConversion"/>
  </si>
  <si>
    <t>Ⅶ-通1</t>
  </si>
  <si>
    <t>办公</t>
  </si>
  <si>
    <t>商务金融用地（办公类）</t>
  </si>
  <si>
    <t>金融街园中园</t>
    <phoneticPr fontId="4" type="noConversion"/>
  </si>
  <si>
    <t>办公</t>
    <phoneticPr fontId="26" type="noConversion"/>
  </si>
  <si>
    <t>七通</t>
  </si>
  <si>
    <r>
      <rPr>
        <sz val="11"/>
        <rFont val="宋体"/>
        <family val="3"/>
        <charset val="134"/>
      </rPr>
      <t>城市次干道</t>
    </r>
    <r>
      <rPr>
        <sz val="11"/>
        <rFont val="Arial"/>
        <family val="2"/>
      </rPr>
      <t>——</t>
    </r>
    <r>
      <rPr>
        <sz val="11"/>
        <rFont val="宋体"/>
        <family val="3"/>
        <charset val="134"/>
      </rPr>
      <t>温榆河西路</t>
    </r>
    <phoneticPr fontId="26" type="noConversion"/>
  </si>
  <si>
    <t>高速路</t>
    <phoneticPr fontId="4" type="noConversion"/>
  </si>
  <si>
    <t>快速路</t>
    <phoneticPr fontId="4" type="noConversion"/>
  </si>
  <si>
    <t>主干道</t>
    <phoneticPr fontId="4" type="noConversion"/>
  </si>
  <si>
    <t>次干道</t>
    <phoneticPr fontId="4" type="noConversion"/>
  </si>
  <si>
    <t>支路</t>
    <phoneticPr fontId="4" type="noConversion"/>
  </si>
  <si>
    <t>次干道</t>
  </si>
  <si>
    <t>独栋</t>
  </si>
  <si>
    <t>独栋</t>
    <phoneticPr fontId="26" type="noConversion"/>
  </si>
  <si>
    <t>钢</t>
    <phoneticPr fontId="4" type="noConversion"/>
  </si>
  <si>
    <t>钢混</t>
    <phoneticPr fontId="4" type="noConversion"/>
  </si>
  <si>
    <t>砖混</t>
    <phoneticPr fontId="4" type="noConversion"/>
  </si>
  <si>
    <t>精装修</t>
    <phoneticPr fontId="4" type="noConversion"/>
  </si>
  <si>
    <t>普通装修</t>
    <phoneticPr fontId="4" type="noConversion"/>
  </si>
  <si>
    <t>简单装修</t>
    <phoneticPr fontId="4" type="noConversion"/>
  </si>
  <si>
    <t>毛坯</t>
    <phoneticPr fontId="4" type="noConversion"/>
  </si>
  <si>
    <t>4C</t>
  </si>
  <si>
    <t>4C</t>
    <phoneticPr fontId="26" type="noConversion"/>
  </si>
  <si>
    <t>专业</t>
  </si>
  <si>
    <t>专业</t>
    <phoneticPr fontId="26" type="noConversion"/>
  </si>
  <si>
    <t>普通</t>
    <phoneticPr fontId="26"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</si>
  <si>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</si>
  <si>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</si>
  <si>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</si>
  <si>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</si>
  <si>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</si>
  <si>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毛坯</t>
  </si>
  <si>
    <t>简单装修</t>
  </si>
  <si>
    <t>五通</t>
  </si>
  <si>
    <t>普通装修</t>
  </si>
  <si>
    <t>40-50（含）</t>
  </si>
  <si>
    <t>比较法-办公</t>
  </si>
  <si>
    <t>金融街园中园</t>
    <phoneticPr fontId="4" type="noConversion"/>
  </si>
  <si>
    <t>金融街园中园</t>
    <phoneticPr fontId="4" type="noConversion"/>
  </si>
  <si>
    <t>按租金收入计税</t>
  </si>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</sst>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09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49" fontId="222" fillId="0" borderId="31"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42" fillId="7" borderId="6" xfId="0" applyFont="1" applyFill="1" applyBorder="1" applyAlignment="1" applyProtection="1">
      <alignment vertical="center" wrapText="1"/>
      <protection locked="0"/>
    </xf>
    <xf numFmtId="0" fontId="53" fillId="7" borderId="3" xfId="0" applyNumberFormat="1" applyFont="1" applyFill="1" applyBorder="1" applyAlignment="1" applyProtection="1">
      <alignment horizontal="center" vertical="center" wrapText="1"/>
      <protection locked="0"/>
    </xf>
    <xf numFmtId="177" fontId="39" fillId="6" borderId="31" xfId="1"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84" fontId="56" fillId="0" borderId="1" xfId="0" applyNumberFormat="1" applyFont="1" applyFill="1" applyBorder="1" applyAlignment="1" applyProtection="1">
      <alignment horizontal="center" vertical="center" shrinkToFit="1"/>
      <protection locked="0"/>
    </xf>
    <xf numFmtId="10" fontId="39" fillId="0" borderId="6" xfId="0" applyNumberFormat="1" applyFont="1" applyFill="1" applyBorder="1" applyAlignment="1" applyProtection="1">
      <alignment horizontal="center" vertical="center"/>
      <protection locked="0"/>
    </xf>
    <xf numFmtId="183" fontId="39" fillId="0" borderId="6" xfId="0" applyNumberFormat="1" applyFont="1" applyFill="1" applyBorder="1" applyAlignment="1" applyProtection="1">
      <alignment horizontal="center"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3" xfId="0" applyFont="1" applyFill="1" applyBorder="1" applyAlignment="1" applyProtection="1">
      <alignment horizontal="center" vertical="center" wrapText="1"/>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51"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6" fillId="5" borderId="35"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7"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428625</xdr:colOff>
      <xdr:row>0</xdr:row>
      <xdr:rowOff>0</xdr:rowOff>
    </xdr:from>
    <xdr:to>
      <xdr:col>26</xdr:col>
      <xdr:colOff>46473</xdr:colOff>
      <xdr:row>27</xdr:row>
      <xdr:rowOff>66088</xdr:rowOff>
    </xdr:to>
    <xdr:pic>
      <xdr:nvPicPr>
        <xdr:cNvPr id="6" name="图片 5"/>
        <xdr:cNvPicPr>
          <a:picLocks noChangeAspect="1"/>
        </xdr:cNvPicPr>
      </xdr:nvPicPr>
      <xdr:blipFill>
        <a:blip xmlns:r="http://schemas.openxmlformats.org/officeDocument/2006/relationships" r:embed="rId1"/>
        <a:stretch>
          <a:fillRect/>
        </a:stretch>
      </xdr:blipFill>
      <xdr:spPr>
        <a:xfrm>
          <a:off x="8658225" y="0"/>
          <a:ext cx="9219048" cy="4695238"/>
        </a:xfrm>
        <a:prstGeom prst="rect">
          <a:avLst/>
        </a:prstGeom>
      </xdr:spPr>
    </xdr:pic>
    <xdr:clientData/>
  </xdr:twoCellAnchor>
  <xdr:twoCellAnchor editAs="oneCell">
    <xdr:from>
      <xdr:col>0</xdr:col>
      <xdr:colOff>0</xdr:colOff>
      <xdr:row>1</xdr:row>
      <xdr:rowOff>133350</xdr:rowOff>
    </xdr:from>
    <xdr:to>
      <xdr:col>12</xdr:col>
      <xdr:colOff>589448</xdr:colOff>
      <xdr:row>28</xdr:row>
      <xdr:rowOff>85153</xdr:rowOff>
    </xdr:to>
    <xdr:pic>
      <xdr:nvPicPr>
        <xdr:cNvPr id="7" name="图片 6"/>
        <xdr:cNvPicPr>
          <a:picLocks noChangeAspect="1"/>
        </xdr:cNvPicPr>
      </xdr:nvPicPr>
      <xdr:blipFill>
        <a:blip xmlns:r="http://schemas.openxmlformats.org/officeDocument/2006/relationships" r:embed="rId2"/>
        <a:stretch>
          <a:fillRect/>
        </a:stretch>
      </xdr:blipFill>
      <xdr:spPr>
        <a:xfrm>
          <a:off x="0" y="304800"/>
          <a:ext cx="8819048" cy="4580953"/>
        </a:xfrm>
        <a:prstGeom prst="rect">
          <a:avLst/>
        </a:prstGeom>
      </xdr:spPr>
    </xdr:pic>
    <xdr:clientData/>
  </xdr:twoCellAnchor>
  <xdr:twoCellAnchor editAs="oneCell">
    <xdr:from>
      <xdr:col>0</xdr:col>
      <xdr:colOff>0</xdr:colOff>
      <xdr:row>30</xdr:row>
      <xdr:rowOff>0</xdr:rowOff>
    </xdr:from>
    <xdr:to>
      <xdr:col>12</xdr:col>
      <xdr:colOff>360877</xdr:colOff>
      <xdr:row>56</xdr:row>
      <xdr:rowOff>94681</xdr:rowOff>
    </xdr:to>
    <xdr:pic>
      <xdr:nvPicPr>
        <xdr:cNvPr id="8" name="图片 7"/>
        <xdr:cNvPicPr>
          <a:picLocks noChangeAspect="1"/>
        </xdr:cNvPicPr>
      </xdr:nvPicPr>
      <xdr:blipFill>
        <a:blip xmlns:r="http://schemas.openxmlformats.org/officeDocument/2006/relationships" r:embed="rId3"/>
        <a:stretch>
          <a:fillRect/>
        </a:stretch>
      </xdr:blipFill>
      <xdr:spPr>
        <a:xfrm>
          <a:off x="0" y="5143500"/>
          <a:ext cx="8590477" cy="455238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20" activeCellId="1" sqref="E12 A20:H31"/>
    </sheetView>
  </sheetViews>
  <sheetFormatPr defaultRowHeight="15"/>
  <cols>
    <col min="1" max="1" width="32.5" style="1704" customWidth="1"/>
    <col min="2" max="2" width="94.875" style="1690" customWidth="1"/>
    <col min="3" max="16384" width="9" style="1700"/>
  </cols>
  <sheetData>
    <row r="1" spans="1:2" s="1695" customFormat="1" ht="16.5" thickBot="1">
      <c r="A1" s="1693" t="s">
        <v>1107</v>
      </c>
      <c r="B1" s="1694" t="s">
        <v>1169</v>
      </c>
    </row>
    <row r="2" spans="1:2" s="1697" customFormat="1" ht="15.75" thickTop="1">
      <c r="A2" s="1696" t="s">
        <v>1108</v>
      </c>
      <c r="B2" s="1682" t="str">
        <f>'预评函-封皮'!B9</f>
        <v>北京市房地产抵押价值预评估</v>
      </c>
    </row>
    <row r="3" spans="1:2" s="1697" customFormat="1">
      <c r="A3" s="1698" t="s">
        <v>1109</v>
      </c>
      <c r="B3" s="1683">
        <f>'预评函-封皮'!B12</f>
        <v>0</v>
      </c>
    </row>
    <row r="4" spans="1:2" s="1697" customFormat="1">
      <c r="A4" s="1698" t="s">
        <v>1110</v>
      </c>
      <c r="B4" s="1683" t="str">
        <f ca="1">'预评函-封皮'!B18</f>
        <v>欧红伟（注册号:1120000080）、崔锴（注册号:1120100036)</v>
      </c>
    </row>
    <row r="5" spans="1:2" s="1695" customFormat="1" ht="15.75" thickBot="1">
      <c r="A5" s="1699" t="s">
        <v>1111</v>
      </c>
      <c r="B5" s="1684" t="str">
        <f>'预评函-封皮'!B21</f>
        <v>康正预评字号</v>
      </c>
    </row>
    <row r="6" spans="1:2" s="1697" customFormat="1" ht="15.75" thickTop="1">
      <c r="A6" s="1698" t="s">
        <v>1112</v>
      </c>
      <c r="B6" s="1682" t="str">
        <f>'预评函-1'!A4</f>
        <v>受您的委托，我公司对北京市房地产进行了预评估。</v>
      </c>
    </row>
    <row r="7" spans="1:2">
      <c r="A7" s="1698" t="s">
        <v>1113</v>
      </c>
      <c r="B7" s="1685" t="str">
        <f>'预评函-1'!A6</f>
        <v>估价对象为北京市房地产，为齐晓红所有。根据《不动产权证书》[]，估价对象建筑面积为573.89平方米，（分摊）出让国有建设用地使用权面积为平方米。估价对象用途为。</v>
      </c>
    </row>
    <row r="8" spans="1:2">
      <c r="A8" s="1698" t="s">
        <v>1114</v>
      </c>
      <c r="B8" s="1685" t="str">
        <f>'预评函-1'!A8</f>
        <v>为估价委托人在向中国农业银行股份有限公司北京顺义支行办理贷款手续过程中，确定房地产抵押贷款额度提供参考依据而评估房地产抵押价值。</v>
      </c>
    </row>
    <row r="9" spans="1:2">
      <c r="A9" s="1698" t="s">
        <v>1115</v>
      </c>
      <c r="B9" s="1685" t="str">
        <f>'预评函-1'!A10</f>
        <v>2018年6月6日（评估专业人员实地查勘之日）</v>
      </c>
    </row>
    <row r="10" spans="1:2">
      <c r="A10" s="1698" t="s">
        <v>1116</v>
      </c>
      <c r="B10" s="1685" t="str">
        <f>'预评函-1'!A13</f>
        <v>本次估价的“房地产价值”是指在正常市场情况下，在价值时点2018年6月6日，估价对象规划用途为，假定未设立法定优先受偿款下的房地产市场价值。</v>
      </c>
    </row>
    <row r="11" spans="1:2">
      <c r="A11" s="1698" t="s">
        <v>1117</v>
      </c>
      <c r="B11" s="1685"/>
    </row>
    <row r="12" spans="1:2">
      <c r="A12" s="1698" t="s">
        <v>1118</v>
      </c>
      <c r="B12" s="1685" t="str">
        <f>'预评函-1'!A14</f>
        <v>本次估价的“房地产抵押价值”是指估价对象在价值时点的“房地产价值”扣减估价师于价值时点所知悉的法定优先受偿款后的余额。</v>
      </c>
    </row>
    <row r="13" spans="1:2">
      <c r="A13" s="1698" t="s">
        <v>1119</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1120</v>
      </c>
      <c r="B14" s="168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5" customFormat="1" ht="15.75" thickBot="1">
      <c r="A15" s="1699" t="s">
        <v>1121</v>
      </c>
      <c r="B15" s="1686" t="str">
        <f>'预评函-1'!A18</f>
        <v>本次评估采用的主估价方法为收益法和比较法。</v>
      </c>
    </row>
    <row r="16" spans="1:2" ht="15.75" thickTop="1">
      <c r="A16" s="1696" t="s">
        <v>1122</v>
      </c>
      <c r="B16" s="168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8" t="s">
        <v>1123</v>
      </c>
      <c r="B17" s="1685" t="str">
        <f>'预评函-2（1）'!B6</f>
        <v>北京市房地产</v>
      </c>
    </row>
    <row r="18" spans="1:2">
      <c r="A18" s="1698" t="s">
        <v>1124</v>
      </c>
      <c r="B18" s="1685">
        <f>'预评函-2（1）'!C6</f>
        <v>573.89</v>
      </c>
    </row>
    <row r="19" spans="1:2">
      <c r="A19" s="1698" t="s">
        <v>1125</v>
      </c>
      <c r="B19" s="1685">
        <f ca="1">'预评函-2（1）'!D7</f>
        <v>14704498</v>
      </c>
    </row>
    <row r="20" spans="1:2">
      <c r="A20" s="1698" t="s">
        <v>1163</v>
      </c>
      <c r="B20" s="1685" t="str">
        <f>'预评函-2（1）'!C7</f>
        <v>总价（元）</v>
      </c>
    </row>
    <row r="21" spans="1:2">
      <c r="A21" s="1698" t="s">
        <v>1126</v>
      </c>
      <c r="B21" s="1685">
        <f ca="1">'预评函-2（1）'!D9</f>
        <v>25623</v>
      </c>
    </row>
    <row r="22" spans="1:2">
      <c r="A22" s="1698" t="s">
        <v>1127</v>
      </c>
      <c r="B22" s="1685" t="str">
        <f ca="1">'预评函-2（1）'!D8</f>
        <v>壹仟肆佰柒拾万肆仟肆佰玖拾捌元整</v>
      </c>
    </row>
    <row r="23" spans="1:2">
      <c r="A23" s="1698" t="s">
        <v>1164</v>
      </c>
      <c r="B23" s="1685">
        <f>'预评函-2（1）'!D10</f>
        <v>0</v>
      </c>
    </row>
    <row r="24" spans="1:2">
      <c r="A24" s="1698" t="s">
        <v>1165</v>
      </c>
      <c r="B24" s="1685" t="str">
        <f>'预评函-2（1）'!C10</f>
        <v>总额（元）</v>
      </c>
    </row>
    <row r="25" spans="1:2">
      <c r="A25" s="1698" t="s">
        <v>1128</v>
      </c>
      <c r="B25" s="1685" t="str">
        <f>'预评函-2（1）'!D11</f>
        <v>零元整</v>
      </c>
    </row>
    <row r="26" spans="1:2">
      <c r="A26" s="1698" t="s">
        <v>1129</v>
      </c>
      <c r="B26" s="1685">
        <f>'预评函-2（1）'!D12</f>
        <v>0</v>
      </c>
    </row>
    <row r="27" spans="1:2">
      <c r="A27" s="1698" t="s">
        <v>1130</v>
      </c>
      <c r="B27" s="1685">
        <f>'预评函-2（1）'!D13</f>
        <v>0</v>
      </c>
    </row>
    <row r="28" spans="1:2">
      <c r="A28" s="1698" t="s">
        <v>1131</v>
      </c>
      <c r="B28" s="1685">
        <f>'预评函-2（1）'!D14</f>
        <v>0</v>
      </c>
    </row>
    <row r="29" spans="1:2">
      <c r="A29" s="1698" t="s">
        <v>1132</v>
      </c>
      <c r="B29" s="1685">
        <f ca="1">'预评函-2（1）'!D15</f>
        <v>14704498</v>
      </c>
    </row>
    <row r="30" spans="1:2">
      <c r="A30" s="1698" t="s">
        <v>1133</v>
      </c>
      <c r="B30" s="1685" t="str">
        <f ca="1">'预评函-2（1）'!D16</f>
        <v>壹仟肆佰柒拾万肆仟肆佰玖拾捌元整</v>
      </c>
    </row>
    <row r="31" spans="1:2">
      <c r="A31" s="1698" t="s">
        <v>1134</v>
      </c>
      <c r="B31" s="1685" t="str">
        <f>'预评函-2（1）'!D18</f>
        <v>——</v>
      </c>
    </row>
    <row r="32" spans="1:2">
      <c r="A32" s="1698" t="s">
        <v>1135</v>
      </c>
      <c r="B32" s="1685" t="e">
        <f>'预评函-2（1）'!D19</f>
        <v>#VALUE!</v>
      </c>
    </row>
    <row r="33" spans="1:2">
      <c r="A33" s="1698" t="s">
        <v>1136</v>
      </c>
      <c r="B33" s="1685" t="str">
        <f>'预评函-2（1）'!D21</f>
        <v>——</v>
      </c>
    </row>
    <row r="34" spans="1:2">
      <c r="A34" s="1698" t="s">
        <v>1137</v>
      </c>
      <c r="B34" s="1685" t="str">
        <f ca="1">'预评函-2（1）'!D23</f>
        <v>——</v>
      </c>
    </row>
    <row r="35" spans="1:2">
      <c r="A35" s="1698" t="s">
        <v>1138</v>
      </c>
      <c r="B35" s="1685" t="e">
        <f>'预评函-2（1）'!D22</f>
        <v>#VALUE!</v>
      </c>
    </row>
    <row r="36" spans="1:2">
      <c r="A36" s="1698" t="s">
        <v>1139</v>
      </c>
      <c r="B36" s="1685">
        <f>'预评函-2（2）'!C4</f>
        <v>0</v>
      </c>
    </row>
    <row r="37" spans="1:2">
      <c r="A37" s="1698" t="s">
        <v>1140</v>
      </c>
      <c r="B37" s="1685">
        <f ca="1">'预评函-2（2）'!D4</f>
        <v>7661043</v>
      </c>
    </row>
    <row r="38" spans="1:2">
      <c r="A38" s="1698" t="s">
        <v>1141</v>
      </c>
      <c r="B38" s="1685">
        <f ca="1">'预评函-2（2）'!E4</f>
        <v>13349</v>
      </c>
    </row>
    <row r="39" spans="1:2">
      <c r="A39" s="1698" t="s">
        <v>1142</v>
      </c>
      <c r="B39" s="1685" t="str">
        <f ca="1">'预评函-2（2）'!D5</f>
        <v>柒佰陆拾陆万壹仟零肆拾叁元整</v>
      </c>
    </row>
    <row r="40" spans="1:2">
      <c r="A40" s="1698" t="s">
        <v>1143</v>
      </c>
      <c r="B40" s="1685">
        <f ca="1">'预评函-2（2）'!F4</f>
        <v>7043455</v>
      </c>
    </row>
    <row r="41" spans="1:2">
      <c r="A41" s="1698" t="s">
        <v>1144</v>
      </c>
      <c r="B41" s="1685">
        <f ca="1">'预评函-2（2）'!G4</f>
        <v>12273</v>
      </c>
    </row>
    <row r="42" spans="1:2" s="1695" customFormat="1" ht="15.75" thickBot="1">
      <c r="A42" s="1699" t="s">
        <v>1145</v>
      </c>
      <c r="B42" s="1687" t="str">
        <f ca="1">'预评函-2（2）'!F5</f>
        <v>柒佰零肆万叁仟肆佰伍拾伍元整</v>
      </c>
    </row>
    <row r="43" spans="1:2" ht="15.75" thickTop="1">
      <c r="A43" s="1696" t="s">
        <v>1146</v>
      </c>
      <c r="B43" s="1688" t="str">
        <f>'预评函-3'!A13</f>
        <v>2.本《评估意见函》仅供金融机构进行内部审核使用，不做其他目的之用。</v>
      </c>
    </row>
    <row r="44" spans="1:2">
      <c r="A44" s="1698" t="s">
        <v>1147</v>
      </c>
      <c r="B44" s="1685" t="str">
        <f>'预评函-3'!A14</f>
        <v>3.抵押双方在办理抵押登记手续时，应使用本公司出具的正式《房地产评估报告》，特提醒报告使用者注意。</v>
      </c>
    </row>
    <row r="45" spans="1:2">
      <c r="A45" s="1698" t="s">
        <v>1148</v>
      </c>
      <c r="B45" s="1685" t="str">
        <f>'预评函-3'!A15</f>
        <v>4.本次评估估价师所知悉的法定优先受偿款情况说明如下：</v>
      </c>
    </row>
    <row r="46" spans="1:2">
      <c r="A46" s="1698" t="s">
        <v>1149</v>
      </c>
      <c r="B46" s="1685" t="str">
        <f>'预评函-3'!A16</f>
        <v>根据估价对象《不动产权证书》原件、，截至价值时点，估价对象抵押权未见登记。</v>
      </c>
    </row>
    <row r="47" spans="1:2">
      <c r="A47" s="1698" t="s">
        <v>1150</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1161</v>
      </c>
      <c r="B48" s="1685" t="str">
        <f>'预评函-3'!A18</f>
        <v>本次评估不存在估价师所知悉的法定优先受偿款。</v>
      </c>
    </row>
    <row r="49" spans="1:2">
      <c r="A49" s="1698" t="s">
        <v>1151</v>
      </c>
      <c r="B49" s="168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1152</v>
      </c>
      <c r="B50" s="1685" t="str">
        <f>'预评函-3'!A20</f>
        <v>6.其他需特殊说明事项：无（注意修改序号）</v>
      </c>
    </row>
    <row r="51" spans="1:2" s="1695" customFormat="1" thickBot="1">
      <c r="A51" s="1699" t="s">
        <v>1153</v>
      </c>
      <c r="B51" s="1692">
        <f>'预评函-3'!D29</f>
        <v>42551</v>
      </c>
    </row>
    <row r="52" spans="1:2" ht="15.75" thickTop="1">
      <c r="A52" s="1696" t="s">
        <v>1154</v>
      </c>
      <c r="B52" s="1691" t="str">
        <f>'预评函-3'!A4</f>
        <v>欧红伟</v>
      </c>
    </row>
    <row r="53" spans="1:2">
      <c r="A53" s="1698" t="s">
        <v>1155</v>
      </c>
      <c r="B53" s="1685">
        <f ca="1">'预评函-3'!B4</f>
        <v>1120000080</v>
      </c>
    </row>
    <row r="54" spans="1:2">
      <c r="A54" s="1698" t="s">
        <v>1156</v>
      </c>
      <c r="B54" s="1689" t="str">
        <f>'预评函-3'!A5</f>
        <v>崔锴</v>
      </c>
    </row>
    <row r="55" spans="1:2" s="1695" customFormat="1" ht="15.75" thickBot="1">
      <c r="A55" s="1699" t="s">
        <v>1157</v>
      </c>
      <c r="B55" s="1687">
        <f ca="1">'预评函-3'!B5</f>
        <v>1120100036</v>
      </c>
    </row>
    <row r="56" spans="1:2" ht="15.75" thickTop="1">
      <c r="A56" s="1701" t="s">
        <v>1166</v>
      </c>
      <c r="B56" s="1685" t="str">
        <f>'预评函-2（1）'!B15</f>
        <v>3.房地产抵押价值</v>
      </c>
    </row>
    <row r="57" spans="1:2">
      <c r="A57" s="1701" t="s">
        <v>1167</v>
      </c>
      <c r="B57" s="1685" t="str">
        <f>'预评函-2（1）'!B18</f>
        <v>——</v>
      </c>
    </row>
    <row r="58" spans="1:2" s="1695" customFormat="1" ht="15.75" thickBot="1">
      <c r="A58" s="1702" t="s">
        <v>1168</v>
      </c>
      <c r="B58" s="1686" t="str">
        <f>'预评函-2（1）'!B21</f>
        <v>——</v>
      </c>
    </row>
    <row r="59" spans="1:2" ht="15.75" thickTop="1">
      <c r="A59" s="1703" t="s">
        <v>1170</v>
      </c>
      <c r="B59" s="1683" t="str">
        <f>'预评函-2（1）'!B45</f>
        <v>单位：元、元/平方米（单位：人民币）</v>
      </c>
    </row>
    <row r="60" spans="1:2">
      <c r="A60" s="1701" t="s">
        <v>1171</v>
      </c>
      <c r="B60" s="1685" t="str">
        <f>'预评函-2（2）'!D2</f>
        <v>出让国有建设用地使用权价值</v>
      </c>
    </row>
    <row r="61" spans="1:2" s="1697" customFormat="1">
      <c r="A61" s="1701" t="s">
        <v>1172</v>
      </c>
      <c r="B61" s="1685" t="str">
        <f>'预评函-2（2）'!A14</f>
        <v>单位：平方米、元、元/平方米（币种：人民币）</v>
      </c>
    </row>
    <row r="62" spans="1:2" ht="28.5">
      <c r="A62" s="1701" t="s">
        <v>1256</v>
      </c>
      <c r="B62" s="1685">
        <f ca="1">'预评函-2（1）'!D38</f>
        <v>25623</v>
      </c>
    </row>
    <row r="63" spans="1:2" s="1697" customFormat="1" ht="28.5">
      <c r="A63" s="1701" t="s">
        <v>1257</v>
      </c>
      <c r="B63" s="1685" t="str">
        <f>'预评函-2（1）'!D41</f>
        <v>——</v>
      </c>
    </row>
    <row r="64" spans="1:2">
      <c r="A64" s="1701" t="s">
        <v>1180</v>
      </c>
      <c r="B64" s="1685" t="str">
        <f>'预评函-2（2）'!A6</f>
        <v>估价师所知悉的法定优先受偿款</v>
      </c>
    </row>
    <row r="65" spans="1:2">
      <c r="A65" s="1701" t="s">
        <v>1181</v>
      </c>
      <c r="B65" s="1685" t="str">
        <f>'预评函-2（2）'!A8</f>
        <v>房地产抵押价值</v>
      </c>
    </row>
    <row r="66" spans="1:2">
      <c r="A66" s="1701" t="s">
        <v>1182</v>
      </c>
      <c r="B66" s="1685" t="str">
        <f>'预评函-2（2）'!A10</f>
        <v/>
      </c>
    </row>
    <row r="67" spans="1:2" s="1695" customFormat="1" ht="15.75" thickBot="1">
      <c r="A67" s="1702" t="s">
        <v>1183</v>
      </c>
      <c r="B67" s="1686" t="str">
        <f>'预评函-2（2）'!A12</f>
        <v/>
      </c>
    </row>
    <row r="68" spans="1:2" ht="15.75" thickTop="1">
      <c r="A68" s="1704" t="s">
        <v>1184</v>
      </c>
      <c r="B68" s="1690" t="str">
        <f>'预评函-3'!A9</f>
        <v>XX</v>
      </c>
    </row>
    <row r="69" spans="1:2">
      <c r="A69" s="1698" t="s">
        <v>1255</v>
      </c>
    </row>
    <row r="70" spans="1:2">
      <c r="A70" s="1698"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10" zoomScaleNormal="100" zoomScaleSheetLayoutView="110" workbookViewId="0">
      <selection activeCell="C27" sqref="C27:D27"/>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90" t="s">
        <v>1543</v>
      </c>
      <c r="B1" s="1991" t="str">
        <f>IF(B6="北京市","北京市",C6)&amp;IF(E12="房屋所有权证",B28,E28)&amp;D5&amp;"预评估"</f>
        <v>北京市房地产抵押价值预评估</v>
      </c>
      <c r="C1" s="1059"/>
      <c r="D1" s="1992"/>
      <c r="E1" s="1059"/>
      <c r="F1" s="1993" t="s">
        <v>1544</v>
      </c>
      <c r="G1" s="1678"/>
      <c r="I1" s="1016" t="str">
        <f>IF(B6="北京市","北京市",C6)&amp;IF(E12="房屋所有权证",B28,E28)&amp;"房地产"</f>
        <v>北京市房地产</v>
      </c>
    </row>
    <row r="2" spans="1:10" ht="13.5" thickTop="1">
      <c r="A2" s="1994" t="s">
        <v>1545</v>
      </c>
      <c r="B2" s="1084">
        <v>43257</v>
      </c>
      <c r="C2" s="1995" t="s">
        <v>1546</v>
      </c>
      <c r="D2" s="1084">
        <f>B2</f>
        <v>43257</v>
      </c>
      <c r="E2" s="1060"/>
      <c r="F2" s="1060"/>
      <c r="G2" s="1679"/>
      <c r="H2" s="1016"/>
    </row>
    <row r="3" spans="1:10" ht="13.5" thickBot="1">
      <c r="A3" s="1996" t="s">
        <v>1547</v>
      </c>
      <c r="B3" s="1997" t="s">
        <v>2816</v>
      </c>
      <c r="C3" s="1061">
        <f ca="1">SUMIF(注册房地产估价师,B3,估价师及机构信息!B3:B24)</f>
        <v>1120000080</v>
      </c>
      <c r="D3" s="1997" t="s">
        <v>2817</v>
      </c>
      <c r="E3" s="1062">
        <f ca="1">SUMIF(注册房地产估价师,D3,估价师及机构信息!B3:B24)</f>
        <v>1120100036</v>
      </c>
      <c r="F3" s="1063"/>
      <c r="G3" s="1680"/>
      <c r="H3" s="1016"/>
    </row>
    <row r="4" spans="1:10" ht="13.5" customHeight="1" thickTop="1">
      <c r="A4" s="1998" t="s">
        <v>1548</v>
      </c>
      <c r="B4" s="1999"/>
      <c r="C4" s="2000" t="s">
        <v>1549</v>
      </c>
      <c r="D4" s="2001" t="s">
        <v>2819</v>
      </c>
      <c r="E4" s="1060"/>
      <c r="F4" s="1060"/>
      <c r="G4" s="1679"/>
    </row>
    <row r="5" spans="1:10" ht="36">
      <c r="A5" s="2002" t="s">
        <v>1550</v>
      </c>
      <c r="B5" s="2726" t="s">
        <v>2820</v>
      </c>
      <c r="C5" s="2004" t="s">
        <v>1551</v>
      </c>
      <c r="D5" s="2005" t="s">
        <v>2818</v>
      </c>
      <c r="E5" s="2006" t="s">
        <v>1552</v>
      </c>
      <c r="F5" s="2007" t="s">
        <v>2818</v>
      </c>
      <c r="G5" s="2008"/>
      <c r="I5" s="1016" t="str">
        <f>IF(C16="否","截至估价时点，估价对象抵押权未见登记。","截至价值时点，估价对象已设定抵押。")</f>
        <v>截至估价时点，估价对象抵押权未见登记。</v>
      </c>
    </row>
    <row r="6" spans="1:10">
      <c r="A6" s="2009" t="s">
        <v>1553</v>
      </c>
      <c r="B6" s="2010" t="s">
        <v>2821</v>
      </c>
      <c r="C6" s="2011"/>
      <c r="D6" s="2012" t="s">
        <v>1554</v>
      </c>
      <c r="E6" s="1018"/>
      <c r="F6" s="1017"/>
      <c r="G6" s="1070"/>
      <c r="I6" s="1066" t="str">
        <f>IF(COUNTIF(B5,"*上海银行*"),"上海银行","")</f>
        <v/>
      </c>
    </row>
    <row r="7" spans="1:10" ht="13.5" thickBot="1">
      <c r="A7" s="1996" t="s">
        <v>1555</v>
      </c>
      <c r="B7" s="2013" t="s">
        <v>2822</v>
      </c>
      <c r="C7" s="2014" t="str">
        <f>IF(B7="自然人","姓名","名称")</f>
        <v>姓名</v>
      </c>
      <c r="D7" s="2727" t="s">
        <v>2838</v>
      </c>
      <c r="E7" s="1064"/>
      <c r="F7" s="1063"/>
      <c r="G7" s="1680"/>
    </row>
    <row r="8" spans="1:10" ht="26.25" customHeight="1" thickTop="1">
      <c r="A8" s="2793" t="s">
        <v>1556</v>
      </c>
      <c r="B8" s="2015" t="s">
        <v>1557</v>
      </c>
      <c r="C8" s="2806" t="s">
        <v>2837</v>
      </c>
      <c r="D8" s="2807"/>
      <c r="E8" s="2016" t="s">
        <v>1558</v>
      </c>
      <c r="F8" s="2017" t="s">
        <v>1559</v>
      </c>
      <c r="G8" s="690">
        <f>C6</f>
        <v>0</v>
      </c>
    </row>
    <row r="9" spans="1:10" ht="25.5">
      <c r="A9" s="2793"/>
      <c r="B9" s="344" t="s">
        <v>1560</v>
      </c>
      <c r="C9" s="2003"/>
      <c r="D9" s="2018" t="s">
        <v>2823</v>
      </c>
      <c r="E9" s="1006" t="s">
        <v>1561</v>
      </c>
      <c r="F9" s="995" t="s">
        <v>483</v>
      </c>
      <c r="G9" s="1008"/>
    </row>
    <row r="10" spans="1:10" ht="13.5" thickBot="1">
      <c r="A10" s="2793"/>
      <c r="B10" s="344" t="s">
        <v>1562</v>
      </c>
      <c r="C10" s="2808"/>
      <c r="D10" s="2809"/>
      <c r="E10" s="2019" t="s">
        <v>1563</v>
      </c>
      <c r="F10" s="1009" t="s">
        <v>2852</v>
      </c>
      <c r="G10" s="1010"/>
    </row>
    <row r="11" spans="1:10" ht="13.5" thickBot="1">
      <c r="A11" s="2793"/>
      <c r="B11" s="2020" t="s">
        <v>1564</v>
      </c>
      <c r="C11" s="2810"/>
      <c r="D11" s="2811"/>
      <c r="E11" s="1018"/>
      <c r="F11" s="1017"/>
      <c r="G11" s="1070"/>
    </row>
    <row r="12" spans="1:10" ht="24.75" thickBot="1">
      <c r="A12" s="2797" t="s">
        <v>1565</v>
      </c>
      <c r="B12" s="2021" t="s">
        <v>1566</v>
      </c>
      <c r="C12" s="1012">
        <v>573.89</v>
      </c>
      <c r="D12" s="2021" t="s">
        <v>1567</v>
      </c>
      <c r="E12" s="2022" t="s">
        <v>1568</v>
      </c>
      <c r="F12" s="2023" t="s">
        <v>1569</v>
      </c>
      <c r="G12" s="1070"/>
    </row>
    <row r="13" spans="1:10" ht="21" customHeight="1" thickBot="1">
      <c r="A13" s="2798"/>
      <c r="B13" s="2024" t="s">
        <v>1570</v>
      </c>
      <c r="C13" s="1013"/>
      <c r="D13" s="2024" t="s">
        <v>1571</v>
      </c>
      <c r="E13" s="2025" t="s">
        <v>1568</v>
      </c>
      <c r="F13" s="1017"/>
      <c r="G13" s="1070"/>
      <c r="I13" s="2816" t="s">
        <v>1572</v>
      </c>
      <c r="J13" s="2026"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7"/>
      <c r="B14" s="2028" t="s">
        <v>1573</v>
      </c>
      <c r="C14" s="2029"/>
      <c r="D14" s="1017"/>
      <c r="E14" s="1017"/>
      <c r="F14" s="1017"/>
      <c r="G14" s="1070"/>
      <c r="I14" s="2816"/>
      <c r="J14" s="20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0"/>
      <c r="B15" s="2031" t="s">
        <v>1574</v>
      </c>
      <c r="C15" s="1065"/>
      <c r="D15" s="1063"/>
      <c r="E15" s="1063"/>
      <c r="F15" s="1063"/>
      <c r="G15" s="1680"/>
      <c r="I15" s="2816"/>
      <c r="J15" s="202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7" t="s">
        <v>1575</v>
      </c>
      <c r="B16" s="2032" t="s">
        <v>1576</v>
      </c>
      <c r="C16" s="2033" t="s">
        <v>2825</v>
      </c>
      <c r="D16" s="2034" t="s">
        <v>1577</v>
      </c>
      <c r="E16" s="2035"/>
      <c r="F16" s="2036" t="str">
        <f>IF(AND(C16="是",E16="否"),"是否提供他项权证或相关说明","")</f>
        <v/>
      </c>
      <c r="G16" s="2035"/>
      <c r="I16" s="1067"/>
      <c r="J16" s="1016"/>
    </row>
    <row r="17" spans="1:15" ht="13.5" customHeight="1">
      <c r="A17" s="2037" t="s">
        <v>1578</v>
      </c>
      <c r="B17" s="2812" t="s">
        <v>1579</v>
      </c>
      <c r="C17" s="2813"/>
      <c r="D17" s="2814" t="s">
        <v>1580</v>
      </c>
      <c r="E17" s="2815"/>
      <c r="F17" s="2038" t="s">
        <v>1581</v>
      </c>
      <c r="G17" s="2039"/>
      <c r="J17" s="1016"/>
    </row>
    <row r="18" spans="1:15" ht="24">
      <c r="A18" s="2037"/>
      <c r="B18" s="2040" t="s">
        <v>1582</v>
      </c>
      <c r="C18" s="2008" t="s">
        <v>1583</v>
      </c>
      <c r="D18" s="2041" t="s">
        <v>1584</v>
      </c>
      <c r="E18" s="2042" t="s">
        <v>1585</v>
      </c>
      <c r="F18" s="2043"/>
      <c r="G18" s="1864"/>
      <c r="H18" s="1016"/>
      <c r="J18" s="1016"/>
    </row>
    <row r="19" spans="1:15" ht="21.75" customHeight="1" thickBot="1">
      <c r="A19" s="2037"/>
      <c r="B19" s="2044"/>
      <c r="C19" s="2025"/>
      <c r="D19" s="2045"/>
      <c r="E19" s="1017"/>
      <c r="F19" s="1017"/>
      <c r="G19" s="1864"/>
    </row>
    <row r="20" spans="1:15">
      <c r="A20" s="2046" t="s">
        <v>1586</v>
      </c>
      <c r="B20" s="2047" t="s">
        <v>1587</v>
      </c>
      <c r="C20" s="2048"/>
      <c r="D20" s="2049" t="s">
        <v>1587</v>
      </c>
      <c r="E20" s="2048"/>
      <c r="F20" s="1017"/>
      <c r="G20" s="1864"/>
    </row>
    <row r="21" spans="1:15">
      <c r="A21" s="2050"/>
      <c r="B21" s="2051" t="s">
        <v>1588</v>
      </c>
      <c r="C21" s="2052"/>
      <c r="D21" s="2037" t="s">
        <v>1588</v>
      </c>
      <c r="E21" s="2053"/>
      <c r="F21" s="1017"/>
      <c r="G21" s="1864"/>
    </row>
    <row r="22" spans="1:15">
      <c r="A22" s="2050"/>
      <c r="B22" s="2054" t="s">
        <v>1589</v>
      </c>
      <c r="C22" s="2055"/>
      <c r="D22" s="2054" t="s">
        <v>1589</v>
      </c>
      <c r="E22" s="2053"/>
      <c r="F22" s="1017"/>
      <c r="G22" s="1864"/>
    </row>
    <row r="23" spans="1:15" s="1862" customFormat="1" ht="21" thickBot="1">
      <c r="A23" s="2056"/>
      <c r="B23" s="2057" t="s">
        <v>1590</v>
      </c>
      <c r="C23" s="2058"/>
      <c r="D23" s="2057" t="s">
        <v>1591</v>
      </c>
      <c r="E23" s="2059"/>
      <c r="F23" s="1017"/>
      <c r="G23" s="1864"/>
      <c r="H23" s="2060"/>
      <c r="I23" s="1863"/>
      <c r="K23" s="1861"/>
      <c r="L23" s="1861"/>
      <c r="M23" s="1861"/>
      <c r="O23" s="1863"/>
    </row>
    <row r="24" spans="1:15" ht="13.5" thickBot="1">
      <c r="A24" s="1068" t="s">
        <v>1592</v>
      </c>
      <c r="B24" s="1017"/>
      <c r="C24" s="1017"/>
      <c r="D24" s="1017"/>
      <c r="E24" s="1017"/>
      <c r="F24" s="1017"/>
      <c r="G24" s="1865"/>
      <c r="I24" s="1067"/>
      <c r="K24" s="1067"/>
    </row>
    <row r="25" spans="1:15" s="1077" customFormat="1" ht="13.5" thickBot="1">
      <c r="A25" s="994"/>
      <c r="B25" s="2061" t="s">
        <v>1593</v>
      </c>
      <c r="C25" s="994"/>
      <c r="D25" s="1011"/>
      <c r="E25" s="1014" t="s">
        <v>1594</v>
      </c>
      <c r="F25" s="994"/>
      <c r="G25" s="2062" t="s">
        <v>1595</v>
      </c>
      <c r="L25" s="1078"/>
      <c r="M25" s="1078"/>
      <c r="O25" s="1079"/>
    </row>
    <row r="26" spans="1:15" s="1077" customFormat="1" ht="13.5" thickBot="1">
      <c r="A26" s="994"/>
      <c r="B26" s="1085" t="s">
        <v>2826</v>
      </c>
      <c r="C26" s="994"/>
      <c r="D26" s="1011"/>
      <c r="E26" s="1085"/>
      <c r="F26" s="994"/>
      <c r="G26" s="1681"/>
      <c r="L26" s="1078"/>
      <c r="M26" s="1078"/>
      <c r="O26" s="1079"/>
    </row>
    <row r="27" spans="1:15" ht="25.5">
      <c r="A27" s="1003" t="s">
        <v>1596</v>
      </c>
      <c r="B27" s="1000" t="s">
        <v>2839</v>
      </c>
      <c r="C27" s="2800" t="s">
        <v>1596</v>
      </c>
      <c r="D27" s="2801"/>
      <c r="E27" s="1000"/>
      <c r="F27" s="1007" t="s">
        <v>1596</v>
      </c>
      <c r="G27" s="1000"/>
      <c r="I27" s="1067"/>
      <c r="K27" s="1067"/>
    </row>
    <row r="28" spans="1:15" ht="32.25" customHeight="1">
      <c r="A28" s="1004" t="s">
        <v>1597</v>
      </c>
      <c r="B28" s="2736" t="str">
        <f>C8</f>
        <v>通州榆景东路6号院</v>
      </c>
      <c r="C28" s="2802" t="s">
        <v>1598</v>
      </c>
      <c r="D28" s="2803"/>
      <c r="E28" s="978"/>
      <c r="F28" s="1890" t="s">
        <v>1598</v>
      </c>
      <c r="G28" s="978"/>
      <c r="I28" s="1067"/>
      <c r="K28" s="1067"/>
    </row>
    <row r="29" spans="1:15">
      <c r="A29" s="1004" t="s">
        <v>1599</v>
      </c>
      <c r="B29" s="978"/>
      <c r="C29" s="2802" t="s">
        <v>1599</v>
      </c>
      <c r="D29" s="2803"/>
      <c r="E29" s="978"/>
      <c r="F29" s="1890" t="s">
        <v>1600</v>
      </c>
      <c r="G29" s="978"/>
      <c r="I29" s="1067"/>
      <c r="K29" s="1067"/>
    </row>
    <row r="30" spans="1:15">
      <c r="A30" s="1004" t="s">
        <v>1601</v>
      </c>
      <c r="B30" s="978"/>
      <c r="C30" s="2822" t="s">
        <v>1602</v>
      </c>
      <c r="D30" s="2063"/>
      <c r="E30" s="1019" t="str">
        <f>E31&amp;" "&amp;E32&amp;" "&amp;E33&amp;" "&amp;E34</f>
        <v xml:space="preserve">   </v>
      </c>
      <c r="F30" s="1890" t="s">
        <v>1603</v>
      </c>
      <c r="G30" s="978"/>
    </row>
    <row r="31" spans="1:15">
      <c r="A31" s="1004" t="s">
        <v>1604</v>
      </c>
      <c r="B31" s="978"/>
      <c r="C31" s="2823"/>
      <c r="D31" s="1889" t="s">
        <v>1605</v>
      </c>
      <c r="E31" s="978"/>
      <c r="F31" s="1890" t="s">
        <v>1606</v>
      </c>
      <c r="G31" s="978"/>
    </row>
    <row r="32" spans="1:15" ht="24.75" thickBot="1">
      <c r="A32" s="1005" t="s">
        <v>1607</v>
      </c>
      <c r="B32" s="1001"/>
      <c r="C32" s="2823"/>
      <c r="D32" s="1889" t="s">
        <v>1608</v>
      </c>
      <c r="E32" s="978"/>
      <c r="F32" s="1890" t="s">
        <v>1609</v>
      </c>
      <c r="G32" s="978"/>
    </row>
    <row r="33" spans="1:7">
      <c r="A33" s="1003" t="s">
        <v>1610</v>
      </c>
      <c r="B33" s="1000"/>
      <c r="C33" s="2823"/>
      <c r="D33" s="1889" t="s">
        <v>1611</v>
      </c>
      <c r="E33" s="978"/>
      <c r="F33" s="1890" t="s">
        <v>1612</v>
      </c>
      <c r="G33" s="978"/>
    </row>
    <row r="34" spans="1:7" ht="13.5" thickBot="1">
      <c r="A34" s="1004" t="s">
        <v>1613</v>
      </c>
      <c r="B34" s="978"/>
      <c r="C34" s="2824"/>
      <c r="D34" s="1889" t="s">
        <v>1614</v>
      </c>
      <c r="E34" s="978"/>
      <c r="F34" s="1891" t="s">
        <v>1615</v>
      </c>
      <c r="G34" s="1002"/>
    </row>
    <row r="35" spans="1:7">
      <c r="A35" s="1004" t="s">
        <v>1566</v>
      </c>
      <c r="B35" s="978">
        <f>C12</f>
        <v>573.89</v>
      </c>
      <c r="C35" s="2802" t="s">
        <v>1616</v>
      </c>
      <c r="D35" s="2803"/>
      <c r="E35" s="978"/>
      <c r="F35" s="1015" t="s">
        <v>1617</v>
      </c>
      <c r="G35" s="1000"/>
    </row>
    <row r="36" spans="1:7" ht="13.5" thickBot="1">
      <c r="A36" s="1004" t="s">
        <v>1618</v>
      </c>
      <c r="B36" s="978"/>
      <c r="C36" s="2804" t="s">
        <v>1619</v>
      </c>
      <c r="D36" s="2805"/>
      <c r="E36" s="1001"/>
      <c r="F36" s="1887" t="s">
        <v>1620</v>
      </c>
      <c r="G36" s="978"/>
    </row>
    <row r="37" spans="1:7" ht="13.5" thickBot="1">
      <c r="A37" s="1004" t="s">
        <v>1621</v>
      </c>
      <c r="B37" s="978"/>
      <c r="C37" s="2794" t="s">
        <v>1622</v>
      </c>
      <c r="D37" s="2064" t="s">
        <v>1606</v>
      </c>
      <c r="E37" s="1000"/>
      <c r="F37" s="1891" t="s">
        <v>1623</v>
      </c>
      <c r="G37" s="1001"/>
    </row>
    <row r="38" spans="1:7">
      <c r="A38" s="1004" t="s">
        <v>1624</v>
      </c>
      <c r="B38" s="978"/>
      <c r="C38" s="2795"/>
      <c r="D38" s="1889" t="s">
        <v>1613</v>
      </c>
      <c r="E38" s="978"/>
      <c r="F38" s="1007" t="s">
        <v>1625</v>
      </c>
      <c r="G38" s="1000"/>
    </row>
    <row r="39" spans="1:7">
      <c r="A39" s="1004" t="s">
        <v>1626</v>
      </c>
      <c r="B39" s="978"/>
      <c r="C39" s="2795" t="s">
        <v>1627</v>
      </c>
      <c r="D39" s="1889" t="s">
        <v>1566</v>
      </c>
      <c r="E39" s="978"/>
      <c r="F39" s="1890" t="s">
        <v>1628</v>
      </c>
      <c r="G39" s="978"/>
    </row>
    <row r="40" spans="1:7" ht="24.75" customHeight="1" thickBot="1">
      <c r="A40" s="1005" t="s">
        <v>1629</v>
      </c>
      <c r="B40" s="1001"/>
      <c r="C40" s="2796"/>
      <c r="D40" s="1892" t="s">
        <v>1570</v>
      </c>
      <c r="E40" s="1001"/>
      <c r="F40" s="1891" t="s">
        <v>1630</v>
      </c>
      <c r="G40" s="1001"/>
    </row>
    <row r="41" spans="1:7">
      <c r="A41" s="1006" t="s">
        <v>1631</v>
      </c>
      <c r="B41" s="1056"/>
      <c r="C41" s="2817" t="s">
        <v>1631</v>
      </c>
      <c r="D41" s="2818"/>
      <c r="E41" s="1056"/>
      <c r="F41" s="1007" t="s">
        <v>1632</v>
      </c>
      <c r="G41" s="1056"/>
    </row>
    <row r="42" spans="1:7">
      <c r="A42" s="1053" t="s">
        <v>1633</v>
      </c>
      <c r="B42" s="1057"/>
      <c r="C42" s="2065"/>
      <c r="D42" s="2066"/>
      <c r="E42" s="1057"/>
      <c r="F42" s="1055"/>
      <c r="G42" s="1057"/>
    </row>
    <row r="43" spans="1:7">
      <c r="A43" s="94" t="s">
        <v>1587</v>
      </c>
      <c r="B43" s="1054"/>
      <c r="C43" s="2065"/>
      <c r="D43" s="2067" t="s">
        <v>1587</v>
      </c>
      <c r="E43" s="1054"/>
      <c r="F43" s="94" t="s">
        <v>1587</v>
      </c>
      <c r="G43" s="1054"/>
    </row>
    <row r="44" spans="1:7">
      <c r="A44" s="94" t="s">
        <v>1588</v>
      </c>
      <c r="B44" s="1054"/>
      <c r="C44" s="2065"/>
      <c r="D44" s="2051" t="s">
        <v>1588</v>
      </c>
      <c r="E44" s="1054"/>
      <c r="F44" s="94" t="s">
        <v>1588</v>
      </c>
      <c r="G44" s="1054"/>
    </row>
    <row r="45" spans="1:7">
      <c r="A45" s="94" t="s">
        <v>1589</v>
      </c>
      <c r="B45" s="1054"/>
      <c r="C45" s="2065"/>
      <c r="D45" s="2051" t="s">
        <v>1589</v>
      </c>
      <c r="E45" s="1054"/>
      <c r="F45" s="94" t="s">
        <v>1589</v>
      </c>
      <c r="G45" s="1054"/>
    </row>
    <row r="46" spans="1:7">
      <c r="A46" s="94" t="s">
        <v>1590</v>
      </c>
      <c r="B46" s="1054"/>
      <c r="C46" s="2065"/>
      <c r="D46" s="2051" t="s">
        <v>1590</v>
      </c>
      <c r="E46" s="1054"/>
      <c r="F46" s="94" t="s">
        <v>1590</v>
      </c>
      <c r="G46" s="1054"/>
    </row>
    <row r="47" spans="1:7">
      <c r="A47" s="1053"/>
      <c r="B47" s="1054"/>
      <c r="C47" s="2065"/>
      <c r="D47" s="2066"/>
      <c r="E47" s="1054"/>
      <c r="F47" s="1055"/>
      <c r="G47" s="1054"/>
    </row>
    <row r="48" spans="1:7" ht="13.5" thickBot="1">
      <c r="A48" s="1005" t="s">
        <v>1634</v>
      </c>
      <c r="B48" s="1001"/>
      <c r="C48" s="2819" t="s">
        <v>1634</v>
      </c>
      <c r="D48" s="2820"/>
      <c r="E48" s="1051"/>
      <c r="F48" s="1891" t="s">
        <v>1635</v>
      </c>
      <c r="G48" s="1001"/>
    </row>
    <row r="49" spans="1:15">
      <c r="A49" s="1004" t="s">
        <v>1636</v>
      </c>
      <c r="B49" s="1050"/>
      <c r="C49" s="2794" t="s">
        <v>1637</v>
      </c>
      <c r="D49" s="2821"/>
      <c r="E49" s="1052"/>
      <c r="F49" s="1080"/>
      <c r="G49" s="1081"/>
    </row>
    <row r="50" spans="1:15" ht="13.5" thickBot="1">
      <c r="A50" s="1004" t="s">
        <v>1638</v>
      </c>
      <c r="B50" s="1050"/>
      <c r="C50" s="2796" t="s">
        <v>1639</v>
      </c>
      <c r="D50" s="2799"/>
      <c r="E50" s="1001"/>
      <c r="F50" s="1017"/>
      <c r="G50" s="1070"/>
    </row>
    <row r="51" spans="1:15">
      <c r="A51" s="1004" t="s">
        <v>1617</v>
      </c>
      <c r="B51" s="978"/>
      <c r="C51" s="1017"/>
      <c r="D51" s="1017"/>
      <c r="E51" s="1017"/>
      <c r="F51" s="1017"/>
      <c r="G51" s="1070"/>
    </row>
    <row r="52" spans="1:15" ht="24.75" thickBot="1">
      <c r="A52" s="1005" t="s">
        <v>1640</v>
      </c>
      <c r="B52" s="1002"/>
      <c r="C52" s="1069"/>
      <c r="D52" s="1069"/>
      <c r="E52" s="1069"/>
      <c r="F52" s="1069"/>
      <c r="G52" s="1071"/>
    </row>
    <row r="53" spans="1:15">
      <c r="A53" s="984"/>
      <c r="B53" s="984"/>
      <c r="C53" s="984"/>
      <c r="D53" s="984"/>
      <c r="E53" s="984"/>
      <c r="F53" s="984"/>
      <c r="G53" s="984"/>
    </row>
    <row r="54" spans="1:15">
      <c r="C54" s="984"/>
      <c r="D54" s="984"/>
      <c r="E54" s="984"/>
      <c r="F54" s="984"/>
      <c r="G54" s="984"/>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5" t="s">
        <v>0</v>
      </c>
      <c r="B1" s="2825" t="s">
        <v>2</v>
      </c>
      <c r="C1" s="2825" t="s">
        <v>3</v>
      </c>
      <c r="D1" s="2826" t="s">
        <v>67</v>
      </c>
      <c r="E1" s="2826" t="s">
        <v>68</v>
      </c>
      <c r="F1" s="2826"/>
      <c r="G1" s="2826"/>
      <c r="H1" s="2826"/>
      <c r="I1" s="2826"/>
      <c r="J1" s="2826"/>
      <c r="K1" s="2826"/>
      <c r="L1" s="2826"/>
      <c r="M1" s="2826"/>
    </row>
    <row r="2" spans="1:13" ht="27" customHeight="1">
      <c r="A2" s="2825"/>
      <c r="B2" s="2825"/>
      <c r="C2" s="2825"/>
      <c r="D2" s="2826"/>
      <c r="E2" s="2826" t="s">
        <v>51</v>
      </c>
      <c r="F2" s="2826" t="s">
        <v>52</v>
      </c>
      <c r="G2" s="2826"/>
      <c r="H2" s="2826"/>
      <c r="I2" s="2826"/>
      <c r="J2" s="2826" t="s">
        <v>53</v>
      </c>
      <c r="K2" s="2826"/>
      <c r="L2" s="2826"/>
      <c r="M2" s="2826"/>
    </row>
    <row r="3" spans="1:13" ht="28.5">
      <c r="A3" s="2825"/>
      <c r="B3" s="2825"/>
      <c r="C3" s="2825"/>
      <c r="D3" s="2826"/>
      <c r="E3" s="282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6" t="s">
        <v>69</v>
      </c>
      <c r="B9" s="2826"/>
      <c r="C9" s="282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H29" sqref="H29"/>
    </sheetView>
  </sheetViews>
  <sheetFormatPr defaultColWidth="13.75" defaultRowHeight="12.75"/>
  <cols>
    <col min="1" max="1" width="20.875" style="2121" customWidth="1"/>
    <col min="2" max="2" width="16.75" style="2069" customWidth="1"/>
    <col min="3" max="3" width="10.75" style="2069" customWidth="1"/>
    <col min="4" max="4" width="31.625" style="2122" customWidth="1"/>
    <col min="5" max="5" width="17.625" style="2122" customWidth="1"/>
    <col min="6" max="8" width="9.125" style="1849" customWidth="1"/>
    <col min="9" max="9" width="15" style="1233" bestFit="1" customWidth="1"/>
    <col min="10" max="14" width="8.875" style="1233" customWidth="1"/>
    <col min="15" max="16" width="12.375" style="84"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1641</v>
      </c>
      <c r="B1" s="1233"/>
      <c r="C1" s="1233"/>
      <c r="D1" s="1849"/>
      <c r="E1" s="1849"/>
      <c r="AE1" s="1233"/>
      <c r="AF1" s="1233"/>
      <c r="AG1" s="1233"/>
      <c r="AH1" s="1233"/>
      <c r="AI1" s="1233"/>
      <c r="AJ1" s="1233"/>
      <c r="AK1" s="1233"/>
      <c r="AL1" s="1233"/>
      <c r="AM1" s="1233"/>
      <c r="AN1" s="1233"/>
      <c r="AO1" s="1233"/>
    </row>
    <row r="2" spans="1:41" s="2073" customFormat="1" ht="15.75" thickBot="1">
      <c r="A2" s="2070" t="s">
        <v>1642</v>
      </c>
      <c r="B2" s="1205">
        <f>项目基本情况!D2</f>
        <v>43257</v>
      </c>
      <c r="C2" s="1851"/>
      <c r="D2" s="2827" t="s">
        <v>1643</v>
      </c>
      <c r="E2" s="2071"/>
      <c r="F2" s="2072"/>
      <c r="G2" s="2072"/>
      <c r="H2" s="2072"/>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3" customFormat="1" ht="15" customHeight="1" thickBot="1">
      <c r="A3" s="387" t="s">
        <v>1644</v>
      </c>
      <c r="B3" s="2074" t="s">
        <v>2827</v>
      </c>
      <c r="C3" s="1851"/>
      <c r="D3" s="2828"/>
      <c r="E3" s="1184" t="s">
        <v>1645</v>
      </c>
      <c r="F3" s="2072"/>
      <c r="G3" s="2072"/>
      <c r="H3" s="2072"/>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3" customFormat="1" ht="15" thickBot="1">
      <c r="A4" s="1481" t="s">
        <v>1646</v>
      </c>
      <c r="B4" s="2074" t="s">
        <v>2828</v>
      </c>
      <c r="C4" s="1851"/>
      <c r="D4" s="2828"/>
      <c r="E4" s="1184"/>
      <c r="F4" s="2072"/>
      <c r="G4" s="2072"/>
      <c r="H4" s="2072"/>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3" customFormat="1" ht="15.75" thickBot="1">
      <c r="A5" s="2075" t="s">
        <v>1647</v>
      </c>
      <c r="B5" s="1314">
        <f>项目基本情况!C12</f>
        <v>573.89</v>
      </c>
      <c r="C5" s="1851"/>
      <c r="D5" s="2076" t="s">
        <v>1648</v>
      </c>
      <c r="E5" s="393">
        <f>B5</f>
        <v>573.89</v>
      </c>
      <c r="F5" s="2072"/>
      <c r="G5" s="2072"/>
      <c r="H5" s="2072"/>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3" customFormat="1" ht="15.75" thickBot="1">
      <c r="A6" s="2077" t="s">
        <v>1649</v>
      </c>
      <c r="B6" s="1315">
        <f>项目基本情况!C13</f>
        <v>0</v>
      </c>
      <c r="C6" s="1851"/>
      <c r="D6" s="2076" t="s">
        <v>1650</v>
      </c>
      <c r="E6" s="393"/>
      <c r="F6" s="2072"/>
      <c r="G6" s="2072"/>
      <c r="H6" s="2072"/>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3" customFormat="1" ht="15">
      <c r="A7" s="2078"/>
      <c r="B7" s="1851"/>
      <c r="C7" s="1851"/>
      <c r="D7" s="2079"/>
      <c r="E7" s="2079"/>
      <c r="F7" s="2072"/>
      <c r="G7" s="2072"/>
      <c r="H7" s="2072"/>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3" customFormat="1" ht="15">
      <c r="A8" s="2078"/>
      <c r="B8" s="1851"/>
      <c r="C8" s="1851"/>
      <c r="D8" s="2079"/>
      <c r="E8" s="2079"/>
      <c r="F8" s="2072"/>
      <c r="G8" s="2072"/>
      <c r="H8" s="2072"/>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3" customFormat="1" ht="15" thickBot="1">
      <c r="A9" s="1851"/>
      <c r="B9" s="1851"/>
      <c r="C9" s="1851"/>
      <c r="D9" s="2072"/>
      <c r="E9" s="2072"/>
      <c r="F9" s="2072"/>
      <c r="G9" s="2072"/>
      <c r="H9" s="2072"/>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3" customFormat="1" ht="15" thickBot="1">
      <c r="A10" s="2080" t="s">
        <v>1651</v>
      </c>
      <c r="B10" s="2738" t="s">
        <v>2853</v>
      </c>
      <c r="C10" s="1851"/>
      <c r="D10" s="2070" t="s">
        <v>1652</v>
      </c>
      <c r="E10" s="2081" t="s">
        <v>1653</v>
      </c>
      <c r="F10" s="1141" t="s">
        <v>1654</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5" customFormat="1" ht="14.25">
      <c r="A11" s="2082" t="s">
        <v>1655</v>
      </c>
      <c r="B11" s="2739">
        <v>50</v>
      </c>
      <c r="C11" s="1851"/>
      <c r="D11" s="2083" t="s">
        <v>1656</v>
      </c>
      <c r="E11" s="34">
        <v>160</v>
      </c>
      <c r="F11" s="1850" t="s">
        <v>1657</v>
      </c>
      <c r="G11" s="1851"/>
      <c r="H11" s="1851"/>
      <c r="I11" s="1851"/>
      <c r="J11" s="1851"/>
      <c r="K11" s="1851"/>
      <c r="L11" s="2084"/>
      <c r="M11" s="2084"/>
      <c r="N11" s="2084"/>
      <c r="O11" s="2084"/>
      <c r="P11" s="2084"/>
      <c r="Q11" s="2084"/>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3" customFormat="1" ht="15">
      <c r="A12" s="2086" t="s">
        <v>1658</v>
      </c>
      <c r="B12" s="2740">
        <v>58954</v>
      </c>
      <c r="C12" s="1851"/>
      <c r="D12" s="2087" t="s">
        <v>1659</v>
      </c>
      <c r="E12" s="37">
        <v>200</v>
      </c>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3" customFormat="1" ht="15" thickBot="1">
      <c r="A13" s="2088" t="s">
        <v>1660</v>
      </c>
      <c r="B13" s="990">
        <f>IF(B12="",B11-(YEAR($B$2)-B26+B23),ROUNDDOWN(MIN((B12-$B$2)/365,B11),2))</f>
        <v>43</v>
      </c>
      <c r="C13" s="2089"/>
      <c r="D13" s="2090" t="s">
        <v>1661</v>
      </c>
      <c r="E13" s="39">
        <f>ROUND(E12*B5/10000,0)</f>
        <v>11</v>
      </c>
      <c r="F13" s="1845" t="s">
        <v>1662</v>
      </c>
      <c r="G13" s="1851"/>
      <c r="H13" s="1851"/>
      <c r="I13" s="1851"/>
      <c r="J13" s="1851"/>
      <c r="K13" s="1851"/>
      <c r="L13" s="1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3" customFormat="1" ht="14.25">
      <c r="A14" s="2086" t="s">
        <v>1663</v>
      </c>
      <c r="B14" s="991">
        <f>IF(ISERROR(ROUND(POWER(1+B15,B11-B13)*(POWER(1+B15,B13)-1)/(POWER(1+B15,B11)-1),3)),0,ROUND(POWER(1+B15,B11-B13)*(POWER(1+B15,B13)-1)/(POWER(1+B15,B11)-1),3))</f>
        <v>0.96599999999999997</v>
      </c>
      <c r="C14" s="1851"/>
      <c r="D14" s="2091" t="s">
        <v>1664</v>
      </c>
      <c r="E14" s="709">
        <v>200</v>
      </c>
      <c r="F14" s="1844"/>
      <c r="G14" s="1851"/>
      <c r="H14" s="1851"/>
      <c r="I14" s="1851"/>
      <c r="J14" s="1851"/>
      <c r="K14" s="1851"/>
      <c r="L14" s="1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3" customFormat="1" ht="14.25">
      <c r="A15" s="2086" t="s">
        <v>1665</v>
      </c>
      <c r="B15" s="30">
        <v>5.5E-2</v>
      </c>
      <c r="C15" s="1851"/>
      <c r="D15" s="2087" t="s">
        <v>1666</v>
      </c>
      <c r="E15" s="38">
        <f>E14-E16</f>
        <v>200</v>
      </c>
      <c r="F15" s="1846"/>
      <c r="G15" s="1851"/>
      <c r="H15" s="1851"/>
      <c r="I15" s="1851"/>
      <c r="J15" s="1851"/>
      <c r="K15" s="1851"/>
      <c r="L15" s="1851"/>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3" customFormat="1" ht="15" thickBot="1">
      <c r="A16" s="2086" t="s">
        <v>1667</v>
      </c>
      <c r="B16" s="30">
        <v>0.06</v>
      </c>
      <c r="C16" s="1851"/>
      <c r="D16" s="2092" t="s">
        <v>1668</v>
      </c>
      <c r="E16" s="710">
        <v>0</v>
      </c>
      <c r="F16" s="1847"/>
      <c r="G16" s="1851"/>
      <c r="H16" s="1851"/>
      <c r="I16" s="1851"/>
      <c r="J16" s="1851"/>
      <c r="K16" s="1851"/>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3" customFormat="1" ht="15" thickBot="1">
      <c r="A17" s="2093" t="s">
        <v>1669</v>
      </c>
      <c r="B17" s="996">
        <v>8.5000000000000006E-2</v>
      </c>
      <c r="C17" s="1851"/>
      <c r="D17" s="2080" t="s">
        <v>1670</v>
      </c>
      <c r="E17" s="985">
        <v>4000</v>
      </c>
      <c r="F17" s="1233"/>
      <c r="G17" s="1851"/>
      <c r="H17" s="1851"/>
      <c r="I17" s="1851"/>
      <c r="J17" s="1851"/>
      <c r="K17" s="1851"/>
      <c r="L17" s="1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3" customFormat="1" ht="15" thickBot="1">
      <c r="A18" s="1851"/>
      <c r="B18" s="1851"/>
      <c r="C18" s="1851"/>
      <c r="D18" s="2094" t="str">
        <f>IF(B25=0,"建安总额","在建建安")</f>
        <v>建安总额</v>
      </c>
      <c r="E18" s="986">
        <f>ROUND(B5*E17*IF(B25=0,1,E20),0)</f>
        <v>2295560</v>
      </c>
      <c r="F18" s="1316">
        <f>ROUND(E5*E17*IF(B25=0,1,E20),0)</f>
        <v>2295560</v>
      </c>
      <c r="G18" s="1851"/>
      <c r="H18" s="1851"/>
      <c r="I18" s="1851"/>
      <c r="J18" s="1851"/>
      <c r="K18" s="1851"/>
      <c r="L18" s="1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3" customFormat="1" ht="15" thickBot="1">
      <c r="A19" s="25" t="s">
        <v>1671</v>
      </c>
      <c r="B19" s="1851"/>
      <c r="C19" s="1851"/>
      <c r="D19" s="2094" t="str">
        <f>IF(B25=0,"——","续建建安")</f>
        <v>——</v>
      </c>
      <c r="E19" s="986" t="str">
        <f>IF(B25=0,"——",ROUND(B5*E17*(1-E20),0))</f>
        <v>——</v>
      </c>
      <c r="F19" s="1316" t="str">
        <f>IF(B25=0,"——",ROUND(E5*E17*(1-E20),0))</f>
        <v>——</v>
      </c>
      <c r="G19" s="1851"/>
      <c r="H19" s="1851"/>
      <c r="I19" s="1851"/>
      <c r="J19" s="1851"/>
      <c r="K19" s="1851"/>
      <c r="L19" s="1851"/>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3" customFormat="1" ht="15" thickBot="1">
      <c r="A20" s="2095" t="s">
        <v>1672</v>
      </c>
      <c r="B20" s="31">
        <v>0</v>
      </c>
      <c r="C20" s="1851"/>
      <c r="D20" s="2096" t="str">
        <f>IF(B25=0,"成新率","工程进度")</f>
        <v>成新率</v>
      </c>
      <c r="E20" s="987">
        <f>ROUND(1-(2018-B26)/60,2)</f>
        <v>0.9</v>
      </c>
      <c r="F20" s="1233"/>
      <c r="G20" s="1851"/>
      <c r="H20" s="1851"/>
      <c r="I20" s="1851"/>
      <c r="J20" s="1851"/>
      <c r="K20" s="1851"/>
      <c r="L20" s="1851"/>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3" customFormat="1" ht="14.25">
      <c r="A21" s="2097" t="s">
        <v>1673</v>
      </c>
      <c r="B21" s="32">
        <v>1</v>
      </c>
      <c r="C21" s="1851"/>
      <c r="D21" s="2087" t="s">
        <v>1674</v>
      </c>
      <c r="E21" s="711">
        <v>0.05</v>
      </c>
      <c r="F21" s="1848" t="s">
        <v>1675</v>
      </c>
      <c r="G21" s="1851"/>
      <c r="H21" s="1851"/>
      <c r="I21" s="1851"/>
      <c r="J21" s="1851"/>
      <c r="K21" s="1851"/>
      <c r="L21" s="1851"/>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3" customFormat="1" ht="14.25">
      <c r="A22" s="2098" t="s">
        <v>1676</v>
      </c>
      <c r="B22" s="1450">
        <v>1</v>
      </c>
      <c r="C22" s="1851"/>
      <c r="D22" s="2087" t="s">
        <v>1677</v>
      </c>
      <c r="E22" s="40">
        <v>0</v>
      </c>
      <c r="F22" s="1848" t="s">
        <v>1678</v>
      </c>
      <c r="G22" s="1851"/>
      <c r="H22" s="1851"/>
      <c r="I22" s="1851"/>
      <c r="J22" s="1851"/>
      <c r="K22" s="1851"/>
      <c r="L22" s="1851"/>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3" customFormat="1" ht="15" thickBot="1">
      <c r="A23" s="2099" t="s">
        <v>1679</v>
      </c>
      <c r="B23" s="33">
        <f>B20+B21</f>
        <v>1</v>
      </c>
      <c r="C23" s="1851"/>
      <c r="D23" s="2087" t="s">
        <v>1680</v>
      </c>
      <c r="E23" s="37">
        <v>200</v>
      </c>
      <c r="F23" s="1848" t="s">
        <v>1681</v>
      </c>
      <c r="G23" s="1851"/>
      <c r="H23" s="1851"/>
      <c r="I23" s="1851"/>
      <c r="J23" s="1851"/>
      <c r="K23" s="1851"/>
      <c r="L23" s="1851"/>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3" customFormat="1" ht="15" thickBot="1">
      <c r="A24" s="2100" t="s">
        <v>1682</v>
      </c>
      <c r="B24" s="1738">
        <f>B20+B22</f>
        <v>1</v>
      </c>
      <c r="C24" s="1851"/>
      <c r="D24" s="2092" t="s">
        <v>1683</v>
      </c>
      <c r="E24" s="1814">
        <v>1.4999999999999999E-2</v>
      </c>
      <c r="F24" s="1848" t="s">
        <v>1684</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099" t="s">
        <v>1685</v>
      </c>
      <c r="B25" s="1449">
        <f>B21-B22</f>
        <v>0</v>
      </c>
      <c r="C25" s="1233"/>
      <c r="D25" s="2083" t="s">
        <v>1686</v>
      </c>
      <c r="E25" s="711">
        <v>0.02</v>
      </c>
      <c r="F25" s="1848" t="s">
        <v>1687</v>
      </c>
      <c r="I25" s="1849"/>
      <c r="AE25" s="1233"/>
      <c r="AF25" s="1233"/>
      <c r="AG25" s="1233"/>
      <c r="AH25" s="1233"/>
      <c r="AI25" s="1233"/>
      <c r="AJ25" s="1233"/>
      <c r="AK25" s="1233"/>
      <c r="AL25" s="1233"/>
      <c r="AM25" s="1233"/>
      <c r="AN25" s="1233"/>
      <c r="AO25" s="1233"/>
    </row>
    <row r="26" spans="1:41" ht="15.75" thickBot="1">
      <c r="A26" s="2101" t="s">
        <v>1688</v>
      </c>
      <c r="B26" s="1090">
        <v>2012</v>
      </c>
      <c r="C26" s="1851"/>
      <c r="D26" s="2087" t="s">
        <v>1689</v>
      </c>
      <c r="E26" s="40">
        <v>0.02</v>
      </c>
      <c r="F26" s="1848" t="s">
        <v>1687</v>
      </c>
      <c r="G26" s="2072"/>
      <c r="H26" s="2072"/>
      <c r="I26" s="1851"/>
      <c r="J26" s="1851"/>
      <c r="K26" s="1851"/>
      <c r="L26" s="1851"/>
      <c r="M26" s="1851"/>
      <c r="N26" s="1851"/>
      <c r="AE26" s="1233"/>
      <c r="AF26" s="1233"/>
      <c r="AG26" s="1233"/>
      <c r="AH26" s="1233"/>
      <c r="AI26" s="1233"/>
      <c r="AJ26" s="1233"/>
      <c r="AK26" s="1233"/>
      <c r="AL26" s="1233"/>
      <c r="AM26" s="1233"/>
      <c r="AN26" s="1233"/>
      <c r="AO26" s="1233"/>
    </row>
    <row r="27" spans="1:41" ht="15" thickBot="1">
      <c r="A27" s="1233"/>
      <c r="B27" s="1233"/>
      <c r="C27" s="1233"/>
      <c r="D27" s="2087" t="s">
        <v>1690</v>
      </c>
      <c r="E27" s="352">
        <f ca="1">存贷款利率!G1</f>
        <v>4.3499999999999997E-2</v>
      </c>
      <c r="F27" s="1848" t="s">
        <v>1691</v>
      </c>
      <c r="G27" s="2072"/>
      <c r="H27" s="2072"/>
      <c r="K27" s="1851"/>
      <c r="N27" s="1851"/>
      <c r="AE27" s="1233"/>
      <c r="AF27" s="1233"/>
      <c r="AG27" s="1233"/>
      <c r="AH27" s="1233"/>
      <c r="AI27" s="1233"/>
      <c r="AJ27" s="1233"/>
      <c r="AK27" s="1233"/>
      <c r="AL27" s="1233"/>
      <c r="AM27" s="1233"/>
      <c r="AN27" s="1233"/>
      <c r="AO27" s="1233"/>
    </row>
    <row r="28" spans="1:41" ht="15" thickBot="1">
      <c r="A28" s="2102" t="s">
        <v>1692</v>
      </c>
      <c r="B28" s="2103" t="s">
        <v>2829</v>
      </c>
      <c r="C28" s="1233"/>
      <c r="D28" s="2104" t="s">
        <v>1693</v>
      </c>
      <c r="E28" s="989">
        <v>0.2</v>
      </c>
      <c r="G28" s="2072"/>
      <c r="H28" s="2072"/>
      <c r="K28" s="1851"/>
      <c r="N28" s="1851"/>
      <c r="AE28" s="1233"/>
      <c r="AF28" s="1233"/>
      <c r="AG28" s="1233"/>
      <c r="AH28" s="1233"/>
      <c r="AI28" s="1233"/>
      <c r="AJ28" s="1233"/>
      <c r="AK28" s="1233"/>
      <c r="AL28" s="1233"/>
      <c r="AM28" s="1233"/>
      <c r="AN28" s="1233"/>
      <c r="AO28" s="1233"/>
    </row>
    <row r="29" spans="1:41" ht="14.25">
      <c r="A29" s="2086" t="str">
        <f>IF(B28="租赁期内按合同租金","合同租金","市场租金")</f>
        <v>市场租金</v>
      </c>
      <c r="B29" s="29">
        <v>2.2999999999999998</v>
      </c>
      <c r="C29" s="1233"/>
      <c r="D29" s="2091" t="s">
        <v>1694</v>
      </c>
      <c r="E29" s="988">
        <f>E30+E31</f>
        <v>5.5000000000000007E-2</v>
      </c>
      <c r="F29" s="1845"/>
      <c r="G29" s="2072"/>
      <c r="H29" s="2072"/>
      <c r="K29" s="1851"/>
      <c r="N29" s="1851"/>
      <c r="AE29" s="1233"/>
      <c r="AF29" s="1233"/>
      <c r="AG29" s="1233"/>
      <c r="AH29" s="1233"/>
      <c r="AI29" s="1233"/>
      <c r="AJ29" s="1233"/>
      <c r="AK29" s="1233"/>
      <c r="AL29" s="1233"/>
      <c r="AM29" s="1233"/>
      <c r="AN29" s="1233"/>
      <c r="AO29" s="1233"/>
    </row>
    <row r="30" spans="1:41" ht="14.25">
      <c r="A30" s="2086" t="s">
        <v>1695</v>
      </c>
      <c r="B30" s="1415">
        <f ca="1">存贷款利率!I1</f>
        <v>1.4999999999999999E-2</v>
      </c>
      <c r="C30" s="1233"/>
      <c r="D30" s="2105" t="s">
        <v>1696</v>
      </c>
      <c r="E30" s="41">
        <v>0.05</v>
      </c>
      <c r="F30" s="1856">
        <f>IF(B2&lt;DATE(2016,5,1),0,E30)</f>
        <v>0.05</v>
      </c>
      <c r="G30" s="2072"/>
      <c r="H30" s="2072"/>
      <c r="K30" s="1851"/>
      <c r="N30" s="1851"/>
      <c r="AE30" s="1233"/>
      <c r="AF30" s="1233"/>
      <c r="AG30" s="1233"/>
      <c r="AH30" s="1233"/>
      <c r="AI30" s="1233"/>
      <c r="AJ30" s="1233"/>
      <c r="AK30" s="1233"/>
      <c r="AL30" s="1233"/>
      <c r="AM30" s="1233"/>
      <c r="AN30" s="1233"/>
      <c r="AO30" s="1233"/>
    </row>
    <row r="31" spans="1:41" ht="14.25">
      <c r="A31" s="2086" t="s">
        <v>1697</v>
      </c>
      <c r="B31" s="30">
        <v>0.02</v>
      </c>
      <c r="C31" s="1233"/>
      <c r="D31" s="2105" t="s">
        <v>1698</v>
      </c>
      <c r="E31" s="42">
        <f>E30*(E32+E33+E34)+E35</f>
        <v>5.000000000000001E-3</v>
      </c>
      <c r="F31" s="1845"/>
      <c r="G31" s="2072"/>
      <c r="H31" s="2072"/>
      <c r="K31" s="1851"/>
      <c r="N31" s="1851"/>
      <c r="AE31" s="1233"/>
      <c r="AF31" s="1233"/>
      <c r="AG31" s="1233"/>
      <c r="AH31" s="1233"/>
      <c r="AI31" s="1233"/>
      <c r="AJ31" s="1233"/>
      <c r="AK31" s="1233"/>
      <c r="AL31" s="1233"/>
      <c r="AM31" s="1233"/>
      <c r="AN31" s="1233"/>
      <c r="AO31" s="1233"/>
    </row>
    <row r="32" spans="1:41" ht="14.25">
      <c r="A32" s="2086" t="s">
        <v>1699</v>
      </c>
      <c r="B32" s="30">
        <v>0.1</v>
      </c>
      <c r="C32" s="1233"/>
      <c r="D32" s="2106" t="s">
        <v>1700</v>
      </c>
      <c r="E32" s="43">
        <v>0.05</v>
      </c>
      <c r="F32" s="1843" t="s">
        <v>1701</v>
      </c>
      <c r="G32" s="2072"/>
      <c r="H32" s="2072"/>
      <c r="K32" s="1851"/>
      <c r="L32" s="1851"/>
      <c r="M32" s="1851"/>
      <c r="N32" s="1851"/>
      <c r="AE32" s="1233"/>
      <c r="AF32" s="1233"/>
      <c r="AG32" s="1233"/>
      <c r="AH32" s="1233"/>
      <c r="AI32" s="1233"/>
      <c r="AJ32" s="1233"/>
      <c r="AK32" s="1233"/>
      <c r="AL32" s="1233"/>
      <c r="AM32" s="1233"/>
      <c r="AN32" s="1233"/>
      <c r="AO32" s="1233"/>
    </row>
    <row r="33" spans="1:41" ht="14.25">
      <c r="A33" s="2086" t="s">
        <v>1702</v>
      </c>
      <c r="B33" s="1376">
        <f>收益法!J54</f>
        <v>43</v>
      </c>
      <c r="C33" s="1233"/>
      <c r="D33" s="2106" t="s">
        <v>1703</v>
      </c>
      <c r="E33" s="41">
        <v>0.03</v>
      </c>
      <c r="F33" s="1842" t="s">
        <v>1704</v>
      </c>
      <c r="G33" s="2072"/>
      <c r="H33" s="2072"/>
      <c r="K33" s="1851"/>
      <c r="L33" s="1851"/>
      <c r="M33" s="1851"/>
      <c r="N33" s="1851"/>
      <c r="AE33" s="1233"/>
      <c r="AF33" s="1233"/>
      <c r="AG33" s="1233"/>
      <c r="AH33" s="1233"/>
      <c r="AI33" s="1233"/>
      <c r="AJ33" s="1233"/>
      <c r="AK33" s="1233"/>
      <c r="AL33" s="1233"/>
      <c r="AM33" s="1233"/>
      <c r="AN33" s="1233"/>
      <c r="AO33" s="1233"/>
    </row>
    <row r="34" spans="1:41" s="2108" customFormat="1" ht="15" thickBot="1">
      <c r="A34" s="2105" t="str">
        <f>IF(B28="租赁期内按合同租金","剩余租赁期","——")</f>
        <v>——</v>
      </c>
      <c r="B34" s="997"/>
      <c r="C34" s="1233"/>
      <c r="D34" s="2106" t="s">
        <v>1705</v>
      </c>
      <c r="E34" s="41">
        <v>0.02</v>
      </c>
      <c r="F34" s="1842" t="s">
        <v>1706</v>
      </c>
      <c r="G34" s="2107"/>
      <c r="H34" s="2107"/>
      <c r="I34" s="1844"/>
      <c r="J34" s="1844"/>
      <c r="K34" s="1851"/>
      <c r="L34" s="1851"/>
      <c r="M34" s="1851"/>
      <c r="N34" s="1851"/>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08" customFormat="1" ht="15.75" thickBot="1">
      <c r="A35" s="2109" t="s">
        <v>1707</v>
      </c>
      <c r="B35" s="993"/>
      <c r="C35" s="1233"/>
      <c r="D35" s="2110" t="s">
        <v>1708</v>
      </c>
      <c r="E35" s="44">
        <v>0</v>
      </c>
      <c r="F35" s="1850" t="s">
        <v>1709</v>
      </c>
      <c r="G35" s="2107"/>
      <c r="H35" s="2107"/>
      <c r="I35" s="1844"/>
      <c r="J35" s="1844"/>
      <c r="K35" s="1851"/>
      <c r="L35" s="1851"/>
      <c r="M35" s="1851"/>
      <c r="N35" s="1851"/>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08" customFormat="1" ht="14.25">
      <c r="A36" s="2111" t="str">
        <f>IF(B28="租赁期内按合同租金","租金","——")</f>
        <v>——</v>
      </c>
      <c r="B36" s="998"/>
      <c r="C36" s="1233"/>
      <c r="D36" s="2112" t="s">
        <v>1710</v>
      </c>
      <c r="E36" s="45">
        <v>0.03</v>
      </c>
      <c r="F36" s="1846" t="s">
        <v>1711</v>
      </c>
      <c r="G36" s="2107"/>
      <c r="H36" s="2107"/>
      <c r="I36" s="1844"/>
      <c r="J36" s="1844"/>
      <c r="K36" s="1851"/>
      <c r="L36" s="1851"/>
      <c r="M36" s="1851"/>
      <c r="N36" s="1851"/>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08" customFormat="1" ht="15" thickBot="1">
      <c r="A37" s="2086" t="str">
        <f>IF(B28="租赁期内按合同租金","年租金增长率","——")</f>
        <v>——</v>
      </c>
      <c r="B37" s="30"/>
      <c r="C37" s="1233"/>
      <c r="D37" s="2092" t="s">
        <v>1712</v>
      </c>
      <c r="E37" s="41">
        <v>5.0000000000000001E-4</v>
      </c>
      <c r="F37" s="1846" t="s">
        <v>1713</v>
      </c>
      <c r="G37" s="2072"/>
      <c r="H37" s="2072"/>
      <c r="I37" s="1851"/>
      <c r="J37" s="1851"/>
      <c r="K37" s="1851"/>
      <c r="L37" s="1851"/>
      <c r="M37" s="1851"/>
      <c r="N37" s="1851"/>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08" customFormat="1" ht="14.25">
      <c r="A38" s="2086" t="str">
        <f>IF(B28="租赁期内按合同租金","空置率","——")</f>
        <v>——</v>
      </c>
      <c r="B38" s="30"/>
      <c r="C38" s="1233"/>
      <c r="D38" s="2113" t="s">
        <v>1714</v>
      </c>
      <c r="E38" s="46">
        <v>1.2E-2</v>
      </c>
      <c r="F38" s="1844"/>
      <c r="G38" s="1849"/>
      <c r="H38" s="1849"/>
      <c r="I38" s="2072"/>
      <c r="J38" s="1851"/>
      <c r="K38" s="1851"/>
      <c r="L38" s="1851"/>
      <c r="M38" s="1851"/>
      <c r="N38" s="1851"/>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08" customFormat="1" ht="15" thickBot="1">
      <c r="A39" s="2086" t="str">
        <f>IF(B28="租赁期内按合同租金","成新率","——")</f>
        <v>——</v>
      </c>
      <c r="B39" s="30"/>
      <c r="C39" s="1233"/>
      <c r="D39" s="2090" t="s">
        <v>1715</v>
      </c>
      <c r="E39" s="47">
        <v>0.12</v>
      </c>
      <c r="F39" s="1844"/>
      <c r="G39" s="2107"/>
      <c r="H39" s="2107"/>
      <c r="I39" s="1844"/>
      <c r="J39" s="1844"/>
      <c r="K39" s="1851"/>
      <c r="L39" s="1851"/>
      <c r="M39" s="1851"/>
      <c r="N39" s="1851"/>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5" t="str">
        <f>IF(B28="租赁期内按合同租金","租赁期外收益期","——")</f>
        <v>——</v>
      </c>
      <c r="B40" s="1189" t="str">
        <f>IF(B28="租赁期内按合同租金",B33-B34,"——")</f>
        <v>——</v>
      </c>
      <c r="C40" s="1233"/>
      <c r="D40" s="2113" t="s">
        <v>1716</v>
      </c>
      <c r="E40" s="48">
        <f>SUMIF(D42:D51,E41,E42:E51)</f>
        <v>1.5</v>
      </c>
      <c r="F40" s="1844"/>
      <c r="G40" s="2072"/>
      <c r="H40" s="2072"/>
      <c r="I40" s="1851"/>
      <c r="J40" s="1851"/>
      <c r="K40" s="1851"/>
      <c r="L40" s="1851"/>
      <c r="M40" s="1851"/>
      <c r="N40" s="1851"/>
      <c r="AE40" s="1233"/>
      <c r="AF40" s="1233"/>
      <c r="AG40" s="1233"/>
      <c r="AH40" s="1233"/>
      <c r="AI40" s="1233"/>
      <c r="AJ40" s="1233"/>
      <c r="AK40" s="1233"/>
      <c r="AL40" s="1233"/>
      <c r="AM40" s="1233"/>
      <c r="AN40" s="1233"/>
      <c r="AO40" s="1233"/>
    </row>
    <row r="41" spans="1:41" ht="14.25">
      <c r="A41" s="2114" t="s">
        <v>1717</v>
      </c>
      <c r="B41" s="999"/>
      <c r="C41" s="1233"/>
      <c r="D41" s="2087" t="s">
        <v>1718</v>
      </c>
      <c r="E41" s="2115" t="s">
        <v>70</v>
      </c>
      <c r="F41" s="1844" t="s">
        <v>1719</v>
      </c>
      <c r="G41" s="2116" t="s">
        <v>1720</v>
      </c>
      <c r="H41" s="2072"/>
      <c r="I41" s="1851"/>
      <c r="J41" s="1851"/>
      <c r="K41" s="1851"/>
      <c r="L41" s="1851"/>
      <c r="M41" s="1851"/>
      <c r="N41" s="1851"/>
      <c r="AE41" s="1233"/>
      <c r="AF41" s="1233"/>
      <c r="AG41" s="1233"/>
      <c r="AH41" s="1233"/>
      <c r="AI41" s="1233"/>
      <c r="AJ41" s="1233"/>
      <c r="AK41" s="1233"/>
      <c r="AL41" s="1233"/>
      <c r="AM41" s="1233"/>
      <c r="AN41" s="1233"/>
      <c r="AO41" s="1233"/>
    </row>
    <row r="42" spans="1:41" ht="14.25">
      <c r="A42" s="2086" t="s">
        <v>1721</v>
      </c>
      <c r="B42" s="992">
        <v>365</v>
      </c>
      <c r="C42" s="1233"/>
      <c r="D42" s="2117" t="s">
        <v>1722</v>
      </c>
      <c r="E42" s="29"/>
      <c r="F42" s="1844">
        <v>30</v>
      </c>
      <c r="G42" s="2072"/>
      <c r="H42" s="2072"/>
      <c r="I42" s="1851"/>
      <c r="J42" s="1851"/>
      <c r="K42" s="1851"/>
      <c r="L42" s="1851"/>
      <c r="M42" s="1851"/>
      <c r="N42" s="1851"/>
      <c r="AE42" s="1233"/>
      <c r="AF42" s="1233"/>
      <c r="AG42" s="1233"/>
      <c r="AH42" s="1233"/>
      <c r="AI42" s="1233"/>
      <c r="AJ42" s="1233"/>
      <c r="AK42" s="1233"/>
      <c r="AL42" s="1233"/>
      <c r="AM42" s="1233"/>
      <c r="AN42" s="1233"/>
      <c r="AO42" s="1233"/>
    </row>
    <row r="43" spans="1:41" ht="14.25">
      <c r="A43" s="2086" t="s">
        <v>1723</v>
      </c>
      <c r="B43" s="29"/>
      <c r="C43" s="1233"/>
      <c r="D43" s="2117" t="s">
        <v>1724</v>
      </c>
      <c r="E43" s="29"/>
      <c r="F43" s="1844">
        <v>24</v>
      </c>
      <c r="G43" s="2072"/>
      <c r="H43" s="2072"/>
      <c r="I43" s="1851"/>
      <c r="J43" s="1851"/>
      <c r="K43" s="1851"/>
      <c r="L43" s="1851"/>
      <c r="M43" s="1851"/>
      <c r="N43" s="1851"/>
      <c r="AE43" s="1233"/>
      <c r="AF43" s="1233"/>
      <c r="AG43" s="1233"/>
      <c r="AH43" s="1233"/>
      <c r="AI43" s="1233"/>
      <c r="AJ43" s="1233"/>
      <c r="AK43" s="1233"/>
      <c r="AL43" s="1233"/>
      <c r="AM43" s="1233"/>
      <c r="AN43" s="1233"/>
      <c r="AO43" s="1233"/>
    </row>
    <row r="44" spans="1:41" ht="14.25">
      <c r="A44" s="2086" t="s">
        <v>1725</v>
      </c>
      <c r="B44" s="2741">
        <v>1.4999999999999999E-2</v>
      </c>
      <c r="C44" s="1233" t="s">
        <v>969</v>
      </c>
      <c r="D44" s="2117" t="s">
        <v>1726</v>
      </c>
      <c r="E44" s="29"/>
      <c r="F44" s="1844">
        <v>18</v>
      </c>
      <c r="G44" s="1233"/>
      <c r="H44" s="1233"/>
      <c r="I44" s="2072"/>
      <c r="J44" s="1851"/>
      <c r="K44" s="1851"/>
      <c r="L44" s="1851"/>
      <c r="M44" s="1851"/>
      <c r="N44" s="1851"/>
      <c r="AE44" s="1233"/>
      <c r="AF44" s="1233"/>
      <c r="AG44" s="1233"/>
      <c r="AH44" s="1233"/>
      <c r="AI44" s="1233"/>
      <c r="AJ44" s="1233"/>
      <c r="AK44" s="1233"/>
      <c r="AL44" s="1233"/>
      <c r="AM44" s="1233"/>
      <c r="AN44" s="1233"/>
      <c r="AO44" s="1233"/>
    </row>
    <row r="45" spans="1:41" ht="14.25">
      <c r="A45" s="2086" t="s">
        <v>1727</v>
      </c>
      <c r="B45" s="2742">
        <v>1.5E-3</v>
      </c>
      <c r="C45" s="1233" t="s">
        <v>970</v>
      </c>
      <c r="D45" s="2117" t="s">
        <v>1728</v>
      </c>
      <c r="E45" s="29"/>
      <c r="F45" s="1844">
        <v>12</v>
      </c>
      <c r="G45" s="1233"/>
      <c r="H45" s="1233"/>
      <c r="M45" s="1851"/>
      <c r="N45" s="1851"/>
      <c r="AE45" s="1233"/>
      <c r="AF45" s="1233"/>
      <c r="AG45" s="1233"/>
      <c r="AH45" s="1233"/>
      <c r="AI45" s="1233"/>
      <c r="AJ45" s="1233"/>
      <c r="AK45" s="1233"/>
      <c r="AL45" s="1233"/>
      <c r="AM45" s="1233"/>
      <c r="AN45" s="1233"/>
      <c r="AO45" s="1233"/>
    </row>
    <row r="46" spans="1:41" ht="15" thickBot="1">
      <c r="A46" s="2104" t="s">
        <v>1729</v>
      </c>
      <c r="B46" s="996">
        <v>0.01</v>
      </c>
      <c r="C46" s="1233" t="s">
        <v>971</v>
      </c>
      <c r="D46" s="2117" t="s">
        <v>1473</v>
      </c>
      <c r="E46" s="29"/>
      <c r="F46" s="1844">
        <v>3</v>
      </c>
      <c r="G46" s="1233"/>
      <c r="H46" s="1233"/>
      <c r="M46" s="1851"/>
      <c r="N46" s="1851"/>
      <c r="AE46" s="1233"/>
      <c r="AF46" s="1233"/>
      <c r="AG46" s="1233"/>
      <c r="AH46" s="1233"/>
      <c r="AI46" s="1233"/>
      <c r="AJ46" s="1233"/>
      <c r="AK46" s="1233"/>
      <c r="AL46" s="1233"/>
      <c r="AM46" s="1233"/>
      <c r="AN46" s="1233"/>
      <c r="AO46" s="1233"/>
    </row>
    <row r="47" spans="1:41" ht="14.25">
      <c r="A47" s="1233"/>
      <c r="B47" s="1233"/>
      <c r="C47" s="1233"/>
      <c r="D47" s="2117" t="s">
        <v>1730</v>
      </c>
      <c r="E47" s="29">
        <v>1.5</v>
      </c>
      <c r="F47" s="1844">
        <v>1.5</v>
      </c>
      <c r="G47" s="1233"/>
      <c r="H47" s="1233"/>
      <c r="M47" s="1851"/>
      <c r="N47" s="1851"/>
      <c r="AE47" s="1233"/>
      <c r="AF47" s="1233"/>
      <c r="AG47" s="1233"/>
      <c r="AH47" s="1233"/>
      <c r="AI47" s="1233"/>
      <c r="AJ47" s="1233"/>
      <c r="AK47" s="1233"/>
      <c r="AL47" s="1233"/>
      <c r="AM47" s="1233"/>
      <c r="AN47" s="1233"/>
      <c r="AO47" s="1233"/>
    </row>
    <row r="48" spans="1:41" ht="14.25">
      <c r="A48" s="1233"/>
      <c r="B48" s="1233"/>
      <c r="C48" s="1233"/>
      <c r="D48" s="2117" t="s">
        <v>1731</v>
      </c>
      <c r="E48" s="29"/>
      <c r="F48" s="1851"/>
      <c r="G48" s="1233"/>
      <c r="H48" s="1233"/>
      <c r="M48" s="1851"/>
      <c r="N48" s="1851"/>
      <c r="AE48" s="1233"/>
      <c r="AF48" s="1233"/>
      <c r="AG48" s="1233"/>
      <c r="AH48" s="1233"/>
      <c r="AI48" s="1233"/>
      <c r="AJ48" s="1233"/>
      <c r="AK48" s="1233"/>
      <c r="AL48" s="1233"/>
      <c r="AM48" s="1233"/>
      <c r="AN48" s="1233"/>
      <c r="AO48" s="1233"/>
    </row>
    <row r="49" spans="1:41" ht="14.25">
      <c r="A49" s="1233"/>
      <c r="B49" s="1233"/>
      <c r="C49" s="1233"/>
      <c r="D49" s="2117" t="s">
        <v>1732</v>
      </c>
      <c r="E49" s="29"/>
      <c r="F49" s="1851"/>
      <c r="G49" s="1233"/>
      <c r="H49" s="1233"/>
      <c r="M49" s="1851"/>
      <c r="N49" s="1851"/>
      <c r="AE49" s="1233"/>
      <c r="AF49" s="1233"/>
      <c r="AG49" s="1233"/>
      <c r="AH49" s="1233"/>
      <c r="AI49" s="1233"/>
      <c r="AJ49" s="1233"/>
      <c r="AK49" s="1233"/>
      <c r="AL49" s="1233"/>
      <c r="AM49" s="1233"/>
      <c r="AN49" s="1233"/>
      <c r="AO49" s="1233"/>
    </row>
    <row r="50" spans="1:41" ht="14.25">
      <c r="A50" s="1233"/>
      <c r="B50" s="1233"/>
      <c r="C50" s="1233"/>
      <c r="D50" s="2117" t="s">
        <v>1733</v>
      </c>
      <c r="E50" s="29"/>
      <c r="F50" s="1851"/>
      <c r="G50" s="1233"/>
      <c r="H50" s="1233"/>
      <c r="M50" s="1851"/>
      <c r="N50" s="1851"/>
      <c r="AE50" s="1233"/>
      <c r="AF50" s="1233"/>
      <c r="AG50" s="1233"/>
      <c r="AH50" s="1233"/>
      <c r="AI50" s="1233"/>
      <c r="AJ50" s="1233"/>
      <c r="AK50" s="1233"/>
      <c r="AL50" s="1233"/>
      <c r="AM50" s="1233"/>
      <c r="AN50" s="1233"/>
      <c r="AO50" s="1233"/>
    </row>
    <row r="51" spans="1:41" s="1233" customFormat="1" ht="15" thickBot="1">
      <c r="D51" s="2118" t="s">
        <v>1734</v>
      </c>
      <c r="E51" s="49"/>
      <c r="F51" s="1851"/>
      <c r="M51" s="1851"/>
      <c r="N51" s="1851"/>
      <c r="O51" s="84"/>
      <c r="P51" s="84"/>
    </row>
    <row r="52" spans="1:41" s="1233" customFormat="1" ht="14.25">
      <c r="D52" s="2072"/>
      <c r="E52" s="2072"/>
      <c r="F52" s="2072"/>
      <c r="G52" s="2072"/>
      <c r="H52" s="2072"/>
      <c r="I52" s="1851"/>
      <c r="J52" s="1851"/>
      <c r="K52" s="1851"/>
      <c r="L52" s="1851"/>
      <c r="M52" s="1851"/>
      <c r="N52" s="1851"/>
      <c r="O52" s="84"/>
      <c r="P52" s="84"/>
    </row>
    <row r="53" spans="1:41" s="1233" customFormat="1" ht="14.25">
      <c r="D53" s="2072"/>
      <c r="E53" s="2072"/>
      <c r="F53" s="2072"/>
      <c r="G53" s="2072"/>
      <c r="H53" s="2072"/>
      <c r="I53" s="1851"/>
      <c r="J53" s="1851"/>
      <c r="K53" s="1851"/>
      <c r="L53" s="1851"/>
      <c r="M53" s="1851"/>
      <c r="N53" s="1851"/>
      <c r="O53" s="84"/>
      <c r="P53" s="84"/>
    </row>
    <row r="54" spans="1:41" s="1233" customFormat="1" ht="14.25">
      <c r="D54" s="2072"/>
      <c r="E54" s="2072"/>
      <c r="F54" s="2072"/>
      <c r="G54" s="2072"/>
      <c r="H54" s="2072"/>
      <c r="I54" s="1851"/>
      <c r="J54" s="1851"/>
      <c r="K54" s="1851"/>
      <c r="L54" s="1851"/>
      <c r="M54" s="1851"/>
      <c r="N54" s="1851"/>
      <c r="O54" s="84"/>
      <c r="P54" s="84"/>
    </row>
    <row r="55" spans="1:41" s="1233" customFormat="1" ht="14.25">
      <c r="D55" s="2072"/>
      <c r="E55" s="2072"/>
      <c r="F55" s="2072"/>
      <c r="G55" s="2072"/>
      <c r="H55" s="2072"/>
      <c r="I55" s="1851"/>
      <c r="J55" s="1851"/>
      <c r="K55" s="1851"/>
      <c r="L55" s="1851"/>
      <c r="M55" s="1851"/>
      <c r="N55" s="1851"/>
      <c r="O55" s="84"/>
      <c r="P55" s="84"/>
    </row>
    <row r="56" spans="1:41" s="1233" customFormat="1" ht="14.25">
      <c r="D56" s="2072"/>
      <c r="E56" s="2072"/>
      <c r="F56" s="2072"/>
      <c r="G56" s="2072"/>
      <c r="H56" s="2072"/>
      <c r="I56" s="1851"/>
      <c r="J56" s="1851"/>
      <c r="K56" s="1851"/>
      <c r="L56" s="1851"/>
      <c r="M56" s="1851"/>
      <c r="N56" s="1851"/>
      <c r="O56" s="84"/>
      <c r="P56" s="84"/>
    </row>
    <row r="57" spans="1:41" s="1233" customFormat="1" ht="14.25">
      <c r="D57" s="2072"/>
      <c r="E57" s="2072"/>
      <c r="F57" s="2072"/>
      <c r="G57" s="2072"/>
      <c r="H57" s="2072"/>
      <c r="I57" s="1851"/>
      <c r="J57" s="1851"/>
      <c r="K57" s="1851"/>
      <c r="L57" s="1851"/>
      <c r="M57" s="1851"/>
      <c r="N57" s="1851"/>
      <c r="O57" s="84"/>
      <c r="P57" s="84"/>
    </row>
    <row r="58" spans="1:41" s="1233" customFormat="1" ht="14.25">
      <c r="D58" s="2072"/>
      <c r="E58" s="2072"/>
      <c r="F58" s="2072"/>
      <c r="G58" s="2072"/>
      <c r="H58" s="2072"/>
      <c r="I58" s="1851"/>
      <c r="J58" s="1851"/>
      <c r="K58" s="1851"/>
      <c r="L58" s="1851"/>
      <c r="M58" s="1851"/>
      <c r="N58" s="1851"/>
      <c r="O58" s="84"/>
      <c r="P58" s="84"/>
    </row>
    <row r="59" spans="1:41" s="1233" customFormat="1" ht="14.25">
      <c r="D59" s="2072"/>
      <c r="E59" s="2072"/>
      <c r="F59" s="2072"/>
      <c r="G59" s="2072"/>
      <c r="H59" s="2072"/>
      <c r="I59" s="1851"/>
      <c r="J59" s="1851"/>
      <c r="K59" s="1851"/>
      <c r="L59" s="1851"/>
      <c r="M59" s="2119"/>
      <c r="N59" s="1851"/>
      <c r="O59" s="84"/>
      <c r="P59" s="84"/>
    </row>
    <row r="60" spans="1:41" s="1233" customFormat="1" ht="14.25">
      <c r="D60" s="2072"/>
      <c r="E60" s="2072"/>
      <c r="F60" s="2072"/>
      <c r="G60" s="2072"/>
      <c r="H60" s="2072"/>
      <c r="I60" s="1851"/>
      <c r="J60" s="1851"/>
      <c r="K60" s="1851"/>
      <c r="L60" s="1851"/>
      <c r="M60" s="1851"/>
      <c r="N60" s="1851"/>
      <c r="O60" s="84"/>
      <c r="P60" s="84"/>
    </row>
    <row r="61" spans="1:41" s="1233" customFormat="1" ht="14.25">
      <c r="D61" s="2072"/>
      <c r="E61" s="2072"/>
      <c r="F61" s="2072"/>
      <c r="G61" s="2072"/>
      <c r="H61" s="2072"/>
      <c r="I61" s="1851"/>
      <c r="J61" s="1851"/>
      <c r="K61" s="1851"/>
      <c r="L61" s="1851"/>
      <c r="M61" s="1851"/>
      <c r="N61" s="1851"/>
      <c r="O61" s="84"/>
      <c r="P61" s="84"/>
    </row>
    <row r="62" spans="1:41" s="1233" customFormat="1" ht="14.25">
      <c r="D62" s="2072"/>
      <c r="E62" s="2072"/>
      <c r="F62" s="2072"/>
      <c r="G62" s="2072"/>
      <c r="H62" s="2072"/>
      <c r="I62" s="1851"/>
      <c r="J62" s="1851"/>
      <c r="K62" s="1851"/>
      <c r="L62" s="1851"/>
      <c r="M62" s="1851"/>
      <c r="N62" s="1851"/>
      <c r="O62" s="84"/>
      <c r="P62" s="84"/>
    </row>
    <row r="63" spans="1:41" s="1233" customFormat="1" ht="14.25">
      <c r="D63" s="2072"/>
      <c r="E63" s="2072"/>
      <c r="F63" s="2072"/>
      <c r="G63" s="2072"/>
      <c r="H63" s="2072"/>
      <c r="I63" s="1851"/>
      <c r="J63" s="1851"/>
      <c r="K63" s="1851"/>
      <c r="L63" s="1851"/>
      <c r="M63" s="1851"/>
      <c r="N63" s="1851"/>
      <c r="O63" s="84"/>
      <c r="P63" s="84"/>
    </row>
    <row r="64" spans="1:41" s="1233" customFormat="1" ht="14.25">
      <c r="D64" s="2072"/>
      <c r="E64" s="2072"/>
      <c r="F64" s="2072"/>
      <c r="G64" s="2072"/>
      <c r="H64" s="2072"/>
      <c r="I64" s="1851"/>
      <c r="J64" s="1851"/>
      <c r="K64" s="1851"/>
      <c r="L64" s="1851"/>
      <c r="M64" s="1851"/>
      <c r="N64" s="1851"/>
      <c r="O64" s="84"/>
      <c r="P64" s="84"/>
    </row>
    <row r="65" spans="1:16" s="1233" customFormat="1" ht="14.25">
      <c r="D65" s="2072"/>
      <c r="E65" s="2072"/>
      <c r="F65" s="2072"/>
      <c r="G65" s="2072"/>
      <c r="H65" s="2072"/>
      <c r="I65" s="1851"/>
      <c r="J65" s="1851"/>
      <c r="K65" s="1851"/>
      <c r="L65" s="1851"/>
      <c r="M65" s="1851"/>
      <c r="N65" s="1851"/>
      <c r="O65" s="84"/>
      <c r="P65" s="84"/>
    </row>
    <row r="66" spans="1:16" s="1233" customFormat="1" ht="14.25">
      <c r="A66" s="2120"/>
      <c r="D66" s="2072"/>
      <c r="E66" s="2072"/>
      <c r="F66" s="2072"/>
      <c r="G66" s="2072"/>
      <c r="H66" s="2072"/>
      <c r="I66" s="1851"/>
      <c r="J66" s="1851"/>
      <c r="K66" s="1851"/>
      <c r="L66" s="1851"/>
      <c r="M66" s="1851"/>
      <c r="N66" s="1851"/>
      <c r="O66" s="84"/>
      <c r="P66" s="84"/>
    </row>
    <row r="67" spans="1:16" s="1233" customFormat="1" ht="14.25">
      <c r="A67" s="2120"/>
      <c r="D67" s="2072"/>
      <c r="E67" s="2072"/>
      <c r="F67" s="2072"/>
      <c r="G67" s="2072"/>
      <c r="H67" s="2072"/>
      <c r="I67" s="1851"/>
      <c r="J67" s="1851"/>
      <c r="K67" s="1851"/>
      <c r="L67" s="1851"/>
      <c r="M67" s="1851"/>
      <c r="N67" s="1851"/>
      <c r="O67" s="84"/>
      <c r="P67" s="84"/>
    </row>
    <row r="68" spans="1:16" s="1233" customFormat="1" ht="14.25">
      <c r="A68" s="2120"/>
      <c r="D68" s="2072"/>
      <c r="E68" s="2072"/>
      <c r="F68" s="2072"/>
      <c r="G68" s="1849"/>
      <c r="H68" s="1849"/>
      <c r="O68" s="84"/>
      <c r="P68" s="84"/>
    </row>
    <row r="69" spans="1:16" s="1233" customFormat="1">
      <c r="A69" s="2120"/>
      <c r="D69" s="1849"/>
      <c r="E69" s="1849"/>
      <c r="F69" s="1849"/>
      <c r="G69" s="1849"/>
      <c r="H69" s="1849"/>
      <c r="O69" s="84"/>
      <c r="P69" s="84"/>
    </row>
    <row r="70" spans="1:16" s="1233" customFormat="1">
      <c r="A70" s="2120"/>
      <c r="D70" s="1849"/>
      <c r="E70" s="1849"/>
      <c r="F70" s="1849"/>
      <c r="G70" s="1849"/>
      <c r="H70" s="1849"/>
      <c r="O70" s="84"/>
      <c r="P70" s="84"/>
    </row>
    <row r="71" spans="1:16" s="1233" customFormat="1">
      <c r="A71" s="2120"/>
      <c r="D71" s="1849"/>
      <c r="E71" s="1849"/>
      <c r="F71" s="1849"/>
      <c r="G71" s="1849"/>
      <c r="H71" s="1849"/>
      <c r="O71" s="84"/>
      <c r="P71" s="84"/>
    </row>
    <row r="72" spans="1:16" s="1233" customFormat="1">
      <c r="A72" s="2120"/>
      <c r="D72" s="1849"/>
      <c r="E72" s="1849"/>
      <c r="F72" s="1849"/>
      <c r="G72" s="1849"/>
      <c r="H72" s="1849"/>
      <c r="O72" s="84"/>
      <c r="P72" s="84"/>
    </row>
    <row r="73" spans="1:16" s="1233" customFormat="1">
      <c r="A73" s="2120"/>
      <c r="D73" s="1849"/>
      <c r="E73" s="1849"/>
      <c r="F73" s="1849"/>
      <c r="G73" s="1849"/>
      <c r="H73" s="1849"/>
      <c r="O73" s="84"/>
      <c r="P73" s="84"/>
    </row>
    <row r="74" spans="1:16" s="1233" customFormat="1">
      <c r="A74" s="2120"/>
      <c r="D74" s="1849"/>
      <c r="E74" s="1849"/>
      <c r="F74" s="1849"/>
      <c r="G74" s="1849"/>
      <c r="H74" s="1849"/>
      <c r="O74" s="84"/>
      <c r="P74" s="84"/>
    </row>
    <row r="75" spans="1:16" s="1233" customFormat="1">
      <c r="A75" s="2120"/>
      <c r="D75" s="1849"/>
      <c r="E75" s="1849"/>
      <c r="F75" s="1849"/>
      <c r="G75" s="1849"/>
      <c r="H75" s="1849"/>
      <c r="O75" s="84"/>
      <c r="P75" s="84"/>
    </row>
    <row r="76" spans="1:16" s="1233" customFormat="1">
      <c r="A76" s="2120"/>
      <c r="D76" s="1849"/>
      <c r="E76" s="1849"/>
      <c r="F76" s="1849"/>
      <c r="G76" s="1849"/>
      <c r="H76" s="1849"/>
      <c r="O76" s="84"/>
      <c r="P76" s="84"/>
    </row>
    <row r="77" spans="1:16" s="1233" customFormat="1">
      <c r="A77" s="2120"/>
      <c r="D77" s="1849"/>
      <c r="E77" s="1849"/>
      <c r="F77" s="1849"/>
      <c r="G77" s="1849"/>
      <c r="H77" s="1849"/>
      <c r="O77" s="84"/>
      <c r="P77" s="84"/>
    </row>
    <row r="78" spans="1:16" s="1233" customFormat="1">
      <c r="A78" s="2120"/>
      <c r="D78" s="1849"/>
      <c r="E78" s="1849"/>
      <c r="F78" s="1849"/>
      <c r="G78" s="1849"/>
      <c r="H78" s="1849"/>
      <c r="O78" s="84"/>
      <c r="P78" s="84"/>
    </row>
    <row r="79" spans="1:16" s="1233" customFormat="1">
      <c r="A79" s="2120"/>
      <c r="D79" s="1849"/>
      <c r="E79" s="1849"/>
      <c r="F79" s="1849"/>
      <c r="G79" s="1849"/>
      <c r="H79" s="1849"/>
      <c r="O79" s="84"/>
      <c r="P79" s="84"/>
    </row>
    <row r="80" spans="1:16" s="1233" customFormat="1">
      <c r="A80" s="2120"/>
      <c r="D80" s="1849"/>
      <c r="E80" s="1849"/>
      <c r="F80" s="1849"/>
      <c r="G80" s="1849"/>
      <c r="H80" s="1849"/>
      <c r="O80" s="84"/>
      <c r="P80" s="84"/>
    </row>
    <row r="81" spans="1:16" s="1233" customFormat="1">
      <c r="A81" s="2120"/>
      <c r="D81" s="1849"/>
      <c r="E81" s="1849"/>
      <c r="F81" s="1849"/>
      <c r="G81" s="1849"/>
      <c r="H81" s="1849"/>
      <c r="O81" s="84"/>
      <c r="P81" s="84"/>
    </row>
    <row r="82" spans="1:16" s="1233" customFormat="1">
      <c r="A82" s="2120"/>
      <c r="D82" s="1849"/>
      <c r="E82" s="1849"/>
      <c r="F82" s="1849"/>
      <c r="G82" s="1849"/>
      <c r="H82" s="1849"/>
      <c r="O82" s="84"/>
      <c r="P82" s="84"/>
    </row>
    <row r="83" spans="1:16" s="1233" customFormat="1">
      <c r="A83" s="2120"/>
      <c r="D83" s="1849"/>
      <c r="E83" s="1849"/>
      <c r="F83" s="1849"/>
      <c r="G83" s="1849"/>
      <c r="H83" s="1849"/>
      <c r="O83" s="84"/>
      <c r="P83" s="84"/>
    </row>
    <row r="84" spans="1:16" s="1233" customFormat="1">
      <c r="A84" s="2120"/>
      <c r="D84" s="1849"/>
      <c r="E84" s="1849"/>
      <c r="F84" s="1849"/>
      <c r="G84" s="1849"/>
      <c r="H84" s="1849"/>
      <c r="O84" s="84"/>
      <c r="P84" s="84"/>
    </row>
    <row r="85" spans="1:16" s="1233" customFormat="1">
      <c r="A85" s="2120"/>
      <c r="D85" s="1849"/>
      <c r="E85" s="1849"/>
      <c r="F85" s="1849"/>
      <c r="G85" s="1849"/>
      <c r="H85" s="1849"/>
      <c r="O85" s="84"/>
      <c r="P85" s="84"/>
    </row>
    <row r="86" spans="1:16" s="1233" customFormat="1">
      <c r="A86" s="2120"/>
      <c r="D86" s="1849"/>
      <c r="E86" s="1849"/>
      <c r="F86" s="1849"/>
      <c r="G86" s="1849"/>
      <c r="H86" s="1849"/>
      <c r="O86" s="84"/>
      <c r="P86" s="84"/>
    </row>
    <row r="87" spans="1:16" s="1233" customFormat="1">
      <c r="A87" s="2120"/>
      <c r="D87" s="1849"/>
      <c r="E87" s="1849"/>
      <c r="F87" s="1849"/>
      <c r="G87" s="1849"/>
      <c r="H87" s="1849"/>
      <c r="O87" s="84"/>
      <c r="P87" s="84"/>
    </row>
    <row r="88" spans="1:16" s="1233" customFormat="1">
      <c r="A88" s="2120"/>
      <c r="D88" s="1849"/>
      <c r="E88" s="1849"/>
      <c r="F88" s="1849"/>
      <c r="G88" s="1849"/>
      <c r="H88" s="1849"/>
      <c r="O88" s="84"/>
      <c r="P88" s="84"/>
    </row>
    <row r="89" spans="1:16" s="1233" customFormat="1">
      <c r="A89" s="2120"/>
      <c r="D89" s="1849"/>
      <c r="E89" s="1849"/>
      <c r="F89" s="1849"/>
      <c r="G89" s="1849"/>
      <c r="H89" s="1849"/>
      <c r="O89" s="84"/>
      <c r="P89" s="84"/>
    </row>
    <row r="90" spans="1:16" s="1233" customFormat="1">
      <c r="A90" s="2120"/>
      <c r="D90" s="1849"/>
      <c r="E90" s="1849"/>
      <c r="F90" s="1849"/>
      <c r="G90" s="1849"/>
      <c r="H90" s="1849"/>
      <c r="O90" s="84"/>
      <c r="P90" s="84"/>
    </row>
    <row r="91" spans="1:16" s="1233" customFormat="1">
      <c r="A91" s="2120"/>
      <c r="D91" s="1849"/>
      <c r="E91" s="1849"/>
      <c r="F91" s="1849"/>
      <c r="G91" s="1849"/>
      <c r="H91" s="1849"/>
      <c r="O91" s="84"/>
      <c r="P91" s="84"/>
    </row>
    <row r="92" spans="1:16" s="1233" customFormat="1">
      <c r="A92" s="2120"/>
      <c r="D92" s="1849"/>
      <c r="E92" s="1849"/>
      <c r="F92" s="1849"/>
      <c r="G92" s="1849"/>
      <c r="H92" s="1849"/>
      <c r="O92" s="84"/>
      <c r="P92" s="84"/>
    </row>
    <row r="93" spans="1:16" s="1233" customFormat="1">
      <c r="A93" s="2120"/>
      <c r="D93" s="1849"/>
      <c r="E93" s="1849"/>
      <c r="F93" s="1849"/>
      <c r="G93" s="1849"/>
      <c r="H93" s="1849"/>
      <c r="O93" s="84"/>
      <c r="P93" s="84"/>
    </row>
    <row r="94" spans="1:16" s="1233" customFormat="1">
      <c r="A94" s="2120"/>
      <c r="D94" s="1849"/>
      <c r="E94" s="1849"/>
      <c r="F94" s="1849"/>
      <c r="G94" s="1849"/>
      <c r="H94" s="1849"/>
      <c r="O94" s="84"/>
      <c r="P94" s="84"/>
    </row>
    <row r="95" spans="1:16" s="1233" customFormat="1">
      <c r="A95" s="2120"/>
      <c r="D95" s="1849"/>
      <c r="E95" s="1849"/>
      <c r="F95" s="1849"/>
      <c r="G95" s="1849"/>
      <c r="H95" s="1849"/>
      <c r="O95" s="84"/>
      <c r="P95" s="84"/>
    </row>
    <row r="96" spans="1:16" s="1233" customFormat="1">
      <c r="A96" s="2120"/>
      <c r="D96" s="1849"/>
      <c r="E96" s="1849"/>
      <c r="F96" s="1849"/>
      <c r="G96" s="1849"/>
      <c r="H96" s="1849"/>
      <c r="O96" s="84"/>
      <c r="P96" s="84"/>
    </row>
    <row r="97" spans="1:16" s="1233" customFormat="1">
      <c r="A97" s="2120"/>
      <c r="D97" s="1849"/>
      <c r="E97" s="1849"/>
      <c r="F97" s="1849"/>
      <c r="G97" s="1849"/>
      <c r="H97" s="1849"/>
      <c r="O97" s="84"/>
      <c r="P97" s="84"/>
    </row>
    <row r="98" spans="1:16" s="1233" customFormat="1">
      <c r="A98" s="2120"/>
      <c r="D98" s="1849"/>
      <c r="E98" s="1849"/>
      <c r="F98" s="1849"/>
      <c r="G98" s="1849"/>
      <c r="H98" s="1849"/>
      <c r="O98" s="84"/>
      <c r="P98" s="84"/>
    </row>
    <row r="99" spans="1:16" s="1233" customFormat="1">
      <c r="A99" s="2120"/>
      <c r="D99" s="1849"/>
      <c r="E99" s="1849"/>
      <c r="F99" s="1849"/>
      <c r="G99" s="1849"/>
      <c r="H99" s="1849"/>
      <c r="O99" s="84"/>
      <c r="P99" s="84"/>
    </row>
    <row r="100" spans="1:16" s="1233" customFormat="1">
      <c r="A100" s="2120"/>
      <c r="D100" s="1849"/>
      <c r="E100" s="1849"/>
      <c r="F100" s="1849"/>
      <c r="G100" s="1849"/>
      <c r="H100" s="1849"/>
      <c r="O100" s="84"/>
      <c r="P100" s="84"/>
    </row>
    <row r="101" spans="1:16" s="1233" customFormat="1">
      <c r="A101" s="2120"/>
      <c r="D101" s="1849"/>
      <c r="E101" s="1849"/>
      <c r="F101" s="1849"/>
      <c r="G101" s="1849"/>
      <c r="H101" s="1849"/>
      <c r="O101" s="84"/>
      <c r="P101" s="84"/>
    </row>
    <row r="102" spans="1:16" s="1233" customFormat="1">
      <c r="A102" s="2120"/>
      <c r="D102" s="1849"/>
      <c r="E102" s="1849"/>
      <c r="F102" s="1849"/>
      <c r="G102" s="1849"/>
      <c r="H102" s="1849"/>
      <c r="O102" s="84"/>
      <c r="P102" s="84"/>
    </row>
    <row r="103" spans="1:16" s="1233" customFormat="1">
      <c r="A103" s="2120"/>
      <c r="D103" s="1849"/>
      <c r="E103" s="1849"/>
      <c r="F103" s="1849"/>
      <c r="G103" s="1849"/>
      <c r="H103" s="1849"/>
      <c r="O103" s="84"/>
      <c r="P103" s="84"/>
    </row>
    <row r="104" spans="1:16" s="1233" customFormat="1">
      <c r="A104" s="2120"/>
      <c r="D104" s="1849"/>
      <c r="E104" s="1849"/>
      <c r="F104" s="1849"/>
      <c r="G104" s="1849"/>
      <c r="H104" s="1849"/>
      <c r="O104" s="84"/>
      <c r="P104" s="84"/>
    </row>
    <row r="105" spans="1:16" s="1233" customFormat="1">
      <c r="A105" s="2120"/>
      <c r="D105" s="1849"/>
      <c r="E105" s="1849"/>
      <c r="F105" s="1849"/>
      <c r="G105" s="1849"/>
      <c r="H105" s="1849"/>
      <c r="O105" s="84"/>
      <c r="P105" s="84"/>
    </row>
    <row r="106" spans="1:16" s="1233" customFormat="1">
      <c r="A106" s="2120"/>
      <c r="D106" s="1849"/>
      <c r="E106" s="1849"/>
      <c r="F106" s="1849"/>
      <c r="G106" s="1849"/>
      <c r="H106" s="1849"/>
      <c r="O106" s="84"/>
      <c r="P106" s="84"/>
    </row>
    <row r="107" spans="1:16" s="1233" customFormat="1">
      <c r="A107" s="2120"/>
      <c r="D107" s="1849"/>
      <c r="E107" s="1849"/>
      <c r="F107" s="1849"/>
      <c r="G107" s="1849"/>
      <c r="H107" s="1849"/>
      <c r="O107" s="84"/>
      <c r="P107" s="84"/>
    </row>
    <row r="108" spans="1:16" s="1233" customFormat="1">
      <c r="A108" s="2120"/>
      <c r="D108" s="1849"/>
      <c r="E108" s="1849"/>
      <c r="F108" s="1849"/>
      <c r="G108" s="1849"/>
      <c r="H108" s="1849"/>
      <c r="O108" s="84"/>
      <c r="P108" s="84"/>
    </row>
    <row r="109" spans="1:16" s="1233" customFormat="1">
      <c r="A109" s="2120"/>
      <c r="D109" s="1849"/>
      <c r="E109" s="1849"/>
      <c r="F109" s="1849"/>
      <c r="G109" s="1849"/>
      <c r="H109" s="1849"/>
      <c r="O109" s="84"/>
      <c r="P109" s="84"/>
    </row>
    <row r="110" spans="1:16" s="1233" customFormat="1">
      <c r="A110" s="2120"/>
      <c r="D110" s="1849"/>
      <c r="E110" s="1849"/>
      <c r="F110" s="1849"/>
      <c r="G110" s="1849"/>
      <c r="H110" s="1849"/>
      <c r="O110" s="84"/>
      <c r="P110" s="84"/>
    </row>
    <row r="111" spans="1:16" s="1233" customFormat="1">
      <c r="A111" s="2120"/>
      <c r="D111" s="1849"/>
      <c r="E111" s="1849"/>
      <c r="F111" s="1849"/>
      <c r="G111" s="1849"/>
      <c r="H111" s="1849"/>
      <c r="O111" s="84"/>
      <c r="P111" s="84"/>
    </row>
    <row r="112" spans="1:16" s="1233" customFormat="1">
      <c r="A112" s="2120"/>
      <c r="D112" s="1849"/>
      <c r="E112" s="1849"/>
      <c r="F112" s="1849"/>
      <c r="G112" s="1849"/>
      <c r="H112" s="1849"/>
      <c r="O112" s="84"/>
      <c r="P112" s="84"/>
    </row>
    <row r="113" spans="1:16" s="1233" customFormat="1">
      <c r="A113" s="2120"/>
      <c r="D113" s="1849"/>
      <c r="E113" s="1849"/>
      <c r="F113" s="1849"/>
      <c r="G113" s="1849"/>
      <c r="H113" s="1849"/>
      <c r="O113" s="84"/>
      <c r="P113" s="84"/>
    </row>
    <row r="114" spans="1:16" s="1233" customFormat="1">
      <c r="A114" s="2120"/>
      <c r="D114" s="1849"/>
      <c r="E114" s="1849"/>
      <c r="F114" s="1849"/>
      <c r="G114" s="1849"/>
      <c r="H114" s="1849"/>
      <c r="O114" s="84"/>
      <c r="P114" s="84"/>
    </row>
    <row r="115" spans="1:16" s="1233" customFormat="1">
      <c r="A115" s="2120"/>
      <c r="D115" s="1849"/>
      <c r="E115" s="1849"/>
      <c r="F115" s="1849"/>
      <c r="G115" s="1849"/>
      <c r="H115" s="1849"/>
      <c r="O115" s="84"/>
      <c r="P115" s="84"/>
    </row>
    <row r="116" spans="1:16" s="1233" customFormat="1">
      <c r="A116" s="2120"/>
      <c r="D116" s="1849"/>
      <c r="E116" s="1849"/>
      <c r="F116" s="1849"/>
      <c r="G116" s="1849"/>
      <c r="H116" s="1849"/>
      <c r="O116" s="84"/>
      <c r="P116" s="84"/>
    </row>
    <row r="117" spans="1:16" s="1233" customFormat="1">
      <c r="A117" s="2120"/>
      <c r="D117" s="1849"/>
      <c r="E117" s="1849"/>
      <c r="F117" s="1849"/>
      <c r="G117" s="1849"/>
      <c r="H117" s="1849"/>
      <c r="O117" s="84"/>
      <c r="P117" s="84"/>
    </row>
    <row r="118" spans="1:16" s="1233" customFormat="1">
      <c r="A118" s="2120"/>
      <c r="D118" s="1849"/>
      <c r="E118" s="1849"/>
      <c r="F118" s="1849"/>
      <c r="G118" s="1849"/>
      <c r="H118" s="1849"/>
      <c r="O118" s="84"/>
      <c r="P118" s="84"/>
    </row>
    <row r="119" spans="1:16" s="1233" customFormat="1">
      <c r="A119" s="2120"/>
      <c r="D119" s="1849"/>
      <c r="E119" s="1849"/>
      <c r="F119" s="1849"/>
      <c r="G119" s="1849"/>
      <c r="H119" s="1849"/>
      <c r="O119" s="84"/>
      <c r="P119" s="84"/>
    </row>
    <row r="120" spans="1:16" s="1233" customFormat="1">
      <c r="A120" s="2120"/>
      <c r="D120" s="1849"/>
      <c r="E120" s="1849"/>
      <c r="F120" s="1849"/>
      <c r="G120" s="1849"/>
      <c r="H120" s="1849"/>
      <c r="O120" s="84"/>
      <c r="P120" s="84"/>
    </row>
    <row r="121" spans="1:16" s="1233" customFormat="1">
      <c r="A121" s="2120"/>
      <c r="D121" s="1849"/>
      <c r="E121" s="1849"/>
      <c r="F121" s="1849"/>
      <c r="G121" s="1849"/>
      <c r="H121" s="1849"/>
      <c r="O121" s="84"/>
      <c r="P121" s="84"/>
    </row>
    <row r="122" spans="1:16" s="1233" customFormat="1">
      <c r="A122" s="2120"/>
      <c r="D122" s="1849"/>
      <c r="E122" s="1849"/>
      <c r="F122" s="1849"/>
      <c r="G122" s="1849"/>
      <c r="H122" s="1849"/>
      <c r="O122" s="84"/>
      <c r="P122" s="84"/>
    </row>
    <row r="123" spans="1:16" s="1233" customFormat="1">
      <c r="A123" s="2120"/>
      <c r="D123" s="1849"/>
      <c r="E123" s="1849"/>
      <c r="F123" s="1849"/>
      <c r="G123" s="1849"/>
      <c r="H123" s="1849"/>
      <c r="O123" s="84"/>
      <c r="P123" s="84"/>
    </row>
    <row r="124" spans="1:16" s="1233" customFormat="1">
      <c r="A124" s="2120"/>
      <c r="D124" s="1849"/>
      <c r="E124" s="1849"/>
      <c r="F124" s="1849"/>
      <c r="G124" s="1849"/>
      <c r="H124" s="1849"/>
      <c r="O124" s="84"/>
      <c r="P124" s="84"/>
    </row>
    <row r="125" spans="1:16" s="1233" customFormat="1">
      <c r="A125" s="2120"/>
      <c r="D125" s="1849"/>
      <c r="E125" s="1849"/>
      <c r="F125" s="1849"/>
      <c r="G125" s="1849"/>
      <c r="H125" s="1849"/>
      <c r="O125" s="84"/>
      <c r="P125" s="84"/>
    </row>
    <row r="126" spans="1:16" s="1233" customFormat="1">
      <c r="A126" s="2120"/>
      <c r="D126" s="1849"/>
      <c r="E126" s="1849"/>
      <c r="F126" s="1849"/>
      <c r="G126" s="1849"/>
      <c r="H126" s="1849"/>
      <c r="O126" s="84"/>
      <c r="P126" s="84"/>
    </row>
    <row r="127" spans="1:16" s="1233" customFormat="1">
      <c r="A127" s="2120"/>
      <c r="D127" s="1849"/>
      <c r="E127" s="1849"/>
      <c r="F127" s="1849"/>
      <c r="G127" s="1849"/>
      <c r="H127" s="1849"/>
      <c r="O127" s="84"/>
      <c r="P127" s="84"/>
    </row>
    <row r="128" spans="1:16" s="1233" customFormat="1">
      <c r="A128" s="2120"/>
      <c r="D128" s="1849"/>
      <c r="E128" s="1849"/>
      <c r="F128" s="1849"/>
      <c r="G128" s="1849"/>
      <c r="H128" s="1849"/>
      <c r="O128" s="84"/>
      <c r="P128" s="84"/>
    </row>
    <row r="129" spans="1:16" s="1233" customFormat="1">
      <c r="A129" s="2120"/>
      <c r="D129" s="1849"/>
      <c r="E129" s="1849"/>
      <c r="F129" s="1849"/>
      <c r="G129" s="1849"/>
      <c r="H129" s="1849"/>
      <c r="O129" s="84"/>
      <c r="P129" s="84"/>
    </row>
    <row r="130" spans="1:16" s="1233" customFormat="1">
      <c r="A130" s="2120"/>
      <c r="D130" s="1849"/>
      <c r="E130" s="1849"/>
      <c r="F130" s="1849"/>
      <c r="G130" s="1849"/>
      <c r="H130" s="1849"/>
      <c r="O130" s="84"/>
      <c r="P130" s="84"/>
    </row>
    <row r="131" spans="1:16" s="1233" customFormat="1">
      <c r="A131" s="2120"/>
      <c r="D131" s="1849"/>
      <c r="E131" s="1849"/>
      <c r="F131" s="1849"/>
      <c r="G131" s="1849"/>
      <c r="H131" s="1849"/>
      <c r="O131" s="84"/>
      <c r="P131" s="84"/>
    </row>
    <row r="132" spans="1:16" s="1233" customFormat="1">
      <c r="A132" s="2120"/>
      <c r="D132" s="1849"/>
      <c r="E132" s="1849"/>
      <c r="F132" s="1849"/>
      <c r="G132" s="1849"/>
      <c r="H132" s="1849"/>
      <c r="O132" s="84"/>
      <c r="P132" s="84"/>
    </row>
    <row r="133" spans="1:16" s="1233" customFormat="1">
      <c r="A133" s="2120"/>
      <c r="D133" s="1849"/>
      <c r="E133" s="1849"/>
      <c r="F133" s="1849"/>
      <c r="G133" s="1849"/>
      <c r="H133" s="1849"/>
      <c r="O133" s="84"/>
      <c r="P133" s="84"/>
    </row>
    <row r="134" spans="1:16" s="1233" customFormat="1">
      <c r="A134" s="2120"/>
      <c r="D134" s="1849"/>
      <c r="E134" s="1849"/>
      <c r="F134" s="1849"/>
      <c r="G134" s="1849"/>
      <c r="H134" s="1849"/>
      <c r="O134" s="84"/>
      <c r="P134" s="84"/>
    </row>
    <row r="135" spans="1:16" s="1233" customFormat="1">
      <c r="A135" s="2120"/>
      <c r="D135" s="1849"/>
      <c r="E135" s="1849"/>
      <c r="F135" s="1849"/>
      <c r="G135" s="1849"/>
      <c r="H135" s="1849"/>
      <c r="O135" s="84"/>
      <c r="P135" s="84"/>
    </row>
    <row r="136" spans="1:16" s="1233" customFormat="1">
      <c r="A136" s="2120"/>
      <c r="D136" s="1849"/>
      <c r="E136" s="1849"/>
      <c r="F136" s="1849"/>
      <c r="G136" s="1849"/>
      <c r="H136" s="1849"/>
      <c r="O136" s="84"/>
      <c r="P136" s="84"/>
    </row>
    <row r="137" spans="1:16" s="1233" customFormat="1">
      <c r="A137" s="2120"/>
      <c r="D137" s="1849"/>
      <c r="E137" s="1849"/>
      <c r="F137" s="1849"/>
      <c r="G137" s="1849"/>
      <c r="H137" s="1849"/>
      <c r="O137" s="84"/>
      <c r="P137" s="84"/>
    </row>
    <row r="138" spans="1:16" s="1233" customFormat="1">
      <c r="A138" s="2120"/>
      <c r="D138" s="1849"/>
      <c r="E138" s="1849"/>
      <c r="F138" s="1849"/>
      <c r="G138" s="1849"/>
      <c r="H138" s="1849"/>
      <c r="O138" s="84"/>
      <c r="P138" s="84"/>
    </row>
    <row r="139" spans="1:16" s="1233" customFormat="1">
      <c r="A139" s="2120"/>
      <c r="D139" s="1849"/>
      <c r="E139" s="1849"/>
      <c r="F139" s="1849"/>
      <c r="G139" s="1849"/>
      <c r="H139" s="1849"/>
      <c r="O139" s="84"/>
      <c r="P139" s="84"/>
    </row>
    <row r="140" spans="1:16" s="1233" customFormat="1">
      <c r="A140" s="2120"/>
      <c r="D140" s="1849"/>
      <c r="E140" s="1849"/>
      <c r="F140" s="1849"/>
      <c r="G140" s="1849"/>
      <c r="H140" s="1849"/>
      <c r="O140" s="84"/>
      <c r="P140" s="84"/>
    </row>
    <row r="141" spans="1:16" s="1233" customFormat="1">
      <c r="A141" s="2120"/>
      <c r="D141" s="1849"/>
      <c r="E141" s="1849"/>
      <c r="F141" s="1849"/>
      <c r="G141" s="1849"/>
      <c r="H141" s="1849"/>
      <c r="O141" s="84"/>
      <c r="P141" s="84"/>
    </row>
    <row r="142" spans="1:16" s="1233" customFormat="1">
      <c r="A142" s="2120"/>
      <c r="D142" s="1849"/>
      <c r="E142" s="1849"/>
      <c r="F142" s="1849"/>
      <c r="G142" s="1849"/>
      <c r="H142" s="1849"/>
      <c r="O142" s="84"/>
      <c r="P142" s="84"/>
    </row>
    <row r="143" spans="1:16" s="1233" customFormat="1">
      <c r="A143" s="2120"/>
      <c r="D143" s="1849"/>
      <c r="E143" s="1849"/>
      <c r="F143" s="1849"/>
      <c r="G143" s="1849"/>
      <c r="H143" s="1849"/>
      <c r="O143" s="84"/>
      <c r="P143" s="84"/>
    </row>
    <row r="144" spans="1:16" s="1233" customFormat="1">
      <c r="A144" s="2120"/>
      <c r="D144" s="1849"/>
      <c r="E144" s="1849"/>
      <c r="F144" s="1849"/>
      <c r="G144" s="1849"/>
      <c r="H144" s="1849"/>
      <c r="O144" s="84"/>
      <c r="P144" s="84"/>
    </row>
    <row r="145" spans="1:16" s="1233" customFormat="1">
      <c r="A145" s="2120"/>
      <c r="D145" s="1849"/>
      <c r="E145" s="1849"/>
      <c r="F145" s="1849"/>
      <c r="G145" s="1849"/>
      <c r="H145" s="1849"/>
      <c r="O145" s="84"/>
      <c r="P145" s="84"/>
    </row>
    <row r="146" spans="1:16" s="1233" customFormat="1">
      <c r="A146" s="2120"/>
      <c r="D146" s="1849"/>
      <c r="E146" s="1849"/>
      <c r="F146" s="1849"/>
      <c r="G146" s="1849"/>
      <c r="H146" s="1849"/>
      <c r="O146" s="84"/>
      <c r="P146" s="84"/>
    </row>
    <row r="147" spans="1:16" s="1233" customFormat="1">
      <c r="A147" s="2120"/>
      <c r="D147" s="1849"/>
      <c r="E147" s="1849"/>
      <c r="F147" s="1849"/>
      <c r="G147" s="1849"/>
      <c r="H147" s="1849"/>
      <c r="O147" s="84"/>
      <c r="P147" s="84"/>
    </row>
    <row r="148" spans="1:16" s="1233" customFormat="1">
      <c r="A148" s="2120"/>
      <c r="D148" s="1849"/>
      <c r="E148" s="1849"/>
      <c r="F148" s="1849"/>
      <c r="G148" s="1849"/>
      <c r="H148" s="1849"/>
      <c r="O148" s="84"/>
      <c r="P148" s="84"/>
    </row>
    <row r="149" spans="1:16" s="1233" customFormat="1">
      <c r="A149" s="2120"/>
      <c r="D149" s="1849"/>
      <c r="E149" s="1849"/>
      <c r="F149" s="1849"/>
      <c r="G149" s="1849"/>
      <c r="H149" s="1849"/>
      <c r="O149" s="84"/>
      <c r="P149" s="84"/>
    </row>
    <row r="150" spans="1:16" s="1233" customFormat="1">
      <c r="A150" s="2120"/>
      <c r="D150" s="1849"/>
      <c r="E150" s="1849"/>
      <c r="F150" s="1849"/>
      <c r="G150" s="1849"/>
      <c r="H150" s="1849"/>
      <c r="O150" s="84"/>
      <c r="P150" s="84"/>
    </row>
    <row r="151" spans="1:16" s="1233" customFormat="1">
      <c r="A151" s="2120"/>
      <c r="D151" s="1849"/>
      <c r="E151" s="1849"/>
      <c r="F151" s="1849"/>
      <c r="G151" s="1849"/>
      <c r="H151" s="1849"/>
      <c r="O151" s="84"/>
      <c r="P151" s="84"/>
    </row>
    <row r="152" spans="1:16" s="1233" customFormat="1">
      <c r="A152" s="2120"/>
      <c r="D152" s="1849"/>
      <c r="E152" s="1849"/>
      <c r="F152" s="1849"/>
      <c r="G152" s="1849"/>
      <c r="H152" s="1849"/>
      <c r="O152" s="84"/>
      <c r="P152" s="84"/>
    </row>
    <row r="153" spans="1:16" s="1233" customFormat="1">
      <c r="A153" s="2121"/>
      <c r="B153" s="2069"/>
      <c r="D153" s="1849"/>
      <c r="E153" s="1849"/>
      <c r="F153" s="1849"/>
      <c r="G153" s="1849"/>
      <c r="H153" s="1849"/>
      <c r="O153" s="84"/>
      <c r="P153" s="84"/>
    </row>
    <row r="154" spans="1:16" s="1233" customFormat="1">
      <c r="A154" s="2121"/>
      <c r="B154" s="2069"/>
      <c r="D154" s="1849"/>
      <c r="E154" s="1849"/>
      <c r="F154" s="1849"/>
      <c r="G154" s="1849"/>
      <c r="H154" s="1849"/>
      <c r="O154" s="84"/>
      <c r="P154" s="84"/>
    </row>
    <row r="155" spans="1:16">
      <c r="D155" s="1849"/>
      <c r="E155" s="1849"/>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G11" sqref="G11"/>
    </sheetView>
  </sheetViews>
  <sheetFormatPr defaultRowHeight="14.25"/>
  <cols>
    <col min="1" max="1" width="9.5" style="2136" customWidth="1"/>
    <col min="2" max="2" width="24.5" style="2184" customWidth="1"/>
    <col min="3" max="3" width="24.5" style="2183" customWidth="1"/>
    <col min="4" max="4" width="2.625" style="2183" customWidth="1"/>
    <col min="5" max="5" width="5.875" style="2183" customWidth="1"/>
    <col min="6" max="6" width="27" style="2184" customWidth="1"/>
    <col min="7" max="7" width="27" style="2185" customWidth="1"/>
    <col min="8" max="8" width="11.875" style="2161" customWidth="1"/>
    <col min="9" max="9" width="16.75" style="2162" customWidth="1"/>
    <col min="10" max="10" width="2.625" style="2161" customWidth="1"/>
    <col min="11" max="11" width="11.875" style="2161" customWidth="1"/>
    <col min="12" max="12" width="16.75" style="2162" customWidth="1"/>
    <col min="13" max="13" width="2.625" style="2161" customWidth="1"/>
    <col min="14" max="14" width="11.875" style="2161" customWidth="1"/>
    <col min="15" max="15" width="16.75" style="2162" customWidth="1"/>
    <col min="16" max="16" width="2.625" style="2161" customWidth="1"/>
    <col min="17" max="17" width="11.875" style="2161" customWidth="1"/>
    <col min="18" max="18" width="16.75" style="2163" customWidth="1"/>
    <col min="19" max="29" width="9" style="2135"/>
    <col min="30" max="16384" width="9" style="2136"/>
  </cols>
  <sheetData>
    <row r="1" spans="1:29" s="2128" customFormat="1" ht="19.5" thickBot="1">
      <c r="A1" s="2829" t="s">
        <v>1735</v>
      </c>
      <c r="B1" s="2830"/>
      <c r="C1" s="2830"/>
      <c r="D1" s="2830"/>
      <c r="E1" s="2830"/>
      <c r="F1" s="2830"/>
      <c r="G1" s="2830"/>
      <c r="H1" s="2123"/>
      <c r="I1" s="2124"/>
      <c r="J1" s="2123"/>
      <c r="K1" s="2123"/>
      <c r="L1" s="2124"/>
      <c r="M1" s="2123"/>
      <c r="N1" s="2123"/>
      <c r="O1" s="2124"/>
      <c r="P1" s="2123"/>
      <c r="Q1" s="2125"/>
      <c r="R1" s="2126"/>
      <c r="S1" s="2127"/>
      <c r="T1" s="2127"/>
      <c r="U1" s="2127"/>
      <c r="V1" s="2127"/>
      <c r="W1" s="2127"/>
      <c r="X1" s="2127"/>
      <c r="Y1" s="2127"/>
      <c r="Z1" s="2127"/>
      <c r="AA1" s="2127"/>
      <c r="AB1" s="2127"/>
      <c r="AC1" s="2127"/>
    </row>
    <row r="2" spans="1:29" ht="15.75" thickBot="1">
      <c r="A2" s="2129"/>
      <c r="B2" s="2130"/>
      <c r="C2" s="2131" t="s">
        <v>1736</v>
      </c>
      <c r="D2" s="2132"/>
      <c r="E2" s="2133"/>
      <c r="F2" s="2134"/>
      <c r="G2" s="2131" t="s">
        <v>1737</v>
      </c>
      <c r="H2" s="2135"/>
      <c r="I2" s="2135"/>
      <c r="J2" s="2135"/>
      <c r="K2" s="2135"/>
      <c r="L2" s="2135"/>
      <c r="M2" s="2135"/>
      <c r="N2" s="2135"/>
      <c r="O2" s="2135"/>
      <c r="P2" s="2135"/>
      <c r="Q2" s="2135"/>
      <c r="R2" s="2135"/>
    </row>
    <row r="3" spans="1:29" ht="42.75">
      <c r="A3" s="395" t="s">
        <v>1738</v>
      </c>
      <c r="B3" s="2137" t="s">
        <v>1739</v>
      </c>
      <c r="C3" s="2731" t="s">
        <v>2851</v>
      </c>
      <c r="D3" s="2138"/>
      <c r="E3" s="411" t="s">
        <v>1738</v>
      </c>
      <c r="F3" s="2139" t="s">
        <v>1740</v>
      </c>
      <c r="G3" s="2140" t="s">
        <v>1741</v>
      </c>
      <c r="H3" s="2135"/>
      <c r="I3" s="2135"/>
      <c r="J3" s="2135"/>
      <c r="K3" s="2135"/>
      <c r="L3" s="2135"/>
      <c r="M3" s="2135"/>
      <c r="N3" s="2135"/>
      <c r="O3" s="2135"/>
      <c r="P3" s="2135"/>
      <c r="Q3" s="2135"/>
      <c r="R3" s="2135"/>
    </row>
    <row r="4" spans="1:29" ht="40.5">
      <c r="A4" s="411"/>
      <c r="B4" s="1883" t="s">
        <v>1742</v>
      </c>
      <c r="C4" s="2728" t="s">
        <v>2850</v>
      </c>
      <c r="D4" s="2138"/>
      <c r="E4" s="2141"/>
      <c r="F4" s="2142" t="s">
        <v>1743</v>
      </c>
      <c r="G4" s="2143" t="s">
        <v>1744</v>
      </c>
      <c r="H4" s="2135"/>
      <c r="I4" s="2135"/>
      <c r="J4" s="2135"/>
      <c r="K4" s="2135"/>
      <c r="L4" s="2135"/>
      <c r="M4" s="2135"/>
      <c r="N4" s="2135"/>
      <c r="O4" s="2135"/>
      <c r="P4" s="2135"/>
      <c r="Q4" s="2135"/>
      <c r="R4" s="2135"/>
    </row>
    <row r="5" spans="1:29" ht="54">
      <c r="A5" s="411"/>
      <c r="B5" s="1883" t="s">
        <v>1745</v>
      </c>
      <c r="C5" s="2728" t="s">
        <v>2844</v>
      </c>
      <c r="D5" s="2138"/>
      <c r="E5" s="2141"/>
      <c r="F5" s="1883" t="s">
        <v>1746</v>
      </c>
      <c r="G5" s="2143" t="s">
        <v>1747</v>
      </c>
      <c r="H5" s="2135"/>
      <c r="I5" s="2135"/>
      <c r="J5" s="2135"/>
      <c r="K5" s="2135"/>
      <c r="L5" s="2135"/>
      <c r="M5" s="2135"/>
      <c r="N5" s="2135"/>
      <c r="O5" s="2135"/>
      <c r="P5" s="2135"/>
      <c r="Q5" s="2135"/>
      <c r="R5" s="2135"/>
    </row>
    <row r="6" spans="1:29" ht="67.5">
      <c r="A6" s="411"/>
      <c r="B6" s="1883" t="s">
        <v>1748</v>
      </c>
      <c r="C6" s="2729" t="s">
        <v>2845</v>
      </c>
      <c r="D6" s="2138"/>
      <c r="E6" s="2141"/>
      <c r="F6" s="1883" t="s">
        <v>1749</v>
      </c>
      <c r="G6" s="2143" t="s">
        <v>1750</v>
      </c>
      <c r="H6" s="2135"/>
      <c r="I6" s="2135"/>
      <c r="J6" s="2135"/>
      <c r="K6" s="2135"/>
      <c r="L6" s="2135"/>
      <c r="M6" s="2135"/>
      <c r="N6" s="2135"/>
      <c r="O6" s="2135"/>
      <c r="P6" s="2135"/>
      <c r="Q6" s="2135"/>
      <c r="R6" s="2135"/>
    </row>
    <row r="7" spans="1:29" ht="41.25" thickBot="1">
      <c r="A7" s="411"/>
      <c r="B7" s="1883" t="s">
        <v>1746</v>
      </c>
      <c r="C7" s="2729" t="s">
        <v>2846</v>
      </c>
      <c r="D7" s="2144"/>
      <c r="E7" s="2145"/>
      <c r="F7" s="2146" t="s">
        <v>1751</v>
      </c>
      <c r="G7" s="2147" t="s">
        <v>1752</v>
      </c>
      <c r="H7" s="2135"/>
      <c r="I7" s="2135"/>
      <c r="J7" s="2135"/>
      <c r="K7" s="2135"/>
      <c r="L7" s="2135"/>
      <c r="M7" s="2135"/>
      <c r="N7" s="2135"/>
      <c r="O7" s="2135"/>
      <c r="P7" s="2135"/>
      <c r="Q7" s="2135"/>
      <c r="R7" s="2135"/>
    </row>
    <row r="8" spans="1:29" ht="27">
      <c r="A8" s="411"/>
      <c r="B8" s="1883" t="s">
        <v>1749</v>
      </c>
      <c r="C8" s="2729" t="s">
        <v>2847</v>
      </c>
      <c r="D8" s="2144"/>
      <c r="E8" s="2144"/>
      <c r="F8" s="1242"/>
      <c r="G8" s="1242"/>
      <c r="H8" s="2135"/>
      <c r="I8" s="2135"/>
      <c r="J8" s="2135"/>
      <c r="K8" s="2135"/>
      <c r="L8" s="2135"/>
      <c r="M8" s="2135"/>
      <c r="N8" s="2135"/>
      <c r="O8" s="2135"/>
      <c r="P8" s="2135"/>
      <c r="Q8" s="2135"/>
      <c r="R8" s="2135"/>
    </row>
    <row r="9" spans="1:29" ht="54">
      <c r="A9" s="411"/>
      <c r="B9" s="1883" t="s">
        <v>1753</v>
      </c>
      <c r="C9" s="2728" t="s">
        <v>2848</v>
      </c>
      <c r="D9" s="2138"/>
      <c r="E9" s="2144"/>
      <c r="F9" s="1242"/>
      <c r="G9" s="1242"/>
      <c r="H9" s="2135"/>
      <c r="I9" s="2135"/>
      <c r="J9" s="2135"/>
      <c r="K9" s="2135"/>
      <c r="L9" s="2135"/>
      <c r="M9" s="2135"/>
      <c r="N9" s="2135"/>
      <c r="O9" s="2135"/>
      <c r="P9" s="2135"/>
      <c r="Q9" s="2135"/>
      <c r="R9" s="2135"/>
    </row>
    <row r="10" spans="1:29" s="35" customFormat="1" ht="15.75" thickBot="1">
      <c r="A10" s="2148"/>
      <c r="B10" s="2149" t="s">
        <v>1754</v>
      </c>
      <c r="C10" s="2730" t="s">
        <v>2849</v>
      </c>
      <c r="D10" s="2138"/>
      <c r="E10" s="2138"/>
      <c r="F10" s="1242"/>
      <c r="G10" s="1242"/>
      <c r="H10" s="2150"/>
      <c r="I10" s="2151"/>
      <c r="J10" s="2152"/>
      <c r="K10" s="2150"/>
      <c r="L10" s="2151"/>
      <c r="M10" s="2152"/>
      <c r="N10" s="2150"/>
      <c r="O10" s="2151"/>
      <c r="P10" s="2152"/>
      <c r="Q10" s="2150"/>
      <c r="R10" s="2151"/>
      <c r="S10" s="2135"/>
      <c r="T10" s="2135"/>
      <c r="U10" s="2135"/>
      <c r="V10" s="2135"/>
      <c r="W10" s="2135"/>
      <c r="X10" s="2135"/>
      <c r="Y10" s="2135"/>
      <c r="Z10" s="2135"/>
      <c r="AA10" s="2135"/>
      <c r="AB10" s="2135"/>
      <c r="AC10" s="2135"/>
    </row>
    <row r="11" spans="1:29" s="35" customFormat="1" ht="15">
      <c r="A11" s="2153"/>
      <c r="B11" s="2144"/>
      <c r="C11" s="2138"/>
      <c r="D11" s="2138"/>
      <c r="E11" s="2138"/>
      <c r="F11" s="2144"/>
      <c r="G11" s="1262"/>
      <c r="H11" s="2150"/>
      <c r="I11" s="2151"/>
      <c r="J11" s="2152"/>
      <c r="K11" s="2150"/>
      <c r="L11" s="2151"/>
      <c r="M11" s="2152"/>
      <c r="N11" s="2150"/>
      <c r="O11" s="2151"/>
      <c r="P11" s="2152"/>
      <c r="Q11" s="2150"/>
      <c r="R11" s="2151"/>
      <c r="S11" s="2135"/>
      <c r="T11" s="2135"/>
      <c r="U11" s="2135"/>
      <c r="V11" s="2135"/>
      <c r="W11" s="2135"/>
      <c r="X11" s="2135"/>
      <c r="Y11" s="2135"/>
      <c r="Z11" s="2135"/>
      <c r="AA11" s="2135"/>
      <c r="AB11" s="2135"/>
      <c r="AC11" s="2135"/>
    </row>
    <row r="12" spans="1:29" s="2128" customFormat="1" ht="18">
      <c r="A12" s="2153"/>
      <c r="B12" s="2144"/>
      <c r="C12" s="2138"/>
      <c r="D12" s="2154"/>
      <c r="E12" s="2138"/>
      <c r="F12" s="2144"/>
      <c r="G12" s="1262"/>
      <c r="H12" s="2155"/>
      <c r="I12" s="2156"/>
      <c r="J12" s="2155"/>
      <c r="K12" s="2155"/>
      <c r="L12" s="2157"/>
      <c r="M12" s="2155"/>
      <c r="N12" s="2158"/>
      <c r="O12" s="2159"/>
      <c r="P12" s="2158"/>
      <c r="Q12" s="2158"/>
      <c r="R12" s="2126"/>
      <c r="S12" s="2127"/>
      <c r="T12" s="2127"/>
      <c r="U12" s="2127"/>
      <c r="V12" s="2127"/>
      <c r="W12" s="2127"/>
      <c r="X12" s="2127"/>
      <c r="Y12" s="2127"/>
      <c r="Z12" s="2127"/>
      <c r="AA12" s="2127"/>
      <c r="AB12" s="2127"/>
      <c r="AC12" s="2127"/>
    </row>
    <row r="13" spans="1:29" ht="19.5" thickBot="1">
      <c r="A13" s="2160" t="s">
        <v>1755</v>
      </c>
      <c r="B13" s="2154"/>
      <c r="C13" s="2154"/>
      <c r="D13" s="2132"/>
      <c r="E13" s="2154"/>
      <c r="F13" s="2154"/>
      <c r="G13" s="2154"/>
    </row>
    <row r="14" spans="1:29" ht="15.75" thickBot="1">
      <c r="A14" s="2164"/>
      <c r="B14" s="2165"/>
      <c r="C14" s="2166" t="s">
        <v>1756</v>
      </c>
      <c r="D14" s="2138"/>
      <c r="E14" s="2167"/>
      <c r="F14" s="2167"/>
      <c r="G14" s="2131" t="s">
        <v>1757</v>
      </c>
    </row>
    <row r="15" spans="1:29" ht="42.75">
      <c r="A15" s="25" t="s">
        <v>1758</v>
      </c>
      <c r="B15" s="2168" t="s">
        <v>1739</v>
      </c>
      <c r="C15" s="2169" t="str">
        <f>C3</f>
        <v>——</v>
      </c>
      <c r="D15" s="2138"/>
      <c r="E15" s="2170" t="s">
        <v>1759</v>
      </c>
      <c r="F15" s="2168" t="s">
        <v>1760</v>
      </c>
      <c r="G15" s="51" t="str">
        <f>G3</f>
        <v>估价对象位于XX开发区，园区建设成熟度XX，产业集聚程度XX</v>
      </c>
    </row>
    <row r="16" spans="1:29" ht="42.75">
      <c r="A16" s="629"/>
      <c r="B16" s="1489" t="s">
        <v>1742</v>
      </c>
      <c r="C16" s="2171" t="str">
        <f>C4</f>
        <v>——</v>
      </c>
      <c r="D16" s="2138"/>
      <c r="E16" s="2172"/>
      <c r="F16" s="2173" t="s">
        <v>1743</v>
      </c>
      <c r="G16" s="52" t="str">
        <f>G4</f>
        <v>估价对象周边道路状况、公共交通通达情况、停车便捷程度，综合评价交通便捷度较好</v>
      </c>
    </row>
    <row r="17" spans="1:18" ht="57">
      <c r="A17" s="629"/>
      <c r="B17" s="1489" t="s">
        <v>1745</v>
      </c>
      <c r="C17" s="2171" t="str">
        <f>C5</f>
        <v>估价对象位于北京市副中心西北部，周边办公楼项目较少，入驻率一般，办公集聚程度较差</v>
      </c>
      <c r="D17" s="2144"/>
      <c r="E17" s="2172"/>
      <c r="F17" s="2173" t="s">
        <v>1761</v>
      </c>
      <c r="G17" s="2174"/>
    </row>
    <row r="18" spans="1:18" ht="71.25">
      <c r="A18" s="629"/>
      <c r="B18" s="2173" t="s">
        <v>1748</v>
      </c>
      <c r="C18" s="52" t="str">
        <f>C6</f>
        <v>估价对象周边道路状况为临近金榆路、通8路、快专55路公交线路经过、停车便捷程度较好，综合评价交通便捷度一般</v>
      </c>
      <c r="D18" s="2144"/>
      <c r="E18" s="2172"/>
      <c r="F18" s="2173" t="s">
        <v>1751</v>
      </c>
      <c r="G18" s="52" t="str">
        <f>G7</f>
        <v>该园区内是否有污染型企业，绿化情况，卫生条件，整体环境状况判断</v>
      </c>
    </row>
    <row r="19" spans="1:18" ht="28.5">
      <c r="A19" s="629"/>
      <c r="B19" s="2173" t="s">
        <v>1762</v>
      </c>
      <c r="C19" s="2174"/>
      <c r="D19" s="2138"/>
      <c r="E19" s="2172"/>
      <c r="F19" s="1883" t="s">
        <v>1746</v>
      </c>
      <c r="G19" s="52" t="str">
        <f>G5</f>
        <v>估价对象所在区域公共配套设施齐备情况</v>
      </c>
    </row>
    <row r="20" spans="1:18" ht="57">
      <c r="A20" s="629"/>
      <c r="B20" s="2173" t="s">
        <v>1763</v>
      </c>
      <c r="C20" s="2171" t="str">
        <f>C9</f>
        <v>区域2公里内有自然环境：温榆河；人文环境：北京物资学院；综合评价环境状况较好</v>
      </c>
      <c r="D20" s="2144"/>
      <c r="E20" s="2172"/>
      <c r="F20" s="1883" t="s">
        <v>1764</v>
      </c>
      <c r="G20" s="52" t="str">
        <f>G6</f>
        <v>估价对象所在区域基础设施水平</v>
      </c>
    </row>
    <row r="21" spans="1:18" ht="28.5">
      <c r="A21" s="629"/>
      <c r="B21" s="1883" t="s">
        <v>1746</v>
      </c>
      <c r="C21" s="52" t="str">
        <f>C7</f>
        <v>估价对象所在区域公共配套设施齐备情况一般</v>
      </c>
      <c r="D21" s="2138"/>
      <c r="E21" s="2172"/>
      <c r="F21" s="2173" t="s">
        <v>1765</v>
      </c>
      <c r="G21" s="2175"/>
    </row>
    <row r="22" spans="1:18" ht="28.5">
      <c r="A22" s="629"/>
      <c r="B22" s="1883" t="s">
        <v>1749</v>
      </c>
      <c r="C22" s="52" t="str">
        <f>C8</f>
        <v>估价对象所在区域基础设施水平七通</v>
      </c>
      <c r="D22" s="2138"/>
      <c r="E22" s="2172"/>
      <c r="F22" s="2173" t="s">
        <v>1754</v>
      </c>
      <c r="G22" s="2176"/>
    </row>
    <row r="23" spans="1:18" s="2135" customFormat="1" ht="15.75" thickBot="1">
      <c r="A23" s="629"/>
      <c r="B23" s="2173" t="s">
        <v>1765</v>
      </c>
      <c r="C23" s="2175"/>
      <c r="D23" s="2161"/>
      <c r="E23" s="2177"/>
      <c r="F23" s="2178" t="s">
        <v>1766</v>
      </c>
      <c r="G23" s="2179"/>
      <c r="H23" s="2161"/>
      <c r="I23" s="2162"/>
      <c r="J23" s="2161"/>
      <c r="K23" s="2161"/>
      <c r="L23" s="2162"/>
      <c r="M23" s="2161"/>
      <c r="N23" s="2161"/>
      <c r="O23" s="2162"/>
      <c r="P23" s="2161"/>
      <c r="Q23" s="2161"/>
      <c r="R23" s="2163"/>
    </row>
    <row r="24" spans="1:18" s="2135" customFormat="1" ht="15.75" thickBot="1">
      <c r="A24" s="2180"/>
      <c r="B24" s="2178" t="s">
        <v>1767</v>
      </c>
      <c r="C24" s="53" t="str">
        <f>C10</f>
        <v>城市次干道——温榆河西路</v>
      </c>
      <c r="D24" s="2161"/>
      <c r="E24" s="2181"/>
      <c r="F24" s="2181"/>
      <c r="G24" s="2182"/>
      <c r="H24" s="2161"/>
      <c r="I24" s="2162"/>
      <c r="J24" s="2161"/>
      <c r="K24" s="2161"/>
      <c r="L24" s="2162"/>
      <c r="M24" s="2161"/>
      <c r="N24" s="2161"/>
      <c r="O24" s="2162"/>
      <c r="P24" s="2161"/>
      <c r="Q24" s="2161"/>
      <c r="R24" s="2163"/>
    </row>
    <row r="25" spans="1:18" s="2135" customFormat="1">
      <c r="B25" s="2161"/>
      <c r="C25" s="2161"/>
      <c r="D25" s="2161"/>
      <c r="H25" s="2161"/>
      <c r="I25" s="2162"/>
      <c r="J25" s="2161"/>
      <c r="K25" s="2161"/>
      <c r="L25" s="2162"/>
      <c r="M25" s="2161"/>
      <c r="N25" s="2161"/>
      <c r="O25" s="2162"/>
      <c r="P25" s="2161"/>
      <c r="Q25" s="2161"/>
      <c r="R25" s="2163"/>
    </row>
    <row r="26" spans="1:18" s="2135" customFormat="1">
      <c r="B26" s="2161"/>
      <c r="C26" s="2161"/>
      <c r="D26" s="2161"/>
      <c r="H26" s="2161"/>
      <c r="I26" s="2162"/>
      <c r="J26" s="2161"/>
      <c r="K26" s="2161"/>
      <c r="L26" s="2162"/>
      <c r="M26" s="2161"/>
      <c r="N26" s="2161"/>
      <c r="O26" s="2162"/>
      <c r="P26" s="2161"/>
      <c r="Q26" s="2161"/>
      <c r="R26" s="2163"/>
    </row>
    <row r="27" spans="1:18" s="2135" customFormat="1">
      <c r="B27" s="2161"/>
      <c r="C27" s="2161"/>
      <c r="D27" s="2161"/>
      <c r="H27" s="2161"/>
      <c r="I27" s="2162"/>
      <c r="J27" s="2161"/>
      <c r="K27" s="2161"/>
      <c r="L27" s="2162"/>
      <c r="M27" s="2161"/>
      <c r="N27" s="2161"/>
      <c r="O27" s="2162"/>
      <c r="P27" s="2161"/>
      <c r="Q27" s="2161"/>
      <c r="R27" s="2163"/>
    </row>
    <row r="28" spans="1:18" s="2135" customFormat="1">
      <c r="B28" s="2161"/>
      <c r="C28" s="2161"/>
      <c r="D28" s="2161"/>
      <c r="H28" s="2161"/>
      <c r="I28" s="2162"/>
      <c r="J28" s="2161"/>
      <c r="K28" s="2161"/>
      <c r="L28" s="2162"/>
      <c r="M28" s="2161"/>
      <c r="N28" s="2161"/>
      <c r="O28" s="2162"/>
      <c r="P28" s="2161"/>
      <c r="Q28" s="2161"/>
      <c r="R28" s="2163"/>
    </row>
    <row r="29" spans="1:18" s="2135" customFormat="1">
      <c r="B29" s="2161"/>
      <c r="C29" s="2161"/>
      <c r="D29" s="2161"/>
      <c r="H29" s="2161"/>
      <c r="I29" s="2162"/>
      <c r="J29" s="2161"/>
      <c r="K29" s="2161"/>
      <c r="L29" s="2162"/>
      <c r="M29" s="2161"/>
      <c r="N29" s="2161"/>
      <c r="O29" s="2162"/>
      <c r="P29" s="2161"/>
      <c r="Q29" s="2161"/>
      <c r="R29" s="2163"/>
    </row>
    <row r="30" spans="1:18" s="2135" customFormat="1">
      <c r="B30" s="2161"/>
      <c r="C30" s="2161"/>
      <c r="D30" s="2161"/>
      <c r="H30" s="2161"/>
      <c r="I30" s="2162"/>
      <c r="J30" s="2161"/>
      <c r="K30" s="2161"/>
      <c r="L30" s="2162"/>
      <c r="M30" s="2161"/>
      <c r="N30" s="2161"/>
      <c r="O30" s="2162"/>
      <c r="P30" s="2161"/>
      <c r="Q30" s="2161"/>
      <c r="R30" s="2163"/>
    </row>
    <row r="31" spans="1:18" s="2135" customFormat="1">
      <c r="B31" s="2161"/>
      <c r="C31" s="2161"/>
      <c r="D31" s="2161"/>
      <c r="H31" s="2161"/>
      <c r="I31" s="2162"/>
      <c r="J31" s="2161"/>
      <c r="K31" s="2161"/>
      <c r="L31" s="2162"/>
      <c r="M31" s="2161"/>
      <c r="N31" s="2161"/>
      <c r="O31" s="2162"/>
      <c r="P31" s="2161"/>
      <c r="Q31" s="2161"/>
      <c r="R31" s="2163"/>
    </row>
    <row r="32" spans="1:18" s="2135" customFormat="1">
      <c r="B32" s="2161"/>
      <c r="C32" s="2161"/>
      <c r="D32" s="2161"/>
      <c r="H32" s="2161"/>
      <c r="I32" s="2162"/>
      <c r="J32" s="2161"/>
      <c r="K32" s="2161"/>
      <c r="L32" s="2162"/>
      <c r="M32" s="2161"/>
      <c r="N32" s="2161"/>
      <c r="O32" s="2162"/>
      <c r="P32" s="2161"/>
      <c r="Q32" s="2161"/>
      <c r="R32" s="2163"/>
    </row>
    <row r="33" spans="2:18" s="2135" customFormat="1">
      <c r="B33" s="2161"/>
      <c r="C33" s="2161"/>
      <c r="D33" s="2161"/>
      <c r="H33" s="2161"/>
      <c r="I33" s="2162"/>
      <c r="J33" s="2161"/>
      <c r="K33" s="2161"/>
      <c r="L33" s="2162"/>
      <c r="M33" s="2161"/>
      <c r="N33" s="2161"/>
      <c r="O33" s="2162"/>
      <c r="P33" s="2161"/>
      <c r="Q33" s="2161"/>
      <c r="R33" s="2163"/>
    </row>
    <row r="34" spans="2:18" s="2135" customFormat="1">
      <c r="B34" s="2161"/>
      <c r="C34" s="2161"/>
      <c r="D34" s="2161"/>
      <c r="H34" s="2161"/>
      <c r="I34" s="2162"/>
      <c r="J34" s="2161"/>
      <c r="K34" s="2161"/>
      <c r="L34" s="2162"/>
      <c r="M34" s="2161"/>
      <c r="N34" s="2161"/>
      <c r="O34" s="2162"/>
      <c r="P34" s="2161"/>
      <c r="Q34" s="2161"/>
      <c r="R34" s="2163"/>
    </row>
    <row r="35" spans="2:18" s="2135" customFormat="1">
      <c r="B35" s="2161"/>
      <c r="C35" s="2161"/>
      <c r="D35" s="2161"/>
      <c r="H35" s="2161"/>
      <c r="I35" s="2162"/>
      <c r="J35" s="2161"/>
      <c r="K35" s="2161"/>
      <c r="L35" s="2162"/>
      <c r="M35" s="2161"/>
      <c r="N35" s="2161"/>
      <c r="O35" s="2162"/>
      <c r="P35" s="2161"/>
      <c r="Q35" s="2161"/>
      <c r="R35" s="2163"/>
    </row>
    <row r="36" spans="2:18" s="2135" customFormat="1">
      <c r="B36" s="2161"/>
      <c r="C36" s="2161"/>
      <c r="D36" s="2161"/>
      <c r="H36" s="2161"/>
      <c r="I36" s="2162"/>
      <c r="J36" s="2161"/>
      <c r="K36" s="2161"/>
      <c r="L36" s="2162"/>
      <c r="M36" s="2161"/>
      <c r="N36" s="2161"/>
      <c r="O36" s="2162"/>
      <c r="P36" s="2161"/>
      <c r="Q36" s="2161"/>
      <c r="R36" s="2163"/>
    </row>
    <row r="37" spans="2:18" s="2135" customFormat="1">
      <c r="B37" s="2161"/>
      <c r="C37" s="2161"/>
      <c r="D37" s="2161"/>
      <c r="H37" s="2161"/>
      <c r="I37" s="2162"/>
      <c r="J37" s="2161"/>
      <c r="K37" s="2161"/>
      <c r="L37" s="2162"/>
      <c r="M37" s="2161"/>
      <c r="N37" s="2161"/>
      <c r="O37" s="2162"/>
      <c r="P37" s="2161"/>
      <c r="Q37" s="2161"/>
      <c r="R37" s="2163"/>
    </row>
    <row r="38" spans="2:18" s="2135" customFormat="1">
      <c r="B38" s="2161"/>
      <c r="C38" s="2161"/>
      <c r="D38" s="2161"/>
      <c r="E38" s="2161"/>
      <c r="F38" s="2161"/>
      <c r="G38" s="2162"/>
      <c r="H38" s="2161"/>
      <c r="I38" s="2162"/>
      <c r="J38" s="2161"/>
      <c r="K38" s="2161"/>
      <c r="L38" s="2162"/>
      <c r="M38" s="2161"/>
      <c r="N38" s="2161"/>
      <c r="O38" s="2162"/>
      <c r="P38" s="2161"/>
      <c r="Q38" s="2161"/>
      <c r="R38" s="2163"/>
    </row>
    <row r="39" spans="2:18" s="2135" customFormat="1">
      <c r="B39" s="2161"/>
      <c r="C39" s="2161"/>
      <c r="D39" s="2161"/>
      <c r="E39" s="2161"/>
      <c r="F39" s="2161"/>
      <c r="G39" s="2162"/>
      <c r="H39" s="2161"/>
      <c r="I39" s="2162"/>
      <c r="J39" s="2161"/>
      <c r="K39" s="2161"/>
      <c r="L39" s="2162"/>
      <c r="M39" s="2161"/>
      <c r="N39" s="2161"/>
      <c r="O39" s="2162"/>
      <c r="P39" s="2161"/>
      <c r="Q39" s="2161"/>
      <c r="R39" s="2163"/>
    </row>
    <row r="40" spans="2:18" s="2135" customFormat="1">
      <c r="B40" s="2161"/>
      <c r="C40" s="2161"/>
      <c r="D40" s="2161"/>
      <c r="E40" s="2161"/>
      <c r="F40" s="2161"/>
      <c r="G40" s="2162"/>
      <c r="H40" s="2161"/>
      <c r="I40" s="2162"/>
      <c r="J40" s="2161"/>
      <c r="K40" s="2161"/>
      <c r="L40" s="2162"/>
      <c r="M40" s="2161"/>
      <c r="N40" s="2161"/>
      <c r="O40" s="2162"/>
      <c r="P40" s="2161"/>
      <c r="Q40" s="2161"/>
      <c r="R40" s="2163"/>
    </row>
    <row r="41" spans="2:18" s="2135" customFormat="1">
      <c r="B41" s="2161"/>
      <c r="C41" s="2161"/>
      <c r="D41" s="2161"/>
      <c r="E41" s="2161"/>
      <c r="F41" s="2161"/>
      <c r="G41" s="2162"/>
      <c r="H41" s="2161"/>
      <c r="I41" s="2162"/>
      <c r="J41" s="2161"/>
      <c r="K41" s="2161"/>
      <c r="L41" s="2162"/>
      <c r="M41" s="2161"/>
      <c r="N41" s="2161"/>
      <c r="O41" s="2162"/>
      <c r="P41" s="2161"/>
      <c r="Q41" s="2161"/>
      <c r="R41" s="2163"/>
    </row>
    <row r="42" spans="2:18" s="2135" customFormat="1">
      <c r="B42" s="2161"/>
      <c r="C42" s="2161"/>
      <c r="D42" s="2161"/>
      <c r="E42" s="2161"/>
      <c r="F42" s="2161"/>
      <c r="G42" s="2162"/>
      <c r="H42" s="2161"/>
      <c r="I42" s="2162"/>
      <c r="J42" s="2161"/>
      <c r="K42" s="2161"/>
      <c r="L42" s="2162"/>
      <c r="M42" s="2161"/>
      <c r="N42" s="2161"/>
      <c r="O42" s="2162"/>
      <c r="P42" s="2161"/>
      <c r="Q42" s="2161"/>
      <c r="R42" s="2163"/>
    </row>
    <row r="43" spans="2:18" s="2135" customFormat="1">
      <c r="B43" s="2161"/>
      <c r="C43" s="2161"/>
      <c r="D43" s="2161"/>
      <c r="E43" s="2161"/>
      <c r="F43" s="2161"/>
      <c r="G43" s="2162"/>
      <c r="H43" s="2161"/>
      <c r="I43" s="2162"/>
      <c r="J43" s="2161"/>
      <c r="K43" s="2161"/>
      <c r="L43" s="2162"/>
      <c r="M43" s="2161"/>
      <c r="N43" s="2161"/>
      <c r="O43" s="2162"/>
      <c r="P43" s="2161"/>
      <c r="Q43" s="2161"/>
      <c r="R43" s="2163"/>
    </row>
    <row r="44" spans="2:18" s="2135" customFormat="1">
      <c r="B44" s="2161"/>
      <c r="C44" s="2161"/>
      <c r="D44" s="2161"/>
      <c r="E44" s="2161"/>
      <c r="F44" s="2161"/>
      <c r="G44" s="2162"/>
      <c r="H44" s="2161"/>
      <c r="I44" s="2162"/>
      <c r="J44" s="2161"/>
      <c r="K44" s="2161"/>
      <c r="L44" s="2162"/>
      <c r="M44" s="2161"/>
      <c r="N44" s="2161"/>
      <c r="O44" s="2162"/>
      <c r="P44" s="2161"/>
      <c r="Q44" s="2161"/>
      <c r="R44" s="2163"/>
    </row>
    <row r="45" spans="2:18" s="2135" customFormat="1">
      <c r="B45" s="2161"/>
      <c r="C45" s="2161"/>
      <c r="D45" s="2161"/>
      <c r="E45" s="2161"/>
      <c r="F45" s="2161"/>
      <c r="G45" s="2162"/>
      <c r="H45" s="2161"/>
      <c r="I45" s="2162"/>
      <c r="J45" s="2161"/>
      <c r="K45" s="2161"/>
      <c r="L45" s="2162"/>
      <c r="M45" s="2161"/>
      <c r="N45" s="2161"/>
      <c r="O45" s="2162"/>
      <c r="P45" s="2161"/>
      <c r="Q45" s="2161"/>
      <c r="R45" s="2163"/>
    </row>
    <row r="46" spans="2:18" s="2135" customFormat="1">
      <c r="B46" s="2161"/>
      <c r="C46" s="2161"/>
      <c r="D46" s="2161"/>
      <c r="E46" s="2161"/>
      <c r="F46" s="2161"/>
      <c r="G46" s="2162"/>
      <c r="H46" s="2161"/>
      <c r="I46" s="2162"/>
      <c r="J46" s="2161"/>
      <c r="K46" s="2161"/>
      <c r="L46" s="2162"/>
      <c r="M46" s="2161"/>
      <c r="N46" s="2161"/>
      <c r="O46" s="2162"/>
      <c r="P46" s="2161"/>
      <c r="Q46" s="2161"/>
      <c r="R46" s="2163"/>
    </row>
    <row r="47" spans="2:18" s="2135" customFormat="1">
      <c r="B47" s="2161"/>
      <c r="C47" s="2161"/>
      <c r="D47" s="2161"/>
      <c r="E47" s="2161"/>
      <c r="F47" s="2161"/>
      <c r="G47" s="2162"/>
      <c r="H47" s="2161"/>
      <c r="I47" s="2162"/>
      <c r="J47" s="2161"/>
      <c r="K47" s="2161"/>
      <c r="L47" s="2162"/>
      <c r="M47" s="2161"/>
      <c r="N47" s="2161"/>
      <c r="O47" s="2162"/>
      <c r="P47" s="2161"/>
      <c r="Q47" s="2161"/>
      <c r="R47" s="2163"/>
    </row>
    <row r="48" spans="2:18" s="2135" customFormat="1">
      <c r="B48" s="2161"/>
      <c r="C48" s="2161"/>
      <c r="D48" s="2161"/>
      <c r="E48" s="2161"/>
      <c r="F48" s="2161"/>
      <c r="G48" s="2162"/>
      <c r="H48" s="2161"/>
      <c r="I48" s="2162"/>
      <c r="J48" s="2161"/>
      <c r="K48" s="2161"/>
      <c r="L48" s="2162"/>
      <c r="M48" s="2161"/>
      <c r="N48" s="2161"/>
      <c r="O48" s="2162"/>
      <c r="P48" s="2161"/>
      <c r="Q48" s="2161"/>
      <c r="R48" s="2163"/>
    </row>
    <row r="49" spans="2:18" s="2135" customFormat="1">
      <c r="B49" s="2161"/>
      <c r="C49" s="2161"/>
      <c r="D49" s="2161"/>
      <c r="E49" s="2161"/>
      <c r="F49" s="2161"/>
      <c r="G49" s="2162"/>
      <c r="H49" s="2161"/>
      <c r="I49" s="2162"/>
      <c r="J49" s="2161"/>
      <c r="K49" s="2161"/>
      <c r="L49" s="2162"/>
      <c r="M49" s="2161"/>
      <c r="N49" s="2161"/>
      <c r="O49" s="2162"/>
      <c r="P49" s="2161"/>
      <c r="Q49" s="2161"/>
      <c r="R49" s="2163"/>
    </row>
    <row r="50" spans="2:18" s="2135" customFormat="1">
      <c r="B50" s="2161"/>
      <c r="C50" s="2161"/>
      <c r="D50" s="2161"/>
      <c r="E50" s="2161"/>
      <c r="F50" s="2161"/>
      <c r="G50" s="2162"/>
      <c r="H50" s="2161"/>
      <c r="I50" s="2162"/>
      <c r="J50" s="2161"/>
      <c r="K50" s="2161"/>
      <c r="L50" s="2162"/>
      <c r="M50" s="2161"/>
      <c r="N50" s="2161"/>
      <c r="O50" s="2162"/>
      <c r="P50" s="2161"/>
      <c r="Q50" s="2161"/>
      <c r="R50" s="2163"/>
    </row>
    <row r="51" spans="2:18" s="2135" customFormat="1">
      <c r="B51" s="2161"/>
      <c r="C51" s="2161"/>
      <c r="D51" s="2161"/>
      <c r="E51" s="2161"/>
      <c r="F51" s="2161"/>
      <c r="G51" s="2162"/>
      <c r="H51" s="2161"/>
      <c r="I51" s="2162"/>
      <c r="J51" s="2161"/>
      <c r="K51" s="2161"/>
      <c r="L51" s="2162"/>
      <c r="M51" s="2161"/>
      <c r="N51" s="2161"/>
      <c r="O51" s="2162"/>
      <c r="P51" s="2161"/>
      <c r="Q51" s="2161"/>
      <c r="R51" s="2163"/>
    </row>
    <row r="52" spans="2:18" s="2135" customFormat="1">
      <c r="B52" s="2161"/>
      <c r="C52" s="2161"/>
      <c r="D52" s="2161"/>
      <c r="E52" s="2161"/>
      <c r="F52" s="2161"/>
      <c r="G52" s="2162"/>
      <c r="H52" s="2161"/>
      <c r="I52" s="2162"/>
      <c r="J52" s="2161"/>
      <c r="K52" s="2161"/>
      <c r="L52" s="2162"/>
      <c r="M52" s="2161"/>
      <c r="N52" s="2161"/>
      <c r="O52" s="2162"/>
      <c r="P52" s="2161"/>
      <c r="Q52" s="2161"/>
      <c r="R52" s="2163"/>
    </row>
    <row r="53" spans="2:18" s="2135" customFormat="1">
      <c r="B53" s="2161"/>
      <c r="C53" s="2161"/>
      <c r="D53" s="2161"/>
      <c r="E53" s="2161"/>
      <c r="F53" s="2161"/>
      <c r="G53" s="2162"/>
      <c r="H53" s="2161"/>
      <c r="I53" s="2162"/>
      <c r="J53" s="2161"/>
      <c r="K53" s="2161"/>
      <c r="L53" s="2162"/>
      <c r="M53" s="2161"/>
      <c r="N53" s="2161"/>
      <c r="O53" s="2162"/>
      <c r="P53" s="2161"/>
      <c r="Q53" s="2161"/>
      <c r="R53" s="2163"/>
    </row>
    <row r="54" spans="2:18" s="2135" customFormat="1">
      <c r="B54" s="2161"/>
      <c r="C54" s="2161"/>
      <c r="D54" s="2161"/>
      <c r="E54" s="2161"/>
      <c r="F54" s="2161"/>
      <c r="G54" s="2162"/>
      <c r="H54" s="2161"/>
      <c r="I54" s="2162"/>
      <c r="J54" s="2161"/>
      <c r="K54" s="2161"/>
      <c r="L54" s="2162"/>
      <c r="M54" s="2161"/>
      <c r="N54" s="2161"/>
      <c r="O54" s="2162"/>
      <c r="P54" s="2161"/>
      <c r="Q54" s="2161"/>
      <c r="R54" s="2163"/>
    </row>
    <row r="55" spans="2:18" s="2135" customFormat="1">
      <c r="B55" s="2161"/>
      <c r="C55" s="2161"/>
      <c r="D55" s="2161"/>
      <c r="E55" s="2161"/>
      <c r="F55" s="2161"/>
      <c r="G55" s="2162"/>
      <c r="H55" s="2161"/>
      <c r="I55" s="2162"/>
      <c r="J55" s="2161"/>
      <c r="K55" s="2161"/>
      <c r="L55" s="2162"/>
      <c r="M55" s="2161"/>
      <c r="N55" s="2161"/>
      <c r="O55" s="2162"/>
      <c r="P55" s="2161"/>
      <c r="Q55" s="2161"/>
      <c r="R55" s="2163"/>
    </row>
    <row r="56" spans="2:18" s="2135" customFormat="1">
      <c r="B56" s="2161"/>
      <c r="C56" s="2161"/>
      <c r="D56" s="2161"/>
      <c r="E56" s="2161"/>
      <c r="F56" s="2161"/>
      <c r="G56" s="2162"/>
      <c r="H56" s="2161"/>
      <c r="I56" s="2162"/>
      <c r="J56" s="2161"/>
      <c r="K56" s="2161"/>
      <c r="L56" s="2162"/>
      <c r="M56" s="2161"/>
      <c r="N56" s="2161"/>
      <c r="O56" s="2162"/>
      <c r="P56" s="2161"/>
      <c r="Q56" s="2161"/>
      <c r="R56" s="2163"/>
    </row>
    <row r="57" spans="2:18" s="2135" customFormat="1">
      <c r="B57" s="2161"/>
      <c r="C57" s="2161"/>
      <c r="D57" s="2161"/>
      <c r="E57" s="2161"/>
      <c r="F57" s="2161"/>
      <c r="G57" s="2162"/>
      <c r="H57" s="2161"/>
      <c r="I57" s="2162"/>
      <c r="J57" s="2161"/>
      <c r="K57" s="2161"/>
      <c r="L57" s="2162"/>
      <c r="M57" s="2161"/>
      <c r="N57" s="2161"/>
      <c r="O57" s="2162"/>
      <c r="P57" s="2161"/>
      <c r="Q57" s="2161"/>
      <c r="R57" s="2163"/>
    </row>
    <row r="58" spans="2:18" s="2135" customFormat="1">
      <c r="B58" s="2161"/>
      <c r="C58" s="2161"/>
      <c r="D58" s="2161"/>
      <c r="E58" s="2161"/>
      <c r="F58" s="2161"/>
      <c r="G58" s="2162"/>
      <c r="H58" s="2161"/>
      <c r="I58" s="2162"/>
      <c r="J58" s="2161"/>
      <c r="K58" s="2161"/>
      <c r="L58" s="2162"/>
      <c r="M58" s="2161"/>
      <c r="N58" s="2161"/>
      <c r="O58" s="2162"/>
      <c r="P58" s="2161"/>
      <c r="Q58" s="2161"/>
      <c r="R58" s="2163"/>
    </row>
    <row r="59" spans="2:18" s="2135" customFormat="1">
      <c r="B59" s="2161"/>
      <c r="C59" s="2161"/>
      <c r="D59" s="2161"/>
      <c r="E59" s="2161"/>
      <c r="F59" s="2161"/>
      <c r="G59" s="2162"/>
      <c r="H59" s="2161"/>
      <c r="I59" s="2162"/>
      <c r="J59" s="2161"/>
      <c r="K59" s="2161"/>
      <c r="L59" s="2162"/>
      <c r="M59" s="2161"/>
      <c r="N59" s="2161"/>
      <c r="O59" s="2162"/>
      <c r="P59" s="2161"/>
      <c r="Q59" s="2161"/>
      <c r="R59" s="2163"/>
    </row>
    <row r="60" spans="2:18" s="2135" customFormat="1">
      <c r="B60" s="2161"/>
      <c r="C60" s="2161"/>
      <c r="D60" s="2161"/>
      <c r="E60" s="2161"/>
      <c r="F60" s="2161"/>
      <c r="G60" s="2162"/>
      <c r="H60" s="2161"/>
      <c r="I60" s="2162"/>
      <c r="J60" s="2161"/>
      <c r="K60" s="2161"/>
      <c r="L60" s="2162"/>
      <c r="M60" s="2161"/>
      <c r="N60" s="2161"/>
      <c r="O60" s="2162"/>
      <c r="P60" s="2161"/>
      <c r="Q60" s="2161"/>
      <c r="R60" s="2163"/>
    </row>
    <row r="61" spans="2:18" s="2135" customFormat="1">
      <c r="B61" s="2161"/>
      <c r="C61" s="2161"/>
      <c r="D61" s="2161"/>
      <c r="E61" s="2161"/>
      <c r="F61" s="2161"/>
      <c r="G61" s="2162"/>
      <c r="H61" s="2161"/>
      <c r="I61" s="2162"/>
      <c r="J61" s="2161"/>
      <c r="K61" s="2161"/>
      <c r="L61" s="2162"/>
      <c r="M61" s="2161"/>
      <c r="N61" s="2161"/>
      <c r="O61" s="2162"/>
      <c r="P61" s="2161"/>
      <c r="Q61" s="2161"/>
      <c r="R61" s="2163"/>
    </row>
    <row r="62" spans="2:18" s="2135" customFormat="1">
      <c r="B62" s="2161"/>
      <c r="C62" s="2161"/>
      <c r="D62" s="2161"/>
      <c r="E62" s="2161"/>
      <c r="F62" s="2161"/>
      <c r="G62" s="2162"/>
      <c r="H62" s="2161"/>
      <c r="I62" s="2162"/>
      <c r="J62" s="2161"/>
      <c r="K62" s="2161"/>
      <c r="L62" s="2162"/>
      <c r="M62" s="2161"/>
      <c r="N62" s="2161"/>
      <c r="O62" s="2162"/>
      <c r="P62" s="2161"/>
      <c r="Q62" s="2161"/>
      <c r="R62" s="2163"/>
    </row>
    <row r="63" spans="2:18" s="2135" customFormat="1">
      <c r="B63" s="2161"/>
      <c r="C63" s="2161"/>
      <c r="D63" s="2161"/>
      <c r="E63" s="2161"/>
      <c r="F63" s="2161"/>
      <c r="G63" s="2162"/>
      <c r="H63" s="2161"/>
      <c r="I63" s="2162"/>
      <c r="J63" s="2161"/>
      <c r="K63" s="2161"/>
      <c r="L63" s="2162"/>
      <c r="M63" s="2161"/>
      <c r="N63" s="2161"/>
      <c r="O63" s="2162"/>
      <c r="P63" s="2161"/>
      <c r="Q63" s="2161"/>
      <c r="R63" s="2163"/>
    </row>
    <row r="64" spans="2:18" s="2135" customFormat="1">
      <c r="B64" s="2161"/>
      <c r="C64" s="2161"/>
      <c r="D64" s="2161"/>
      <c r="E64" s="2161"/>
      <c r="F64" s="2161"/>
      <c r="G64" s="2162"/>
      <c r="H64" s="2161"/>
      <c r="I64" s="2162"/>
      <c r="J64" s="2161"/>
      <c r="K64" s="2161"/>
      <c r="L64" s="2162"/>
      <c r="M64" s="2161"/>
      <c r="N64" s="2161"/>
      <c r="O64" s="2162"/>
      <c r="P64" s="2161"/>
      <c r="Q64" s="2161"/>
      <c r="R64" s="2163"/>
    </row>
    <row r="65" spans="2:18" s="2135" customFormat="1">
      <c r="B65" s="2161"/>
      <c r="C65" s="2161"/>
      <c r="D65" s="2161"/>
      <c r="E65" s="2161"/>
      <c r="F65" s="2161"/>
      <c r="G65" s="2162"/>
      <c r="H65" s="2161"/>
      <c r="I65" s="2162"/>
      <c r="J65" s="2161"/>
      <c r="K65" s="2161"/>
      <c r="L65" s="2162"/>
      <c r="M65" s="2161"/>
      <c r="N65" s="2161"/>
      <c r="O65" s="2162"/>
      <c r="P65" s="2161"/>
      <c r="Q65" s="2161"/>
      <c r="R65" s="2163"/>
    </row>
    <row r="66" spans="2:18" s="2135" customFormat="1">
      <c r="B66" s="2161"/>
      <c r="C66" s="2161"/>
      <c r="D66" s="2161"/>
      <c r="E66" s="2161"/>
      <c r="F66" s="2161"/>
      <c r="G66" s="2162"/>
      <c r="H66" s="2161"/>
      <c r="I66" s="2162"/>
      <c r="J66" s="2161"/>
      <c r="K66" s="2161"/>
      <c r="L66" s="2162"/>
      <c r="M66" s="2161"/>
      <c r="N66" s="2161"/>
      <c r="O66" s="2162"/>
      <c r="P66" s="2161"/>
      <c r="Q66" s="2161"/>
      <c r="R66" s="2163"/>
    </row>
    <row r="67" spans="2:18" s="2135" customFormat="1">
      <c r="B67" s="2161"/>
      <c r="C67" s="2161"/>
      <c r="D67" s="2161"/>
      <c r="E67" s="2161"/>
      <c r="F67" s="2161"/>
      <c r="G67" s="2162"/>
      <c r="H67" s="2161"/>
      <c r="I67" s="2162"/>
      <c r="J67" s="2161"/>
      <c r="K67" s="2161"/>
      <c r="L67" s="2162"/>
      <c r="M67" s="2161"/>
      <c r="N67" s="2161"/>
      <c r="O67" s="2162"/>
      <c r="P67" s="2161"/>
      <c r="Q67" s="2161"/>
      <c r="R67" s="2163"/>
    </row>
    <row r="68" spans="2:18" s="2135" customFormat="1">
      <c r="B68" s="2161"/>
      <c r="C68" s="2161"/>
      <c r="D68" s="2161"/>
      <c r="E68" s="2161"/>
      <c r="F68" s="2161"/>
      <c r="G68" s="2162"/>
      <c r="H68" s="2161"/>
      <c r="I68" s="2162"/>
      <c r="J68" s="2161"/>
      <c r="K68" s="2161"/>
      <c r="L68" s="2162"/>
      <c r="M68" s="2161"/>
      <c r="N68" s="2161"/>
      <c r="O68" s="2162"/>
      <c r="P68" s="2161"/>
      <c r="Q68" s="2161"/>
      <c r="R68" s="2163"/>
    </row>
    <row r="69" spans="2:18" s="2135" customFormat="1">
      <c r="B69" s="2161"/>
      <c r="C69" s="2161"/>
      <c r="D69" s="2161"/>
      <c r="E69" s="2161"/>
      <c r="F69" s="2161"/>
      <c r="G69" s="2162"/>
      <c r="H69" s="2161"/>
      <c r="I69" s="2162"/>
      <c r="J69" s="2161"/>
      <c r="K69" s="2161"/>
      <c r="L69" s="2162"/>
      <c r="M69" s="2161"/>
      <c r="N69" s="2161"/>
      <c r="O69" s="2162"/>
      <c r="P69" s="2161"/>
      <c r="Q69" s="2161"/>
      <c r="R69" s="2163"/>
    </row>
    <row r="70" spans="2:18" s="2135" customFormat="1">
      <c r="B70" s="2161"/>
      <c r="C70" s="2161"/>
      <c r="D70" s="2161"/>
      <c r="E70" s="2161"/>
      <c r="F70" s="2161"/>
      <c r="G70" s="2162"/>
      <c r="H70" s="2161"/>
      <c r="I70" s="2162"/>
      <c r="J70" s="2161"/>
      <c r="K70" s="2161"/>
      <c r="L70" s="2162"/>
      <c r="M70" s="2161"/>
      <c r="N70" s="2161"/>
      <c r="O70" s="2162"/>
      <c r="P70" s="2161"/>
      <c r="Q70" s="2161"/>
      <c r="R70" s="2163"/>
    </row>
    <row r="71" spans="2:18" s="2135" customFormat="1">
      <c r="B71" s="2161"/>
      <c r="C71" s="2161"/>
      <c r="D71" s="2161"/>
      <c r="E71" s="2161"/>
      <c r="F71" s="2161"/>
      <c r="G71" s="2162"/>
      <c r="H71" s="2161"/>
      <c r="I71" s="2162"/>
      <c r="J71" s="2161"/>
      <c r="K71" s="2161"/>
      <c r="L71" s="2162"/>
      <c r="M71" s="2161"/>
      <c r="N71" s="2161"/>
      <c r="O71" s="2162"/>
      <c r="P71" s="2161"/>
      <c r="Q71" s="2161"/>
      <c r="R71" s="2163"/>
    </row>
    <row r="72" spans="2:18" s="2135" customFormat="1">
      <c r="B72" s="2161"/>
      <c r="C72" s="2161"/>
      <c r="D72" s="2161"/>
      <c r="E72" s="2161"/>
      <c r="F72" s="2161"/>
      <c r="G72" s="2162"/>
      <c r="H72" s="2161"/>
      <c r="I72" s="2162"/>
      <c r="J72" s="2161"/>
      <c r="K72" s="2161"/>
      <c r="L72" s="2162"/>
      <c r="M72" s="2161"/>
      <c r="N72" s="2161"/>
      <c r="O72" s="2162"/>
      <c r="P72" s="2161"/>
      <c r="Q72" s="2161"/>
      <c r="R72" s="2163"/>
    </row>
    <row r="73" spans="2:18" s="2135" customFormat="1">
      <c r="B73" s="2161"/>
      <c r="C73" s="2161"/>
      <c r="D73" s="2161"/>
      <c r="E73" s="2161"/>
      <c r="F73" s="2161"/>
      <c r="G73" s="2162"/>
      <c r="H73" s="2161"/>
      <c r="I73" s="2162"/>
      <c r="J73" s="2161"/>
      <c r="K73" s="2161"/>
      <c r="L73" s="2162"/>
      <c r="M73" s="2161"/>
      <c r="N73" s="2161"/>
      <c r="O73" s="2162"/>
      <c r="P73" s="2161"/>
      <c r="Q73" s="2161"/>
      <c r="R73" s="2163"/>
    </row>
    <row r="74" spans="2:18" s="2135" customFormat="1">
      <c r="B74" s="2161"/>
      <c r="C74" s="2161"/>
      <c r="D74" s="2161"/>
      <c r="E74" s="2161"/>
      <c r="F74" s="2161"/>
      <c r="G74" s="2162"/>
      <c r="H74" s="2161"/>
      <c r="I74" s="2162"/>
      <c r="J74" s="2161"/>
      <c r="K74" s="2161"/>
      <c r="L74" s="2162"/>
      <c r="M74" s="2161"/>
      <c r="N74" s="2161"/>
      <c r="O74" s="2162"/>
      <c r="P74" s="2161"/>
      <c r="Q74" s="2161"/>
      <c r="R74" s="2163"/>
    </row>
    <row r="75" spans="2:18" s="2135" customFormat="1">
      <c r="B75" s="2161"/>
      <c r="C75" s="2161"/>
      <c r="D75" s="2161"/>
      <c r="E75" s="2161"/>
      <c r="F75" s="2161"/>
      <c r="G75" s="2162"/>
      <c r="H75" s="2161"/>
      <c r="I75" s="2162"/>
      <c r="J75" s="2161"/>
      <c r="K75" s="2161"/>
      <c r="L75" s="2162"/>
      <c r="M75" s="2161"/>
      <c r="N75" s="2161"/>
      <c r="O75" s="2162"/>
      <c r="P75" s="2161"/>
      <c r="Q75" s="2161"/>
      <c r="R75" s="2163"/>
    </row>
    <row r="76" spans="2:18" s="2135" customFormat="1">
      <c r="B76" s="2161"/>
      <c r="C76" s="2161"/>
      <c r="D76" s="2161"/>
      <c r="E76" s="2161"/>
      <c r="F76" s="2161"/>
      <c r="G76" s="2162"/>
      <c r="H76" s="2161"/>
      <c r="I76" s="2162"/>
      <c r="J76" s="2161"/>
      <c r="K76" s="2161"/>
      <c r="L76" s="2162"/>
      <c r="M76" s="2161"/>
      <c r="N76" s="2161"/>
      <c r="O76" s="2162"/>
      <c r="P76" s="2161"/>
      <c r="Q76" s="2161"/>
      <c r="R76" s="2163"/>
    </row>
    <row r="77" spans="2:18" s="2135" customFormat="1">
      <c r="B77" s="2161"/>
      <c r="C77" s="2161"/>
      <c r="D77" s="2161"/>
      <c r="E77" s="2161"/>
      <c r="F77" s="2161"/>
      <c r="G77" s="2162"/>
      <c r="H77" s="2161"/>
      <c r="I77" s="2162"/>
      <c r="J77" s="2161"/>
      <c r="K77" s="2161"/>
      <c r="L77" s="2162"/>
      <c r="M77" s="2161"/>
      <c r="N77" s="2161"/>
      <c r="O77" s="2162"/>
      <c r="P77" s="2161"/>
      <c r="Q77" s="2161"/>
      <c r="R77" s="2163"/>
    </row>
    <row r="78" spans="2:18" s="2135" customFormat="1">
      <c r="B78" s="2161"/>
      <c r="C78" s="2161"/>
      <c r="D78" s="2161"/>
      <c r="E78" s="2161"/>
      <c r="F78" s="2161"/>
      <c r="G78" s="2162"/>
      <c r="H78" s="2161"/>
      <c r="I78" s="2162"/>
      <c r="J78" s="2161"/>
      <c r="K78" s="2161"/>
      <c r="L78" s="2162"/>
      <c r="M78" s="2161"/>
      <c r="N78" s="2161"/>
      <c r="O78" s="2162"/>
      <c r="P78" s="2161"/>
      <c r="Q78" s="2161"/>
      <c r="R78" s="2163"/>
    </row>
    <row r="79" spans="2:18" s="2135" customFormat="1">
      <c r="B79" s="2161"/>
      <c r="C79" s="2161"/>
      <c r="D79" s="2161"/>
      <c r="E79" s="2161"/>
      <c r="F79" s="2161"/>
      <c r="G79" s="2162"/>
      <c r="H79" s="2161"/>
      <c r="I79" s="2162"/>
      <c r="J79" s="2161"/>
      <c r="K79" s="2161"/>
      <c r="L79" s="2162"/>
      <c r="M79" s="2161"/>
      <c r="N79" s="2161"/>
      <c r="O79" s="2162"/>
      <c r="P79" s="2161"/>
      <c r="Q79" s="2161"/>
      <c r="R79" s="2163"/>
    </row>
    <row r="80" spans="2:18" s="2135" customFormat="1">
      <c r="B80" s="2161"/>
      <c r="C80" s="2161"/>
      <c r="D80" s="2161"/>
      <c r="E80" s="2161"/>
      <c r="F80" s="2161"/>
      <c r="G80" s="2162"/>
      <c r="H80" s="2161"/>
      <c r="I80" s="2162"/>
      <c r="J80" s="2161"/>
      <c r="K80" s="2161"/>
      <c r="L80" s="2162"/>
      <c r="M80" s="2161"/>
      <c r="N80" s="2161"/>
      <c r="O80" s="2162"/>
      <c r="P80" s="2161"/>
      <c r="Q80" s="2161"/>
      <c r="R80" s="2163"/>
    </row>
    <row r="81" spans="2:18" s="2135" customFormat="1">
      <c r="B81" s="2161"/>
      <c r="C81" s="2161"/>
      <c r="D81" s="2161"/>
      <c r="E81" s="2161"/>
      <c r="F81" s="2161"/>
      <c r="G81" s="2162"/>
      <c r="H81" s="2161"/>
      <c r="I81" s="2162"/>
      <c r="J81" s="2161"/>
      <c r="K81" s="2161"/>
      <c r="L81" s="2162"/>
      <c r="M81" s="2161"/>
      <c r="N81" s="2161"/>
      <c r="O81" s="2162"/>
      <c r="P81" s="2161"/>
      <c r="Q81" s="2161"/>
      <c r="R81" s="2163"/>
    </row>
    <row r="82" spans="2:18" s="2135" customFormat="1">
      <c r="B82" s="2161"/>
      <c r="C82" s="2161"/>
      <c r="D82" s="2161"/>
      <c r="E82" s="2161"/>
      <c r="F82" s="2161"/>
      <c r="G82" s="2162"/>
      <c r="H82" s="2161"/>
      <c r="I82" s="2162"/>
      <c r="J82" s="2161"/>
      <c r="K82" s="2161"/>
      <c r="L82" s="2162"/>
      <c r="M82" s="2161"/>
      <c r="N82" s="2161"/>
      <c r="O82" s="2162"/>
      <c r="P82" s="2161"/>
      <c r="Q82" s="2161"/>
      <c r="R82" s="2163"/>
    </row>
    <row r="83" spans="2:18" s="2135" customFormat="1">
      <c r="B83" s="2161"/>
      <c r="C83" s="2161"/>
      <c r="D83" s="2161"/>
      <c r="E83" s="2161"/>
      <c r="F83" s="2161"/>
      <c r="G83" s="2162"/>
      <c r="H83" s="2161"/>
      <c r="I83" s="2162"/>
      <c r="J83" s="2161"/>
      <c r="K83" s="2161"/>
      <c r="L83" s="2162"/>
      <c r="M83" s="2161"/>
      <c r="N83" s="2161"/>
      <c r="O83" s="2162"/>
      <c r="P83" s="2161"/>
      <c r="Q83" s="2161"/>
      <c r="R83" s="2163"/>
    </row>
    <row r="84" spans="2:18" s="2135" customFormat="1">
      <c r="B84" s="2161"/>
      <c r="C84" s="2161"/>
      <c r="D84" s="2161"/>
      <c r="E84" s="2161"/>
      <c r="F84" s="2161"/>
      <c r="G84" s="2162"/>
      <c r="H84" s="2161"/>
      <c r="I84" s="2162"/>
      <c r="J84" s="2161"/>
      <c r="K84" s="2161"/>
      <c r="L84" s="2162"/>
      <c r="M84" s="2161"/>
      <c r="N84" s="2161"/>
      <c r="O84" s="2162"/>
      <c r="P84" s="2161"/>
      <c r="Q84" s="2161"/>
      <c r="R84" s="2163"/>
    </row>
    <row r="85" spans="2:18" s="2135" customFormat="1">
      <c r="B85" s="2161"/>
      <c r="C85" s="2161"/>
      <c r="D85" s="2161"/>
      <c r="E85" s="2161"/>
      <c r="F85" s="2161"/>
      <c r="G85" s="2162"/>
      <c r="H85" s="2161"/>
      <c r="I85" s="2162"/>
      <c r="J85" s="2161"/>
      <c r="K85" s="2161"/>
      <c r="L85" s="2162"/>
      <c r="M85" s="2161"/>
      <c r="N85" s="2161"/>
      <c r="O85" s="2162"/>
      <c r="P85" s="2161"/>
      <c r="Q85" s="2161"/>
      <c r="R85" s="2163"/>
    </row>
    <row r="86" spans="2:18" s="2135" customFormat="1">
      <c r="B86" s="2161"/>
      <c r="C86" s="2161"/>
      <c r="D86" s="2161"/>
      <c r="E86" s="2161"/>
      <c r="F86" s="2161"/>
      <c r="G86" s="2162"/>
      <c r="H86" s="2161"/>
      <c r="I86" s="2162"/>
      <c r="J86" s="2161"/>
      <c r="K86" s="2161"/>
      <c r="L86" s="2162"/>
      <c r="M86" s="2161"/>
      <c r="N86" s="2161"/>
      <c r="O86" s="2162"/>
      <c r="P86" s="2161"/>
      <c r="Q86" s="2161"/>
      <c r="R86" s="2163"/>
    </row>
    <row r="87" spans="2:18" s="2135" customFormat="1">
      <c r="B87" s="2161"/>
      <c r="C87" s="2161"/>
      <c r="D87" s="2161"/>
      <c r="E87" s="2161"/>
      <c r="F87" s="2161"/>
      <c r="G87" s="2162"/>
      <c r="H87" s="2161"/>
      <c r="I87" s="2162"/>
      <c r="J87" s="2161"/>
      <c r="K87" s="2161"/>
      <c r="L87" s="2162"/>
      <c r="M87" s="2161"/>
      <c r="N87" s="2161"/>
      <c r="O87" s="2162"/>
      <c r="P87" s="2161"/>
      <c r="Q87" s="2161"/>
      <c r="R87" s="2163"/>
    </row>
    <row r="88" spans="2:18" s="2135" customFormat="1">
      <c r="B88" s="2161"/>
      <c r="C88" s="2161"/>
      <c r="D88" s="2161"/>
      <c r="E88" s="2161"/>
      <c r="F88" s="2161"/>
      <c r="G88" s="2162"/>
      <c r="H88" s="2161"/>
      <c r="I88" s="2162"/>
      <c r="J88" s="2161"/>
      <c r="K88" s="2161"/>
      <c r="L88" s="2162"/>
      <c r="M88" s="2161"/>
      <c r="N88" s="2161"/>
      <c r="O88" s="2162"/>
      <c r="P88" s="2161"/>
      <c r="Q88" s="2161"/>
      <c r="R88" s="2163"/>
    </row>
    <row r="89" spans="2:18" s="2135" customFormat="1">
      <c r="B89" s="2161"/>
      <c r="C89" s="2161"/>
      <c r="D89" s="2161"/>
      <c r="E89" s="2161"/>
      <c r="F89" s="2161"/>
      <c r="G89" s="2162"/>
      <c r="H89" s="2161"/>
      <c r="I89" s="2162"/>
      <c r="J89" s="2161"/>
      <c r="K89" s="2161"/>
      <c r="L89" s="2162"/>
      <c r="M89" s="2161"/>
      <c r="N89" s="2161"/>
      <c r="O89" s="2162"/>
      <c r="P89" s="2161"/>
      <c r="Q89" s="2161"/>
      <c r="R89" s="2163"/>
    </row>
    <row r="90" spans="2:18" s="2135" customFormat="1">
      <c r="B90" s="2161"/>
      <c r="C90" s="2161"/>
      <c r="D90" s="2161"/>
      <c r="E90" s="2161"/>
      <c r="F90" s="2161"/>
      <c r="G90" s="2162"/>
      <c r="H90" s="2161"/>
      <c r="I90" s="2162"/>
      <c r="J90" s="2161"/>
      <c r="K90" s="2161"/>
      <c r="L90" s="2162"/>
      <c r="M90" s="2161"/>
      <c r="N90" s="2161"/>
      <c r="O90" s="2162"/>
      <c r="P90" s="2161"/>
      <c r="Q90" s="2161"/>
      <c r="R90" s="2163"/>
    </row>
    <row r="91" spans="2:18" s="2135" customFormat="1">
      <c r="B91" s="2161"/>
      <c r="C91" s="2161"/>
      <c r="D91" s="2161"/>
      <c r="E91" s="2161"/>
      <c r="F91" s="2161"/>
      <c r="G91" s="2162"/>
      <c r="H91" s="2161"/>
      <c r="I91" s="2162"/>
      <c r="J91" s="2161"/>
      <c r="K91" s="2161"/>
      <c r="L91" s="2162"/>
      <c r="M91" s="2161"/>
      <c r="N91" s="2161"/>
      <c r="O91" s="2162"/>
      <c r="P91" s="2161"/>
      <c r="Q91" s="2161"/>
      <c r="R91" s="2163"/>
    </row>
    <row r="92" spans="2:18" s="2135" customFormat="1">
      <c r="B92" s="2161"/>
      <c r="C92" s="2161"/>
      <c r="D92" s="2161"/>
      <c r="E92" s="2161"/>
      <c r="F92" s="2161"/>
      <c r="G92" s="2162"/>
      <c r="H92" s="2161"/>
      <c r="I92" s="2162"/>
      <c r="J92" s="2161"/>
      <c r="K92" s="2161"/>
      <c r="L92" s="2162"/>
      <c r="M92" s="2161"/>
      <c r="N92" s="2161"/>
      <c r="O92" s="2162"/>
      <c r="P92" s="2161"/>
      <c r="Q92" s="2161"/>
      <c r="R92" s="2163"/>
    </row>
    <row r="93" spans="2:18" s="2135" customFormat="1">
      <c r="B93" s="2161"/>
      <c r="C93" s="2161"/>
      <c r="D93" s="2161"/>
      <c r="E93" s="2161"/>
      <c r="F93" s="2161"/>
      <c r="G93" s="2162"/>
      <c r="H93" s="2161"/>
      <c r="I93" s="2162"/>
      <c r="J93" s="2161"/>
      <c r="K93" s="2161"/>
      <c r="L93" s="2162"/>
      <c r="M93" s="2161"/>
      <c r="N93" s="2161"/>
      <c r="O93" s="2162"/>
      <c r="P93" s="2161"/>
      <c r="Q93" s="2161"/>
      <c r="R93" s="2163"/>
    </row>
    <row r="94" spans="2:18" s="2135" customFormat="1">
      <c r="B94" s="2161"/>
      <c r="C94" s="2161"/>
      <c r="D94" s="2161"/>
      <c r="E94" s="2161"/>
      <c r="F94" s="2161"/>
      <c r="G94" s="2162"/>
      <c r="H94" s="2161"/>
      <c r="I94" s="2162"/>
      <c r="J94" s="2161"/>
      <c r="K94" s="2161"/>
      <c r="L94" s="2162"/>
      <c r="M94" s="2161"/>
      <c r="N94" s="2161"/>
      <c r="O94" s="2162"/>
      <c r="P94" s="2161"/>
      <c r="Q94" s="2161"/>
      <c r="R94" s="2163"/>
    </row>
    <row r="95" spans="2:18" s="2135" customFormat="1">
      <c r="B95" s="2161"/>
      <c r="C95" s="2161"/>
      <c r="D95" s="2161"/>
      <c r="E95" s="2161"/>
      <c r="F95" s="2161"/>
      <c r="G95" s="2162"/>
      <c r="H95" s="2161"/>
      <c r="I95" s="2162"/>
      <c r="J95" s="2161"/>
      <c r="K95" s="2161"/>
      <c r="L95" s="2162"/>
      <c r="M95" s="2161"/>
      <c r="N95" s="2161"/>
      <c r="O95" s="2162"/>
      <c r="P95" s="2161"/>
      <c r="Q95" s="2161"/>
      <c r="R95" s="2163"/>
    </row>
    <row r="96" spans="2:18" s="2135" customFormat="1">
      <c r="B96" s="2161"/>
      <c r="C96" s="2161"/>
      <c r="D96" s="2161"/>
      <c r="E96" s="2161"/>
      <c r="F96" s="2161"/>
      <c r="G96" s="2162"/>
      <c r="H96" s="2161"/>
      <c r="I96" s="2162"/>
      <c r="J96" s="2161"/>
      <c r="K96" s="2161"/>
      <c r="L96" s="2162"/>
      <c r="M96" s="2161"/>
      <c r="N96" s="2161"/>
      <c r="O96" s="2162"/>
      <c r="P96" s="2161"/>
      <c r="Q96" s="2161"/>
      <c r="R96" s="2163"/>
    </row>
    <row r="97" spans="2:18" s="2135" customFormat="1">
      <c r="B97" s="2161"/>
      <c r="C97" s="2161"/>
      <c r="D97" s="2161"/>
      <c r="E97" s="2161"/>
      <c r="F97" s="2161"/>
      <c r="G97" s="2162"/>
      <c r="H97" s="2161"/>
      <c r="I97" s="2162"/>
      <c r="J97" s="2161"/>
      <c r="K97" s="2161"/>
      <c r="L97" s="2162"/>
      <c r="M97" s="2161"/>
      <c r="N97" s="2161"/>
      <c r="O97" s="2162"/>
      <c r="P97" s="2161"/>
      <c r="Q97" s="2161"/>
      <c r="R97" s="2163"/>
    </row>
    <row r="98" spans="2:18" s="2135" customFormat="1">
      <c r="B98" s="2161"/>
      <c r="C98" s="2161"/>
      <c r="D98" s="2161"/>
      <c r="E98" s="2161"/>
      <c r="F98" s="2161"/>
      <c r="G98" s="2162"/>
      <c r="H98" s="2161"/>
      <c r="I98" s="2162"/>
      <c r="J98" s="2161"/>
      <c r="K98" s="2161"/>
      <c r="L98" s="2162"/>
      <c r="M98" s="2161"/>
      <c r="N98" s="2161"/>
      <c r="O98" s="2162"/>
      <c r="P98" s="2161"/>
      <c r="Q98" s="2161"/>
      <c r="R98" s="2163"/>
    </row>
    <row r="99" spans="2:18" s="2135" customFormat="1">
      <c r="B99" s="2161"/>
      <c r="C99" s="2161"/>
      <c r="D99" s="2161"/>
      <c r="E99" s="2161"/>
      <c r="F99" s="2161"/>
      <c r="G99" s="2162"/>
      <c r="H99" s="2161"/>
      <c r="I99" s="2162"/>
      <c r="J99" s="2161"/>
      <c r="K99" s="2161"/>
      <c r="L99" s="2162"/>
      <c r="M99" s="2161"/>
      <c r="N99" s="2161"/>
      <c r="O99" s="2162"/>
      <c r="P99" s="2161"/>
      <c r="Q99" s="2161"/>
      <c r="R99" s="2163"/>
    </row>
    <row r="100" spans="2:18" s="2135" customFormat="1">
      <c r="B100" s="2161"/>
      <c r="C100" s="2161"/>
      <c r="D100" s="2161"/>
      <c r="E100" s="2161"/>
      <c r="F100" s="2161"/>
      <c r="G100" s="2162"/>
      <c r="H100" s="2161"/>
      <c r="I100" s="2162"/>
      <c r="J100" s="2161"/>
      <c r="K100" s="2161"/>
      <c r="L100" s="2162"/>
      <c r="M100" s="2161"/>
      <c r="N100" s="2161"/>
      <c r="O100" s="2162"/>
      <c r="P100" s="2161"/>
      <c r="Q100" s="2161"/>
      <c r="R100" s="2163"/>
    </row>
    <row r="101" spans="2:18" s="2135" customFormat="1">
      <c r="B101" s="2161"/>
      <c r="C101" s="2161"/>
      <c r="D101" s="2161"/>
      <c r="E101" s="2161"/>
      <c r="F101" s="2161"/>
      <c r="G101" s="2162"/>
      <c r="H101" s="2161"/>
      <c r="I101" s="2162"/>
      <c r="J101" s="2161"/>
      <c r="K101" s="2161"/>
      <c r="L101" s="2162"/>
      <c r="M101" s="2161"/>
      <c r="N101" s="2161"/>
      <c r="O101" s="2162"/>
      <c r="P101" s="2161"/>
      <c r="Q101" s="2161"/>
      <c r="R101" s="2163"/>
    </row>
    <row r="102" spans="2:18" s="2135" customFormat="1">
      <c r="B102" s="2161"/>
      <c r="C102" s="2161"/>
      <c r="D102" s="2161"/>
      <c r="E102" s="2161"/>
      <c r="F102" s="2161"/>
      <c r="G102" s="2162"/>
      <c r="H102" s="2161"/>
      <c r="I102" s="2162"/>
      <c r="J102" s="2161"/>
      <c r="K102" s="2161"/>
      <c r="L102" s="2162"/>
      <c r="M102" s="2161"/>
      <c r="N102" s="2161"/>
      <c r="O102" s="2162"/>
      <c r="P102" s="2161"/>
      <c r="Q102" s="2161"/>
      <c r="R102" s="2163"/>
    </row>
    <row r="103" spans="2:18" s="2135" customFormat="1">
      <c r="B103" s="2161"/>
      <c r="C103" s="2161"/>
      <c r="D103" s="2161"/>
      <c r="E103" s="2161"/>
      <c r="F103" s="2161"/>
      <c r="G103" s="2162"/>
      <c r="H103" s="2161"/>
      <c r="I103" s="2162"/>
      <c r="J103" s="2161"/>
      <c r="K103" s="2161"/>
      <c r="L103" s="2162"/>
      <c r="M103" s="2161"/>
      <c r="N103" s="2161"/>
      <c r="O103" s="2162"/>
      <c r="P103" s="2161"/>
      <c r="Q103" s="2161"/>
      <c r="R103" s="2163"/>
    </row>
    <row r="104" spans="2:18" s="2135" customFormat="1">
      <c r="B104" s="2161"/>
      <c r="C104" s="2161"/>
      <c r="D104" s="2161"/>
      <c r="E104" s="2161"/>
      <c r="F104" s="2161"/>
      <c r="G104" s="2162"/>
      <c r="H104" s="2161"/>
      <c r="I104" s="2162"/>
      <c r="J104" s="2161"/>
      <c r="K104" s="2161"/>
      <c r="L104" s="2162"/>
      <c r="M104" s="2161"/>
      <c r="N104" s="2161"/>
      <c r="O104" s="2162"/>
      <c r="P104" s="2161"/>
      <c r="Q104" s="2161"/>
      <c r="R104" s="2163"/>
    </row>
    <row r="105" spans="2:18" s="2135" customFormat="1">
      <c r="B105" s="2161"/>
      <c r="C105" s="2161"/>
      <c r="D105" s="2161"/>
      <c r="E105" s="2161"/>
      <c r="F105" s="2161"/>
      <c r="G105" s="2162"/>
      <c r="H105" s="2161"/>
      <c r="I105" s="2162"/>
      <c r="J105" s="2161"/>
      <c r="K105" s="2161"/>
      <c r="L105" s="2162"/>
      <c r="M105" s="2161"/>
      <c r="N105" s="2161"/>
      <c r="O105" s="2162"/>
      <c r="P105" s="2161"/>
      <c r="Q105" s="2161"/>
      <c r="R105" s="2163"/>
    </row>
    <row r="106" spans="2:18" s="2135" customFormat="1">
      <c r="B106" s="2161"/>
      <c r="C106" s="2161"/>
      <c r="D106" s="2161"/>
      <c r="E106" s="2161"/>
      <c r="F106" s="2161"/>
      <c r="G106" s="2162"/>
      <c r="H106" s="2161"/>
      <c r="I106" s="2162"/>
      <c r="J106" s="2161"/>
      <c r="K106" s="2161"/>
      <c r="L106" s="2162"/>
      <c r="M106" s="2161"/>
      <c r="N106" s="2161"/>
      <c r="O106" s="2162"/>
      <c r="P106" s="2161"/>
      <c r="Q106" s="2161"/>
      <c r="R106" s="2163"/>
    </row>
    <row r="107" spans="2:18" s="2135" customFormat="1">
      <c r="B107" s="2161"/>
      <c r="C107" s="2161"/>
      <c r="D107" s="2161"/>
      <c r="E107" s="2161"/>
      <c r="F107" s="2161"/>
      <c r="G107" s="2162"/>
      <c r="H107" s="2161"/>
      <c r="I107" s="2162"/>
      <c r="J107" s="2161"/>
      <c r="K107" s="2161"/>
      <c r="L107" s="2162"/>
      <c r="M107" s="2161"/>
      <c r="N107" s="2161"/>
      <c r="O107" s="2162"/>
      <c r="P107" s="2161"/>
      <c r="Q107" s="2161"/>
      <c r="R107" s="2163"/>
    </row>
    <row r="108" spans="2:18" s="2135" customFormat="1">
      <c r="B108" s="2161"/>
      <c r="C108" s="2161"/>
      <c r="D108" s="2161"/>
      <c r="E108" s="2161"/>
      <c r="F108" s="2161"/>
      <c r="G108" s="2162"/>
      <c r="H108" s="2161"/>
      <c r="I108" s="2162"/>
      <c r="J108" s="2161"/>
      <c r="K108" s="2161"/>
      <c r="L108" s="2162"/>
      <c r="M108" s="2161"/>
      <c r="N108" s="2161"/>
      <c r="O108" s="2162"/>
      <c r="P108" s="2161"/>
      <c r="Q108" s="2161"/>
      <c r="R108" s="2163"/>
    </row>
    <row r="109" spans="2:18" s="2135" customFormat="1">
      <c r="B109" s="2161"/>
      <c r="C109" s="2161"/>
      <c r="D109" s="2161"/>
      <c r="E109" s="2161"/>
      <c r="F109" s="2161"/>
      <c r="G109" s="2162"/>
      <c r="H109" s="2161"/>
      <c r="I109" s="2162"/>
      <c r="J109" s="2161"/>
      <c r="K109" s="2161"/>
      <c r="L109" s="2162"/>
      <c r="M109" s="2161"/>
      <c r="N109" s="2161"/>
      <c r="O109" s="2162"/>
      <c r="P109" s="2161"/>
      <c r="Q109" s="2161"/>
      <c r="R109" s="2163"/>
    </row>
    <row r="110" spans="2:18" s="2135" customFormat="1">
      <c r="B110" s="2161"/>
      <c r="C110" s="2161"/>
      <c r="D110" s="2161"/>
      <c r="E110" s="2161"/>
      <c r="F110" s="2161"/>
      <c r="G110" s="2162"/>
      <c r="H110" s="2161"/>
      <c r="I110" s="2162"/>
      <c r="J110" s="2161"/>
      <c r="K110" s="2161"/>
      <c r="L110" s="2162"/>
      <c r="M110" s="2161"/>
      <c r="N110" s="2161"/>
      <c r="O110" s="2162"/>
      <c r="P110" s="2161"/>
      <c r="Q110" s="2161"/>
      <c r="R110" s="2163"/>
    </row>
    <row r="111" spans="2:18" s="2135" customFormat="1">
      <c r="B111" s="2161"/>
      <c r="C111" s="2161"/>
      <c r="D111" s="2161"/>
      <c r="E111" s="2161"/>
      <c r="F111" s="2161"/>
      <c r="G111" s="2162"/>
      <c r="H111" s="2161"/>
      <c r="I111" s="2162"/>
      <c r="J111" s="2161"/>
      <c r="K111" s="2161"/>
      <c r="L111" s="2162"/>
      <c r="M111" s="2161"/>
      <c r="N111" s="2161"/>
      <c r="O111" s="2162"/>
      <c r="P111" s="2161"/>
      <c r="Q111" s="2161"/>
      <c r="R111" s="2163"/>
    </row>
    <row r="112" spans="2:18" s="2135" customFormat="1">
      <c r="B112" s="2161"/>
      <c r="C112" s="2161"/>
      <c r="D112" s="2161"/>
      <c r="E112" s="2161"/>
      <c r="F112" s="2161"/>
      <c r="G112" s="2162"/>
      <c r="H112" s="2161"/>
      <c r="I112" s="2162"/>
      <c r="J112" s="2161"/>
      <c r="K112" s="2161"/>
      <c r="L112" s="2162"/>
      <c r="M112" s="2161"/>
      <c r="N112" s="2161"/>
      <c r="O112" s="2162"/>
      <c r="P112" s="2161"/>
      <c r="Q112" s="2161"/>
      <c r="R112" s="2163"/>
    </row>
    <row r="113" spans="2:18" s="2135" customFormat="1">
      <c r="B113" s="2161"/>
      <c r="C113" s="2161"/>
      <c r="D113" s="2161"/>
      <c r="E113" s="2161"/>
      <c r="F113" s="2161"/>
      <c r="G113" s="2162"/>
      <c r="H113" s="2161"/>
      <c r="I113" s="2162"/>
      <c r="J113" s="2161"/>
      <c r="K113" s="2161"/>
      <c r="L113" s="2162"/>
      <c r="M113" s="2161"/>
      <c r="N113" s="2161"/>
      <c r="O113" s="2162"/>
      <c r="P113" s="2161"/>
      <c r="Q113" s="2161"/>
      <c r="R113" s="2163"/>
    </row>
    <row r="114" spans="2:18" s="2135" customFormat="1">
      <c r="B114" s="2161"/>
      <c r="C114" s="2161"/>
      <c r="D114" s="2161"/>
      <c r="E114" s="2161"/>
      <c r="F114" s="2161"/>
      <c r="G114" s="2162"/>
      <c r="H114" s="2161"/>
      <c r="I114" s="2162"/>
      <c r="J114" s="2161"/>
      <c r="K114" s="2161"/>
      <c r="L114" s="2162"/>
      <c r="M114" s="2161"/>
      <c r="N114" s="2161"/>
      <c r="O114" s="2162"/>
      <c r="P114" s="2161"/>
      <c r="Q114" s="2161"/>
      <c r="R114" s="2163"/>
    </row>
    <row r="115" spans="2:18" s="2135" customFormat="1">
      <c r="B115" s="2161"/>
      <c r="C115" s="2161"/>
      <c r="D115" s="2161"/>
      <c r="E115" s="2161"/>
      <c r="F115" s="2161"/>
      <c r="G115" s="2162"/>
      <c r="H115" s="2161"/>
      <c r="I115" s="2162"/>
      <c r="J115" s="2161"/>
      <c r="K115" s="2161"/>
      <c r="L115" s="2162"/>
      <c r="M115" s="2161"/>
      <c r="N115" s="2161"/>
      <c r="O115" s="2162"/>
      <c r="P115" s="2161"/>
      <c r="Q115" s="2161"/>
      <c r="R115" s="2163"/>
    </row>
    <row r="116" spans="2:18" s="2135" customFormat="1">
      <c r="B116" s="2161"/>
      <c r="C116" s="2161"/>
      <c r="D116" s="2161"/>
      <c r="E116" s="2161"/>
      <c r="F116" s="2161"/>
      <c r="G116" s="2162"/>
      <c r="H116" s="2161"/>
      <c r="I116" s="2162"/>
      <c r="J116" s="2161"/>
      <c r="K116" s="2161"/>
      <c r="L116" s="2162"/>
      <c r="M116" s="2161"/>
      <c r="N116" s="2161"/>
      <c r="O116" s="2162"/>
      <c r="P116" s="2161"/>
      <c r="Q116" s="2161"/>
      <c r="R116" s="2163"/>
    </row>
    <row r="117" spans="2:18" s="2135" customFormat="1">
      <c r="B117" s="2161"/>
      <c r="C117" s="2161"/>
      <c r="D117" s="2161"/>
      <c r="E117" s="2161"/>
      <c r="F117" s="2161"/>
      <c r="G117" s="2162"/>
      <c r="H117" s="2161"/>
      <c r="I117" s="2162"/>
      <c r="J117" s="2161"/>
      <c r="K117" s="2161"/>
      <c r="L117" s="2162"/>
      <c r="M117" s="2161"/>
      <c r="N117" s="2161"/>
      <c r="O117" s="2162"/>
      <c r="P117" s="2161"/>
      <c r="Q117" s="2161"/>
      <c r="R117" s="2163"/>
    </row>
    <row r="118" spans="2:18" s="2135" customFormat="1">
      <c r="B118" s="2161"/>
      <c r="C118" s="2161"/>
      <c r="D118" s="2161"/>
      <c r="E118" s="2161"/>
      <c r="F118" s="2161"/>
      <c r="G118" s="2162"/>
      <c r="H118" s="2161"/>
      <c r="I118" s="2162"/>
      <c r="J118" s="2161"/>
      <c r="K118" s="2161"/>
      <c r="L118" s="2162"/>
      <c r="M118" s="2161"/>
      <c r="N118" s="2161"/>
      <c r="O118" s="2162"/>
      <c r="P118" s="2161"/>
      <c r="Q118" s="2161"/>
      <c r="R118" s="2163"/>
    </row>
    <row r="119" spans="2:18" s="2135" customFormat="1">
      <c r="B119" s="2161"/>
      <c r="C119" s="2161"/>
      <c r="D119" s="2161"/>
      <c r="E119" s="2161"/>
      <c r="F119" s="2161"/>
      <c r="G119" s="2162"/>
      <c r="H119" s="2161"/>
      <c r="I119" s="2162"/>
      <c r="J119" s="2161"/>
      <c r="K119" s="2161"/>
      <c r="L119" s="2162"/>
      <c r="M119" s="2161"/>
      <c r="N119" s="2161"/>
      <c r="O119" s="2162"/>
      <c r="P119" s="2161"/>
      <c r="Q119" s="2161"/>
      <c r="R119" s="2163"/>
    </row>
    <row r="120" spans="2:18" s="2135" customFormat="1">
      <c r="B120" s="2161"/>
      <c r="C120" s="2161"/>
      <c r="D120" s="2161"/>
      <c r="E120" s="2161"/>
      <c r="F120" s="2161"/>
      <c r="G120" s="2162"/>
      <c r="H120" s="2161"/>
      <c r="I120" s="2162"/>
      <c r="J120" s="2161"/>
      <c r="K120" s="2161"/>
      <c r="L120" s="2162"/>
      <c r="M120" s="2161"/>
      <c r="N120" s="2161"/>
      <c r="O120" s="2162"/>
      <c r="P120" s="2161"/>
      <c r="Q120" s="2161"/>
      <c r="R120" s="2163"/>
    </row>
    <row r="121" spans="2:18" s="2135" customFormat="1">
      <c r="B121" s="2161"/>
      <c r="C121" s="2161"/>
      <c r="D121" s="2161"/>
      <c r="E121" s="2161"/>
      <c r="F121" s="2161"/>
      <c r="G121" s="2162"/>
      <c r="H121" s="2161"/>
      <c r="I121" s="2162"/>
      <c r="J121" s="2161"/>
      <c r="K121" s="2161"/>
      <c r="L121" s="2162"/>
      <c r="M121" s="2161"/>
      <c r="N121" s="2161"/>
      <c r="O121" s="2162"/>
      <c r="P121" s="2161"/>
      <c r="Q121" s="2161"/>
      <c r="R121" s="2163"/>
    </row>
    <row r="122" spans="2:18" s="2135" customFormat="1">
      <c r="B122" s="2161"/>
      <c r="C122" s="2161"/>
      <c r="D122" s="2161"/>
      <c r="E122" s="2161"/>
      <c r="F122" s="2161"/>
      <c r="G122" s="2162"/>
      <c r="H122" s="2161"/>
      <c r="I122" s="2162"/>
      <c r="J122" s="2161"/>
      <c r="K122" s="2161"/>
      <c r="L122" s="2162"/>
      <c r="M122" s="2161"/>
      <c r="N122" s="2161"/>
      <c r="O122" s="2162"/>
      <c r="P122" s="2161"/>
      <c r="Q122" s="2161"/>
      <c r="R122" s="2163"/>
    </row>
    <row r="123" spans="2:18" s="2135" customFormat="1">
      <c r="B123" s="2161"/>
      <c r="C123" s="2161"/>
      <c r="D123" s="2161"/>
      <c r="E123" s="2161"/>
      <c r="F123" s="2161"/>
      <c r="G123" s="2162"/>
      <c r="H123" s="2161"/>
      <c r="I123" s="2162"/>
      <c r="J123" s="2161"/>
      <c r="K123" s="2161"/>
      <c r="L123" s="2162"/>
      <c r="M123" s="2161"/>
      <c r="N123" s="2161"/>
      <c r="O123" s="2162"/>
      <c r="P123" s="2161"/>
      <c r="Q123" s="2161"/>
      <c r="R123" s="2163"/>
    </row>
    <row r="124" spans="2:18" s="2135" customFormat="1">
      <c r="B124" s="2161"/>
      <c r="C124" s="2161"/>
      <c r="D124" s="2161"/>
      <c r="E124" s="2161"/>
      <c r="F124" s="2161"/>
      <c r="G124" s="2162"/>
      <c r="H124" s="2161"/>
      <c r="I124" s="2162"/>
      <c r="J124" s="2161"/>
      <c r="K124" s="2161"/>
      <c r="L124" s="2162"/>
      <c r="M124" s="2161"/>
      <c r="N124" s="2161"/>
      <c r="O124" s="2162"/>
      <c r="P124" s="2161"/>
      <c r="Q124" s="2161"/>
      <c r="R124" s="2163"/>
    </row>
    <row r="125" spans="2:18" s="2135" customFormat="1">
      <c r="B125" s="2161"/>
      <c r="C125" s="2161"/>
      <c r="D125" s="2161"/>
      <c r="E125" s="2161"/>
      <c r="F125" s="2161"/>
      <c r="G125" s="2162"/>
      <c r="H125" s="2161"/>
      <c r="I125" s="2162"/>
      <c r="J125" s="2161"/>
      <c r="K125" s="2161"/>
      <c r="L125" s="2162"/>
      <c r="M125" s="2161"/>
      <c r="N125" s="2161"/>
      <c r="O125" s="2162"/>
      <c r="P125" s="2161"/>
      <c r="Q125" s="2161"/>
      <c r="R125" s="2163"/>
    </row>
    <row r="126" spans="2:18" s="2135" customFormat="1">
      <c r="B126" s="2161"/>
      <c r="C126" s="2161"/>
      <c r="D126" s="2161"/>
      <c r="E126" s="2161"/>
      <c r="F126" s="2161"/>
      <c r="G126" s="2162"/>
      <c r="H126" s="2161"/>
      <c r="I126" s="2162"/>
      <c r="J126" s="2161"/>
      <c r="K126" s="2161"/>
      <c r="L126" s="2162"/>
      <c r="M126" s="2161"/>
      <c r="N126" s="2161"/>
      <c r="O126" s="2162"/>
      <c r="P126" s="2161"/>
      <c r="Q126" s="2161"/>
      <c r="R126" s="2163"/>
    </row>
    <row r="127" spans="2:18" s="2135" customFormat="1">
      <c r="B127" s="2161"/>
      <c r="C127" s="2161"/>
      <c r="D127" s="2161"/>
      <c r="E127" s="2161"/>
      <c r="F127" s="2161"/>
      <c r="G127" s="2162"/>
      <c r="H127" s="2161"/>
      <c r="I127" s="2162"/>
      <c r="J127" s="2161"/>
      <c r="K127" s="2161"/>
      <c r="L127" s="2162"/>
      <c r="M127" s="2161"/>
      <c r="N127" s="2161"/>
      <c r="O127" s="2162"/>
      <c r="P127" s="2161"/>
      <c r="Q127" s="2161"/>
      <c r="R127" s="2163"/>
    </row>
    <row r="128" spans="2:18" s="2135" customFormat="1">
      <c r="B128" s="2161"/>
      <c r="C128" s="2161"/>
      <c r="D128" s="2161"/>
      <c r="E128" s="2161"/>
      <c r="F128" s="2161"/>
      <c r="G128" s="2162"/>
      <c r="H128" s="2161"/>
      <c r="I128" s="2162"/>
      <c r="J128" s="2161"/>
      <c r="K128" s="2161"/>
      <c r="L128" s="2162"/>
      <c r="M128" s="2161"/>
      <c r="N128" s="2161"/>
      <c r="O128" s="2162"/>
      <c r="P128" s="2161"/>
      <c r="Q128" s="2161"/>
      <c r="R128" s="2163"/>
    </row>
    <row r="129" spans="2:18" s="2135" customFormat="1">
      <c r="B129" s="2161"/>
      <c r="C129" s="2161"/>
      <c r="D129" s="2161"/>
      <c r="E129" s="2161"/>
      <c r="F129" s="2161"/>
      <c r="G129" s="2162"/>
      <c r="H129" s="2161"/>
      <c r="I129" s="2162"/>
      <c r="J129" s="2161"/>
      <c r="K129" s="2161"/>
      <c r="L129" s="2162"/>
      <c r="M129" s="2161"/>
      <c r="N129" s="2161"/>
      <c r="O129" s="2162"/>
      <c r="P129" s="2161"/>
      <c r="Q129" s="2161"/>
      <c r="R129" s="2163"/>
    </row>
    <row r="130" spans="2:18" s="2135" customFormat="1">
      <c r="B130" s="2161"/>
      <c r="C130" s="2161"/>
      <c r="D130" s="2161"/>
      <c r="E130" s="2161"/>
      <c r="F130" s="2161"/>
      <c r="G130" s="2162"/>
      <c r="H130" s="2161"/>
      <c r="I130" s="2162"/>
      <c r="J130" s="2161"/>
      <c r="K130" s="2161"/>
      <c r="L130" s="2162"/>
      <c r="M130" s="2161"/>
      <c r="N130" s="2161"/>
      <c r="O130" s="2162"/>
      <c r="P130" s="2161"/>
      <c r="Q130" s="2161"/>
      <c r="R130" s="2163"/>
    </row>
    <row r="131" spans="2:18" s="2135" customFormat="1">
      <c r="B131" s="2161"/>
      <c r="C131" s="2161"/>
      <c r="D131" s="2161"/>
      <c r="E131" s="2161"/>
      <c r="F131" s="2161"/>
      <c r="G131" s="2162"/>
      <c r="H131" s="2161"/>
      <c r="I131" s="2162"/>
      <c r="J131" s="2161"/>
      <c r="K131" s="2161"/>
      <c r="L131" s="2162"/>
      <c r="M131" s="2161"/>
      <c r="N131" s="2161"/>
      <c r="O131" s="2162"/>
      <c r="P131" s="2161"/>
      <c r="Q131" s="2161"/>
      <c r="R131" s="2163"/>
    </row>
    <row r="132" spans="2:18" s="2135" customFormat="1">
      <c r="B132" s="2161"/>
      <c r="C132" s="2161"/>
      <c r="D132" s="2161"/>
      <c r="E132" s="2161"/>
      <c r="F132" s="2161"/>
      <c r="G132" s="2162"/>
      <c r="H132" s="2161"/>
      <c r="I132" s="2162"/>
      <c r="J132" s="2161"/>
      <c r="K132" s="2161"/>
      <c r="L132" s="2162"/>
      <c r="M132" s="2161"/>
      <c r="N132" s="2161"/>
      <c r="O132" s="2162"/>
      <c r="P132" s="2161"/>
      <c r="Q132" s="2161"/>
      <c r="R132" s="2163"/>
    </row>
    <row r="133" spans="2:18" s="2135" customFormat="1">
      <c r="B133" s="2161"/>
      <c r="C133" s="2161"/>
      <c r="D133" s="2161"/>
      <c r="E133" s="2161"/>
      <c r="F133" s="2161"/>
      <c r="G133" s="2162"/>
      <c r="H133" s="2161"/>
      <c r="I133" s="2162"/>
      <c r="J133" s="2161"/>
      <c r="K133" s="2161"/>
      <c r="L133" s="2162"/>
      <c r="M133" s="2161"/>
      <c r="N133" s="2161"/>
      <c r="O133" s="2162"/>
      <c r="P133" s="2161"/>
      <c r="Q133" s="2161"/>
      <c r="R133" s="2163"/>
    </row>
    <row r="134" spans="2:18" s="2135" customFormat="1">
      <c r="B134" s="2161"/>
      <c r="C134" s="2161"/>
      <c r="D134" s="2161"/>
      <c r="E134" s="2161"/>
      <c r="F134" s="2161"/>
      <c r="G134" s="2162"/>
      <c r="H134" s="2161"/>
      <c r="I134" s="2162"/>
      <c r="J134" s="2161"/>
      <c r="K134" s="2161"/>
      <c r="L134" s="2162"/>
      <c r="M134" s="2161"/>
      <c r="N134" s="2161"/>
      <c r="O134" s="2162"/>
      <c r="P134" s="2161"/>
      <c r="Q134" s="2161"/>
      <c r="R134" s="2163"/>
    </row>
    <row r="135" spans="2:18" s="2135" customFormat="1">
      <c r="B135" s="2161"/>
      <c r="C135" s="2161"/>
      <c r="D135" s="2161"/>
      <c r="E135" s="2161"/>
      <c r="F135" s="2161"/>
      <c r="G135" s="2162"/>
      <c r="H135" s="2161"/>
      <c r="I135" s="2162"/>
      <c r="J135" s="2161"/>
      <c r="K135" s="2161"/>
      <c r="L135" s="2162"/>
      <c r="M135" s="2161"/>
      <c r="N135" s="2161"/>
      <c r="O135" s="2162"/>
      <c r="P135" s="2161"/>
      <c r="Q135" s="2161"/>
      <c r="R135" s="2163"/>
    </row>
    <row r="136" spans="2:18" s="2135" customFormat="1">
      <c r="B136" s="2161"/>
      <c r="C136" s="2161"/>
      <c r="D136" s="2161"/>
      <c r="E136" s="2161"/>
      <c r="F136" s="2161"/>
      <c r="G136" s="2162"/>
      <c r="H136" s="2161"/>
      <c r="I136" s="2162"/>
      <c r="J136" s="2161"/>
      <c r="K136" s="2161"/>
      <c r="L136" s="2162"/>
      <c r="M136" s="2161"/>
      <c r="N136" s="2161"/>
      <c r="O136" s="2162"/>
      <c r="P136" s="2161"/>
      <c r="Q136" s="2161"/>
      <c r="R136" s="2163"/>
    </row>
    <row r="137" spans="2:18" s="2135" customFormat="1">
      <c r="B137" s="2161"/>
      <c r="C137" s="2161"/>
      <c r="D137" s="2161"/>
      <c r="E137" s="2161"/>
      <c r="F137" s="2161"/>
      <c r="G137" s="2162"/>
      <c r="H137" s="2161"/>
      <c r="I137" s="2162"/>
      <c r="J137" s="2161"/>
      <c r="K137" s="2161"/>
      <c r="L137" s="2162"/>
      <c r="M137" s="2161"/>
      <c r="N137" s="2161"/>
      <c r="O137" s="2162"/>
      <c r="P137" s="2161"/>
      <c r="Q137" s="2161"/>
      <c r="R137" s="2163"/>
    </row>
    <row r="138" spans="2:18" s="2135" customFormat="1">
      <c r="B138" s="2161"/>
      <c r="C138" s="2161"/>
      <c r="D138" s="2161"/>
      <c r="E138" s="2161"/>
      <c r="F138" s="2161"/>
      <c r="G138" s="2162"/>
      <c r="H138" s="2161"/>
      <c r="I138" s="2162"/>
      <c r="J138" s="2161"/>
      <c r="K138" s="2161"/>
      <c r="L138" s="2162"/>
      <c r="M138" s="2161"/>
      <c r="N138" s="2161"/>
      <c r="O138" s="2162"/>
      <c r="P138" s="2161"/>
      <c r="Q138" s="2161"/>
      <c r="R138" s="2163"/>
    </row>
    <row r="139" spans="2:18" s="2135" customFormat="1">
      <c r="B139" s="2161"/>
      <c r="C139" s="2161"/>
      <c r="D139" s="2161"/>
      <c r="E139" s="2161"/>
      <c r="F139" s="2161"/>
      <c r="G139" s="2162"/>
      <c r="H139" s="2161"/>
      <c r="I139" s="2162"/>
      <c r="J139" s="2161"/>
      <c r="K139" s="2161"/>
      <c r="L139" s="2162"/>
      <c r="M139" s="2161"/>
      <c r="N139" s="2161"/>
      <c r="O139" s="2162"/>
      <c r="P139" s="2161"/>
      <c r="Q139" s="2161"/>
      <c r="R139" s="2163"/>
    </row>
    <row r="140" spans="2:18" s="2135" customFormat="1">
      <c r="B140" s="2161"/>
      <c r="C140" s="2161"/>
      <c r="D140" s="2161"/>
      <c r="E140" s="2161"/>
      <c r="F140" s="2161"/>
      <c r="G140" s="2162"/>
      <c r="H140" s="2161"/>
      <c r="I140" s="2162"/>
      <c r="J140" s="2161"/>
      <c r="K140" s="2161"/>
      <c r="L140" s="2162"/>
      <c r="M140" s="2161"/>
      <c r="N140" s="2161"/>
      <c r="O140" s="2162"/>
      <c r="P140" s="2161"/>
      <c r="Q140" s="2161"/>
      <c r="R140" s="2163"/>
    </row>
    <row r="141" spans="2:18" s="2135" customFormat="1">
      <c r="B141" s="2161"/>
      <c r="C141" s="2161"/>
      <c r="D141" s="2161"/>
      <c r="E141" s="2161"/>
      <c r="F141" s="2161"/>
      <c r="G141" s="2162"/>
      <c r="H141" s="2161"/>
      <c r="I141" s="2162"/>
      <c r="J141" s="2161"/>
      <c r="K141" s="2161"/>
      <c r="L141" s="2162"/>
      <c r="M141" s="2161"/>
      <c r="N141" s="2161"/>
      <c r="O141" s="2162"/>
      <c r="P141" s="2161"/>
      <c r="Q141" s="2161"/>
      <c r="R141" s="2163"/>
    </row>
    <row r="142" spans="2:18" s="2135" customFormat="1">
      <c r="B142" s="2161"/>
      <c r="C142" s="2161"/>
      <c r="D142" s="2161"/>
      <c r="E142" s="2161"/>
      <c r="F142" s="2161"/>
      <c r="G142" s="2162"/>
      <c r="H142" s="2161"/>
      <c r="I142" s="2162"/>
      <c r="J142" s="2161"/>
      <c r="K142" s="2161"/>
      <c r="L142" s="2162"/>
      <c r="M142" s="2161"/>
      <c r="N142" s="2161"/>
      <c r="O142" s="2162"/>
      <c r="P142" s="2161"/>
      <c r="Q142" s="2161"/>
      <c r="R142" s="2163"/>
    </row>
    <row r="143" spans="2:18" s="2135" customFormat="1">
      <c r="B143" s="2161"/>
      <c r="C143" s="2161"/>
      <c r="D143" s="2161"/>
      <c r="E143" s="2161"/>
      <c r="F143" s="2161"/>
      <c r="G143" s="2162"/>
      <c r="H143" s="2161"/>
      <c r="I143" s="2162"/>
      <c r="J143" s="2161"/>
      <c r="K143" s="2161"/>
      <c r="L143" s="2162"/>
      <c r="M143" s="2161"/>
      <c r="N143" s="2161"/>
      <c r="O143" s="2162"/>
      <c r="P143" s="2161"/>
      <c r="Q143" s="2161"/>
      <c r="R143" s="2163"/>
    </row>
    <row r="144" spans="2:18" s="2135" customFormat="1">
      <c r="B144" s="2161"/>
      <c r="C144" s="2161"/>
      <c r="D144" s="2161"/>
      <c r="E144" s="2161"/>
      <c r="F144" s="2161"/>
      <c r="G144" s="2162"/>
      <c r="H144" s="2161"/>
      <c r="I144" s="2162"/>
      <c r="J144" s="2161"/>
      <c r="K144" s="2161"/>
      <c r="L144" s="2162"/>
      <c r="M144" s="2161"/>
      <c r="N144" s="2161"/>
      <c r="O144" s="2162"/>
      <c r="P144" s="2161"/>
      <c r="Q144" s="2161"/>
      <c r="R144" s="2163"/>
    </row>
    <row r="145" spans="2:18" s="2135" customFormat="1">
      <c r="B145" s="2161"/>
      <c r="C145" s="2161"/>
      <c r="D145" s="2161"/>
      <c r="E145" s="2161"/>
      <c r="F145" s="2161"/>
      <c r="G145" s="2162"/>
      <c r="H145" s="2161"/>
      <c r="I145" s="2162"/>
      <c r="J145" s="2161"/>
      <c r="K145" s="2161"/>
      <c r="L145" s="2162"/>
      <c r="M145" s="2161"/>
      <c r="N145" s="2161"/>
      <c r="O145" s="2162"/>
      <c r="P145" s="2161"/>
      <c r="Q145" s="2161"/>
      <c r="R145" s="2163"/>
    </row>
    <row r="146" spans="2:18" s="2135" customFormat="1">
      <c r="B146" s="2161"/>
      <c r="C146" s="2161"/>
      <c r="D146" s="2161"/>
      <c r="E146" s="2161"/>
      <c r="F146" s="2161"/>
      <c r="G146" s="2162"/>
      <c r="H146" s="2161"/>
      <c r="I146" s="2162"/>
      <c r="J146" s="2161"/>
      <c r="K146" s="2161"/>
      <c r="L146" s="2162"/>
      <c r="M146" s="2161"/>
      <c r="N146" s="2161"/>
      <c r="O146" s="2162"/>
      <c r="P146" s="2161"/>
      <c r="Q146" s="2161"/>
      <c r="R146" s="2163"/>
    </row>
    <row r="147" spans="2:18" s="2135" customFormat="1">
      <c r="B147" s="2161"/>
      <c r="C147" s="2161"/>
      <c r="D147" s="2161"/>
      <c r="E147" s="2161"/>
      <c r="F147" s="2161"/>
      <c r="G147" s="2162"/>
      <c r="H147" s="2161"/>
      <c r="I147" s="2162"/>
      <c r="J147" s="2161"/>
      <c r="K147" s="2161"/>
      <c r="L147" s="2162"/>
      <c r="M147" s="2161"/>
      <c r="N147" s="2161"/>
      <c r="O147" s="2162"/>
      <c r="P147" s="2161"/>
      <c r="Q147" s="2161"/>
      <c r="R147" s="2163"/>
    </row>
    <row r="148" spans="2:18" s="2135" customFormat="1">
      <c r="B148" s="2161"/>
      <c r="C148" s="2161"/>
      <c r="D148" s="2161"/>
      <c r="E148" s="2161"/>
      <c r="F148" s="2161"/>
      <c r="G148" s="2162"/>
      <c r="H148" s="2161"/>
      <c r="I148" s="2162"/>
      <c r="J148" s="2161"/>
      <c r="K148" s="2161"/>
      <c r="L148" s="2162"/>
      <c r="M148" s="2161"/>
      <c r="N148" s="2161"/>
      <c r="O148" s="2162"/>
      <c r="P148" s="2161"/>
      <c r="Q148" s="2161"/>
      <c r="R148" s="2163"/>
    </row>
    <row r="149" spans="2:18" s="2135" customFormat="1">
      <c r="B149" s="2161"/>
      <c r="C149" s="2161"/>
      <c r="D149" s="2161"/>
      <c r="E149" s="2161"/>
      <c r="F149" s="2161"/>
      <c r="G149" s="2162"/>
      <c r="H149" s="2161"/>
      <c r="I149" s="2162"/>
      <c r="J149" s="2161"/>
      <c r="K149" s="2161"/>
      <c r="L149" s="2162"/>
      <c r="M149" s="2161"/>
      <c r="N149" s="2161"/>
      <c r="O149" s="2162"/>
      <c r="P149" s="2161"/>
      <c r="Q149" s="2161"/>
      <c r="R149" s="2163"/>
    </row>
    <row r="150" spans="2:18" s="2135" customFormat="1">
      <c r="B150" s="2161"/>
      <c r="C150" s="2161"/>
      <c r="D150" s="2161"/>
      <c r="E150" s="2161"/>
      <c r="F150" s="2161"/>
      <c r="G150" s="2162"/>
      <c r="H150" s="2161"/>
      <c r="I150" s="2162"/>
      <c r="J150" s="2161"/>
      <c r="K150" s="2161"/>
      <c r="L150" s="2162"/>
      <c r="M150" s="2161"/>
      <c r="N150" s="2161"/>
      <c r="O150" s="2162"/>
      <c r="P150" s="2161"/>
      <c r="Q150" s="2161"/>
      <c r="R150" s="2163"/>
    </row>
    <row r="151" spans="2:18" s="2135" customFormat="1">
      <c r="B151" s="2161"/>
      <c r="C151" s="2161"/>
      <c r="D151" s="2161"/>
      <c r="E151" s="2161"/>
      <c r="F151" s="2161"/>
      <c r="G151" s="2162"/>
      <c r="H151" s="2161"/>
      <c r="I151" s="2162"/>
      <c r="J151" s="2161"/>
      <c r="K151" s="2161"/>
      <c r="L151" s="2162"/>
      <c r="M151" s="2161"/>
      <c r="N151" s="2161"/>
      <c r="O151" s="2162"/>
      <c r="P151" s="2161"/>
      <c r="Q151" s="2161"/>
      <c r="R151" s="2163"/>
    </row>
    <row r="152" spans="2:18" s="2135" customFormat="1">
      <c r="B152" s="2161"/>
      <c r="C152" s="2161"/>
      <c r="D152" s="2161"/>
      <c r="E152" s="2161"/>
      <c r="F152" s="2161"/>
      <c r="G152" s="2162"/>
      <c r="H152" s="2161"/>
      <c r="I152" s="2162"/>
      <c r="J152" s="2161"/>
      <c r="K152" s="2161"/>
      <c r="L152" s="2162"/>
      <c r="M152" s="2161"/>
      <c r="N152" s="2161"/>
      <c r="O152" s="2162"/>
      <c r="P152" s="2161"/>
      <c r="Q152" s="2161"/>
      <c r="R152" s="2163"/>
    </row>
    <row r="153" spans="2:18" s="2135" customFormat="1">
      <c r="B153" s="2161"/>
      <c r="C153" s="2161"/>
      <c r="D153" s="2161"/>
      <c r="E153" s="2161"/>
      <c r="F153" s="2161"/>
      <c r="G153" s="2162"/>
      <c r="H153" s="2161"/>
      <c r="I153" s="2162"/>
      <c r="J153" s="2161"/>
      <c r="K153" s="2161"/>
      <c r="L153" s="2162"/>
      <c r="M153" s="2161"/>
      <c r="N153" s="2161"/>
      <c r="O153" s="2162"/>
      <c r="P153" s="2161"/>
      <c r="Q153" s="2161"/>
      <c r="R153" s="2163"/>
    </row>
    <row r="154" spans="2:18" s="2135" customFormat="1">
      <c r="B154" s="2161"/>
      <c r="C154" s="2161"/>
      <c r="D154" s="2161"/>
      <c r="E154" s="2161"/>
      <c r="F154" s="2161"/>
      <c r="G154" s="2162"/>
      <c r="H154" s="2161"/>
      <c r="I154" s="2162"/>
      <c r="J154" s="2161"/>
      <c r="K154" s="2161"/>
      <c r="L154" s="2162"/>
      <c r="M154" s="2161"/>
      <c r="N154" s="2161"/>
      <c r="O154" s="2162"/>
      <c r="P154" s="2161"/>
      <c r="Q154" s="2161"/>
      <c r="R154" s="2163"/>
    </row>
    <row r="155" spans="2:18" s="2135" customFormat="1">
      <c r="B155" s="2161"/>
      <c r="C155" s="2161"/>
      <c r="D155" s="2161"/>
      <c r="E155" s="2161"/>
      <c r="F155" s="2161"/>
      <c r="G155" s="2162"/>
      <c r="H155" s="2161"/>
      <c r="I155" s="2162"/>
      <c r="J155" s="2161"/>
      <c r="K155" s="2161"/>
      <c r="L155" s="2162"/>
      <c r="M155" s="2161"/>
      <c r="N155" s="2161"/>
      <c r="O155" s="2162"/>
      <c r="P155" s="2161"/>
      <c r="Q155" s="2161"/>
      <c r="R155" s="2163"/>
    </row>
    <row r="156" spans="2:18" s="2135" customFormat="1">
      <c r="B156" s="2161"/>
      <c r="C156" s="2161"/>
      <c r="D156" s="2161"/>
      <c r="E156" s="2161"/>
      <c r="F156" s="2161"/>
      <c r="G156" s="2162"/>
      <c r="H156" s="2161"/>
      <c r="I156" s="2162"/>
      <c r="J156" s="2161"/>
      <c r="K156" s="2161"/>
      <c r="L156" s="2162"/>
      <c r="M156" s="2161"/>
      <c r="N156" s="2161"/>
      <c r="O156" s="2162"/>
      <c r="P156" s="2161"/>
      <c r="Q156" s="2161"/>
      <c r="R156" s="2163"/>
    </row>
    <row r="157" spans="2:18" s="2135" customFormat="1">
      <c r="B157" s="2161"/>
      <c r="C157" s="2161"/>
      <c r="D157" s="2161"/>
      <c r="E157" s="2161"/>
      <c r="F157" s="2161"/>
      <c r="G157" s="2162"/>
      <c r="H157" s="2161"/>
      <c r="I157" s="2162"/>
      <c r="J157" s="2161"/>
      <c r="K157" s="2161"/>
      <c r="L157" s="2162"/>
      <c r="M157" s="2161"/>
      <c r="N157" s="2161"/>
      <c r="O157" s="2162"/>
      <c r="P157" s="2161"/>
      <c r="Q157" s="2161"/>
      <c r="R157" s="2163"/>
    </row>
    <row r="158" spans="2:18" s="2135" customFormat="1">
      <c r="B158" s="2161"/>
      <c r="C158" s="2161"/>
      <c r="D158" s="2161"/>
      <c r="E158" s="2161"/>
      <c r="F158" s="2161"/>
      <c r="G158" s="2162"/>
      <c r="H158" s="2161"/>
      <c r="I158" s="2162"/>
      <c r="J158" s="2161"/>
      <c r="K158" s="2161"/>
      <c r="L158" s="2162"/>
      <c r="M158" s="2161"/>
      <c r="N158" s="2161"/>
      <c r="O158" s="2162"/>
      <c r="P158" s="2161"/>
      <c r="Q158" s="2161"/>
      <c r="R158" s="2163"/>
    </row>
    <row r="159" spans="2:18" s="2135" customFormat="1">
      <c r="B159" s="2161"/>
      <c r="C159" s="2161"/>
      <c r="D159" s="2161"/>
      <c r="E159" s="2161"/>
      <c r="F159" s="2161"/>
      <c r="G159" s="2162"/>
      <c r="H159" s="2161"/>
      <c r="I159" s="2162"/>
      <c r="J159" s="2161"/>
      <c r="K159" s="2161"/>
      <c r="L159" s="2162"/>
      <c r="M159" s="2161"/>
      <c r="N159" s="2161"/>
      <c r="O159" s="2162"/>
      <c r="P159" s="2161"/>
      <c r="Q159" s="2161"/>
      <c r="R159" s="2163"/>
    </row>
    <row r="160" spans="2:18" s="2135" customFormat="1">
      <c r="B160" s="2161"/>
      <c r="C160" s="2161"/>
      <c r="D160" s="2161"/>
      <c r="E160" s="2161"/>
      <c r="F160" s="2161"/>
      <c r="G160" s="2162"/>
      <c r="H160" s="2161"/>
      <c r="I160" s="2162"/>
      <c r="J160" s="2161"/>
      <c r="K160" s="2161"/>
      <c r="L160" s="2162"/>
      <c r="M160" s="2161"/>
      <c r="N160" s="2161"/>
      <c r="O160" s="2162"/>
      <c r="P160" s="2161"/>
      <c r="Q160" s="2161"/>
      <c r="R160" s="2163"/>
    </row>
    <row r="161" spans="2:18" s="2135" customFormat="1">
      <c r="B161" s="2161"/>
      <c r="C161" s="2161"/>
      <c r="D161" s="2161"/>
      <c r="E161" s="2161"/>
      <c r="F161" s="2161"/>
      <c r="G161" s="2162"/>
      <c r="H161" s="2161"/>
      <c r="I161" s="2162"/>
      <c r="J161" s="2161"/>
      <c r="K161" s="2161"/>
      <c r="L161" s="2162"/>
      <c r="M161" s="2161"/>
      <c r="N161" s="2161"/>
      <c r="O161" s="2162"/>
      <c r="P161" s="2161"/>
      <c r="Q161" s="2161"/>
      <c r="R161" s="2163"/>
    </row>
    <row r="162" spans="2:18" s="2135" customFormat="1">
      <c r="B162" s="2161"/>
      <c r="C162" s="2161"/>
      <c r="D162" s="2161"/>
      <c r="E162" s="2161"/>
      <c r="F162" s="2161"/>
      <c r="G162" s="2162"/>
      <c r="H162" s="2161"/>
      <c r="I162" s="2162"/>
      <c r="J162" s="2161"/>
      <c r="K162" s="2161"/>
      <c r="L162" s="2162"/>
      <c r="M162" s="2161"/>
      <c r="N162" s="2161"/>
      <c r="O162" s="2162"/>
      <c r="P162" s="2161"/>
      <c r="Q162" s="2161"/>
      <c r="R162" s="2163"/>
    </row>
    <row r="163" spans="2:18" s="2135" customFormat="1">
      <c r="B163" s="2161"/>
      <c r="C163" s="2161"/>
      <c r="D163" s="2161"/>
      <c r="E163" s="2161"/>
      <c r="F163" s="2161"/>
      <c r="G163" s="2162"/>
      <c r="H163" s="2161"/>
      <c r="I163" s="2162"/>
      <c r="J163" s="2161"/>
      <c r="K163" s="2161"/>
      <c r="L163" s="2162"/>
      <c r="M163" s="2161"/>
      <c r="N163" s="2161"/>
      <c r="O163" s="2162"/>
      <c r="P163" s="2161"/>
      <c r="Q163" s="2161"/>
      <c r="R163" s="2163"/>
    </row>
    <row r="164" spans="2:18" s="2135" customFormat="1">
      <c r="B164" s="2161"/>
      <c r="C164" s="2161"/>
      <c r="D164" s="2161"/>
      <c r="E164" s="2161"/>
      <c r="F164" s="2161"/>
      <c r="G164" s="2162"/>
      <c r="H164" s="2161"/>
      <c r="I164" s="2162"/>
      <c r="J164" s="2161"/>
      <c r="K164" s="2161"/>
      <c r="L164" s="2162"/>
      <c r="M164" s="2161"/>
      <c r="N164" s="2161"/>
      <c r="O164" s="2162"/>
      <c r="P164" s="2161"/>
      <c r="Q164" s="2161"/>
      <c r="R164" s="2163"/>
    </row>
    <row r="165" spans="2:18" s="2135" customFormat="1">
      <c r="B165" s="2161"/>
      <c r="C165" s="2161"/>
      <c r="D165" s="2161"/>
      <c r="E165" s="2161"/>
      <c r="F165" s="2161"/>
      <c r="G165" s="2162"/>
      <c r="H165" s="2161"/>
      <c r="I165" s="2162"/>
      <c r="J165" s="2161"/>
      <c r="K165" s="2161"/>
      <c r="L165" s="2162"/>
      <c r="M165" s="2161"/>
      <c r="N165" s="2161"/>
      <c r="O165" s="2162"/>
      <c r="P165" s="2161"/>
      <c r="Q165" s="2161"/>
      <c r="R165" s="2163"/>
    </row>
    <row r="166" spans="2:18" s="2135" customFormat="1">
      <c r="B166" s="2161"/>
      <c r="C166" s="2161"/>
      <c r="D166" s="2161"/>
      <c r="E166" s="2161"/>
      <c r="F166" s="2161"/>
      <c r="G166" s="2162"/>
      <c r="H166" s="2161"/>
      <c r="I166" s="2162"/>
      <c r="J166" s="2161"/>
      <c r="K166" s="2161"/>
      <c r="L166" s="2162"/>
      <c r="M166" s="2161"/>
      <c r="N166" s="2161"/>
      <c r="O166" s="2162"/>
      <c r="P166" s="2161"/>
      <c r="Q166" s="2161"/>
      <c r="R166" s="2163"/>
    </row>
    <row r="167" spans="2:18" s="2135" customFormat="1">
      <c r="B167" s="2161"/>
      <c r="C167" s="2161"/>
      <c r="D167" s="2161"/>
      <c r="E167" s="2161"/>
      <c r="F167" s="2161"/>
      <c r="G167" s="2162"/>
      <c r="H167" s="2161"/>
      <c r="I167" s="2162"/>
      <c r="J167" s="2161"/>
      <c r="K167" s="2161"/>
      <c r="L167" s="2162"/>
      <c r="M167" s="2161"/>
      <c r="N167" s="2161"/>
      <c r="O167" s="2162"/>
      <c r="P167" s="2161"/>
      <c r="Q167" s="2161"/>
      <c r="R167" s="2163"/>
    </row>
    <row r="168" spans="2:18" s="2135" customFormat="1">
      <c r="B168" s="2161"/>
      <c r="C168" s="2161"/>
      <c r="D168" s="2161"/>
      <c r="E168" s="2161"/>
      <c r="F168" s="2161"/>
      <c r="G168" s="2162"/>
      <c r="H168" s="2161"/>
      <c r="I168" s="2162"/>
      <c r="J168" s="2161"/>
      <c r="K168" s="2161"/>
      <c r="L168" s="2162"/>
      <c r="M168" s="2161"/>
      <c r="N168" s="2161"/>
      <c r="O168" s="2162"/>
      <c r="P168" s="2161"/>
      <c r="Q168" s="2161"/>
      <c r="R168" s="2163"/>
    </row>
    <row r="169" spans="2:18" s="2135" customFormat="1">
      <c r="B169" s="2161"/>
      <c r="C169" s="2161"/>
      <c r="D169" s="2161"/>
      <c r="E169" s="2161"/>
      <c r="F169" s="2161"/>
      <c r="G169" s="2162"/>
      <c r="H169" s="2161"/>
      <c r="I169" s="2162"/>
      <c r="J169" s="2161"/>
      <c r="K169" s="2161"/>
      <c r="L169" s="2162"/>
      <c r="M169" s="2161"/>
      <c r="N169" s="2161"/>
      <c r="O169" s="2162"/>
      <c r="P169" s="2161"/>
      <c r="Q169" s="2161"/>
      <c r="R169" s="2163"/>
    </row>
    <row r="170" spans="2:18" s="2135" customFormat="1">
      <c r="B170" s="2161"/>
      <c r="C170" s="2161"/>
      <c r="D170" s="2161"/>
      <c r="E170" s="2161"/>
      <c r="F170" s="2161"/>
      <c r="G170" s="2162"/>
      <c r="H170" s="2161"/>
      <c r="I170" s="2162"/>
      <c r="J170" s="2161"/>
      <c r="K170" s="2161"/>
      <c r="L170" s="2162"/>
      <c r="M170" s="2161"/>
      <c r="N170" s="2161"/>
      <c r="O170" s="2162"/>
      <c r="P170" s="2161"/>
      <c r="Q170" s="2161"/>
      <c r="R170" s="2163"/>
    </row>
    <row r="171" spans="2:18" s="2135" customFormat="1">
      <c r="B171" s="2161"/>
      <c r="C171" s="2161"/>
      <c r="D171" s="2161"/>
      <c r="E171" s="2161"/>
      <c r="F171" s="2161"/>
      <c r="G171" s="2162"/>
      <c r="H171" s="2161"/>
      <c r="I171" s="2162"/>
      <c r="J171" s="2161"/>
      <c r="K171" s="2161"/>
      <c r="L171" s="2162"/>
      <c r="M171" s="2161"/>
      <c r="N171" s="2161"/>
      <c r="O171" s="2162"/>
      <c r="P171" s="2161"/>
      <c r="Q171" s="2161"/>
      <c r="R171" s="2163"/>
    </row>
    <row r="172" spans="2:18" s="2135" customFormat="1">
      <c r="B172" s="2161"/>
      <c r="C172" s="2161"/>
      <c r="D172" s="2161"/>
      <c r="E172" s="2161"/>
      <c r="F172" s="2161"/>
      <c r="G172" s="2162"/>
      <c r="H172" s="2161"/>
      <c r="I172" s="2162"/>
      <c r="J172" s="2161"/>
      <c r="K172" s="2161"/>
      <c r="L172" s="2162"/>
      <c r="M172" s="2161"/>
      <c r="N172" s="2161"/>
      <c r="O172" s="2162"/>
      <c r="P172" s="2161"/>
      <c r="Q172" s="2161"/>
      <c r="R172" s="2163"/>
    </row>
    <row r="173" spans="2:18" s="2135" customFormat="1">
      <c r="B173" s="2161"/>
      <c r="C173" s="2161"/>
      <c r="D173" s="2161"/>
      <c r="E173" s="2161"/>
      <c r="F173" s="2161"/>
      <c r="G173" s="2162"/>
      <c r="H173" s="2161"/>
      <c r="I173" s="2162"/>
      <c r="J173" s="2161"/>
      <c r="K173" s="2161"/>
      <c r="L173" s="2162"/>
      <c r="M173" s="2161"/>
      <c r="N173" s="2161"/>
      <c r="O173" s="2162"/>
      <c r="P173" s="2161"/>
      <c r="Q173" s="2161"/>
      <c r="R173" s="2163"/>
    </row>
    <row r="174" spans="2:18" s="2135" customFormat="1">
      <c r="B174" s="2161"/>
      <c r="C174" s="2161"/>
      <c r="D174" s="2161"/>
      <c r="E174" s="2161"/>
      <c r="F174" s="2161"/>
      <c r="G174" s="2162"/>
      <c r="H174" s="2161"/>
      <c r="I174" s="2162"/>
      <c r="J174" s="2161"/>
      <c r="K174" s="2161"/>
      <c r="L174" s="2162"/>
      <c r="M174" s="2161"/>
      <c r="N174" s="2161"/>
      <c r="O174" s="2162"/>
      <c r="P174" s="2161"/>
      <c r="Q174" s="2161"/>
      <c r="R174" s="2163"/>
    </row>
    <row r="175" spans="2:18" s="2135" customFormat="1">
      <c r="B175" s="2161"/>
      <c r="C175" s="2161"/>
      <c r="D175" s="2161"/>
      <c r="E175" s="2161"/>
      <c r="F175" s="2161"/>
      <c r="G175" s="2162"/>
      <c r="H175" s="2161"/>
      <c r="I175" s="2162"/>
      <c r="J175" s="2161"/>
      <c r="K175" s="2161"/>
      <c r="L175" s="2162"/>
      <c r="M175" s="2161"/>
      <c r="N175" s="2161"/>
      <c r="O175" s="2162"/>
      <c r="P175" s="2161"/>
      <c r="Q175" s="2161"/>
      <c r="R175" s="2163"/>
    </row>
    <row r="176" spans="2:18" s="2135" customFormat="1">
      <c r="B176" s="2161"/>
      <c r="C176" s="2161"/>
      <c r="D176" s="2161"/>
      <c r="E176" s="2161"/>
      <c r="F176" s="2161"/>
      <c r="G176" s="2162"/>
      <c r="H176" s="2161"/>
      <c r="I176" s="2162"/>
      <c r="J176" s="2161"/>
      <c r="K176" s="2161"/>
      <c r="L176" s="2162"/>
      <c r="M176" s="2161"/>
      <c r="N176" s="2161"/>
      <c r="O176" s="2162"/>
      <c r="P176" s="2161"/>
      <c r="Q176" s="2161"/>
      <c r="R176" s="2163"/>
    </row>
    <row r="177" spans="1:18" s="2135" customFormat="1">
      <c r="B177" s="2161"/>
      <c r="C177" s="2161"/>
      <c r="D177" s="2161"/>
      <c r="E177" s="2161"/>
      <c r="F177" s="2161"/>
      <c r="G177" s="2162"/>
      <c r="H177" s="2161"/>
      <c r="I177" s="2162"/>
      <c r="J177" s="2161"/>
      <c r="K177" s="2161"/>
      <c r="L177" s="2162"/>
      <c r="M177" s="2161"/>
      <c r="N177" s="2161"/>
      <c r="O177" s="2162"/>
      <c r="P177" s="2161"/>
      <c r="Q177" s="2161"/>
      <c r="R177" s="2163"/>
    </row>
    <row r="178" spans="1:18" s="2135" customFormat="1">
      <c r="B178" s="2161"/>
      <c r="C178" s="2161"/>
      <c r="D178" s="2161"/>
      <c r="E178" s="2161"/>
      <c r="F178" s="2161"/>
      <c r="G178" s="2162"/>
      <c r="H178" s="2161"/>
      <c r="I178" s="2162"/>
      <c r="J178" s="2161"/>
      <c r="K178" s="2161"/>
      <c r="L178" s="2162"/>
      <c r="M178" s="2161"/>
      <c r="N178" s="2161"/>
      <c r="O178" s="2162"/>
      <c r="P178" s="2161"/>
      <c r="Q178" s="2161"/>
      <c r="R178" s="2163"/>
    </row>
    <row r="179" spans="1:18" s="2135" customFormat="1">
      <c r="B179" s="2161"/>
      <c r="C179" s="2161"/>
      <c r="D179" s="2161"/>
      <c r="E179" s="2161"/>
      <c r="F179" s="2161"/>
      <c r="G179" s="2162"/>
      <c r="H179" s="2161"/>
      <c r="I179" s="2162"/>
      <c r="J179" s="2161"/>
      <c r="K179" s="2161"/>
      <c r="L179" s="2162"/>
      <c r="M179" s="2161"/>
      <c r="N179" s="2161"/>
      <c r="O179" s="2162"/>
      <c r="P179" s="2161"/>
      <c r="Q179" s="2161"/>
      <c r="R179" s="2163"/>
    </row>
    <row r="180" spans="1:18" s="2135" customFormat="1">
      <c r="B180" s="2161"/>
      <c r="C180" s="2161"/>
      <c r="D180" s="2161"/>
      <c r="E180" s="2161"/>
      <c r="F180" s="2161"/>
      <c r="G180" s="2162"/>
      <c r="H180" s="2161"/>
      <c r="I180" s="2162"/>
      <c r="J180" s="2161"/>
      <c r="K180" s="2161"/>
      <c r="L180" s="2162"/>
      <c r="M180" s="2161"/>
      <c r="N180" s="2161"/>
      <c r="O180" s="2162"/>
      <c r="P180" s="2161"/>
      <c r="Q180" s="2161"/>
      <c r="R180" s="2163"/>
    </row>
    <row r="181" spans="1:18" s="2135" customFormat="1">
      <c r="B181" s="2161"/>
      <c r="C181" s="2161"/>
      <c r="D181" s="2161"/>
      <c r="E181" s="2161"/>
      <c r="F181" s="2161"/>
      <c r="G181" s="2162"/>
      <c r="H181" s="2161"/>
      <c r="I181" s="2162"/>
      <c r="J181" s="2161"/>
      <c r="K181" s="2161"/>
      <c r="L181" s="2162"/>
      <c r="M181" s="2161"/>
      <c r="N181" s="2161"/>
      <c r="O181" s="2162"/>
      <c r="P181" s="2161"/>
      <c r="Q181" s="2161"/>
      <c r="R181" s="2163"/>
    </row>
    <row r="182" spans="1:18" s="2135" customFormat="1">
      <c r="B182" s="2161"/>
      <c r="C182" s="2161"/>
      <c r="D182" s="2161"/>
      <c r="E182" s="2161"/>
      <c r="F182" s="2161"/>
      <c r="G182" s="2162"/>
      <c r="H182" s="2161"/>
      <c r="I182" s="2162"/>
      <c r="J182" s="2161"/>
      <c r="K182" s="2161"/>
      <c r="L182" s="2162"/>
      <c r="M182" s="2161"/>
      <c r="N182" s="2161"/>
      <c r="O182" s="2162"/>
      <c r="P182" s="2161"/>
      <c r="Q182" s="2161"/>
      <c r="R182" s="2163"/>
    </row>
    <row r="183" spans="1:18" s="2135" customFormat="1">
      <c r="B183" s="2161"/>
      <c r="C183" s="2161"/>
      <c r="D183" s="2161"/>
      <c r="E183" s="2161"/>
      <c r="F183" s="2161"/>
      <c r="G183" s="2162"/>
      <c r="H183" s="2161"/>
      <c r="I183" s="2162"/>
      <c r="J183" s="2161"/>
      <c r="K183" s="2161"/>
      <c r="L183" s="2162"/>
      <c r="M183" s="2161"/>
      <c r="N183" s="2161"/>
      <c r="O183" s="2162"/>
      <c r="P183" s="2161"/>
      <c r="Q183" s="2161"/>
      <c r="R183" s="2163"/>
    </row>
    <row r="184" spans="1:18" s="2135" customFormat="1">
      <c r="B184" s="2161"/>
      <c r="C184" s="2161"/>
      <c r="D184" s="2161"/>
      <c r="E184" s="2161"/>
      <c r="F184" s="2161"/>
      <c r="G184" s="2162"/>
      <c r="H184" s="2161"/>
      <c r="I184" s="2162"/>
      <c r="J184" s="2161"/>
      <c r="K184" s="2161"/>
      <c r="L184" s="2162"/>
      <c r="M184" s="2161"/>
      <c r="N184" s="2161"/>
      <c r="O184" s="2162"/>
      <c r="P184" s="2161"/>
      <c r="Q184" s="2161"/>
      <c r="R184" s="2163"/>
    </row>
    <row r="185" spans="1:18" s="2135" customFormat="1">
      <c r="B185" s="2161"/>
      <c r="C185" s="2161"/>
      <c r="D185" s="2161"/>
      <c r="E185" s="2161"/>
      <c r="F185" s="2161"/>
      <c r="G185" s="2162"/>
      <c r="H185" s="2161"/>
      <c r="I185" s="2162"/>
      <c r="J185" s="2161"/>
      <c r="K185" s="2161"/>
      <c r="L185" s="2162"/>
      <c r="M185" s="2161"/>
      <c r="N185" s="2161"/>
      <c r="O185" s="2162"/>
      <c r="P185" s="2161"/>
      <c r="Q185" s="2161"/>
      <c r="R185" s="2163"/>
    </row>
    <row r="186" spans="1:18">
      <c r="A186" s="2135"/>
      <c r="B186" s="2161"/>
      <c r="C186" s="2161"/>
      <c r="E186" s="2161"/>
      <c r="F186" s="2161"/>
      <c r="G186" s="2162"/>
    </row>
    <row r="187" spans="1:18">
      <c r="A187" s="2135"/>
      <c r="B187" s="2161"/>
      <c r="C187" s="2161"/>
      <c r="E187" s="2161"/>
      <c r="F187" s="2161"/>
      <c r="G187" s="2162"/>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26" t="s">
        <v>1225</v>
      </c>
      <c r="B1" s="1826">
        <f>SUM(B14:B23)</f>
        <v>573.89</v>
      </c>
      <c r="C1" s="1827"/>
      <c r="D1" s="1827"/>
      <c r="E1" s="1827"/>
      <c r="F1" s="1827"/>
      <c r="G1" s="1831"/>
    </row>
    <row r="2" spans="1:9" ht="16.5">
      <c r="A2" s="1826" t="s">
        <v>1226</v>
      </c>
      <c r="B2" s="1826">
        <f>SUM(C14:C23)</f>
        <v>0</v>
      </c>
      <c r="C2" s="1827"/>
      <c r="D2" s="1827"/>
      <c r="E2" s="1827"/>
      <c r="F2" s="1827"/>
      <c r="G2" s="1831"/>
    </row>
    <row r="3" spans="1:9" ht="16.5">
      <c r="A3" s="1826" t="s">
        <v>1227</v>
      </c>
      <c r="B3" s="1829">
        <f>项目基本情况!D2</f>
        <v>43257</v>
      </c>
      <c r="C3" s="1827"/>
      <c r="D3" s="1827"/>
      <c r="E3" s="1827"/>
      <c r="F3" s="1827"/>
      <c r="G3" s="1831"/>
    </row>
    <row r="4" spans="1:9" ht="33">
      <c r="A4" s="1826" t="s">
        <v>1228</v>
      </c>
      <c r="B4" s="1826" t="s">
        <v>1229</v>
      </c>
      <c r="C4" s="1826" t="s">
        <v>1230</v>
      </c>
      <c r="D4" s="1826" t="s">
        <v>1231</v>
      </c>
      <c r="E4" s="1827"/>
      <c r="F4" s="1831"/>
      <c r="G4" s="1831"/>
    </row>
    <row r="5" spans="1:9" ht="16.5">
      <c r="A5" s="1826" t="s">
        <v>1232</v>
      </c>
      <c r="B5" s="1826">
        <f ca="1">SUM(D14:D23)</f>
        <v>1470.4498000000001</v>
      </c>
      <c r="C5" s="1826">
        <f ca="1">ROUND(B5*10000/$B$1,0)</f>
        <v>25623</v>
      </c>
      <c r="D5" s="1826" t="e">
        <f ca="1">ROUND(B5*10000/$B$2,0)</f>
        <v>#DIV/0!</v>
      </c>
      <c r="E5" s="1827"/>
      <c r="F5" s="1831"/>
      <c r="G5" s="1831"/>
    </row>
    <row r="6" spans="1:9" ht="16.5">
      <c r="A6" s="1826" t="s">
        <v>1233</v>
      </c>
      <c r="B6" s="1826">
        <f ca="1">SUM(G14:G23)</f>
        <v>1470.4498000000001</v>
      </c>
      <c r="C6" s="1826">
        <f t="shared" ref="C6:C8" ca="1" si="0">ROUND(B6*10000/$B$1,0)</f>
        <v>25623</v>
      </c>
      <c r="D6" s="1826" t="e">
        <f t="shared" ref="D6:D8" ca="1" si="1">ROUND(B6*10000/$B$2,0)</f>
        <v>#DIV/0!</v>
      </c>
      <c r="E6" s="1827"/>
      <c r="F6" s="1831"/>
      <c r="G6" s="1831"/>
    </row>
    <row r="7" spans="1:9" ht="16.5">
      <c r="A7" s="1826" t="s">
        <v>1234</v>
      </c>
      <c r="B7" s="1826" t="e">
        <f>SUM(H14:H23)</f>
        <v>#VALUE!</v>
      </c>
      <c r="C7" s="1826" t="e">
        <f>ROUND(B7*10000/$B$1,0)</f>
        <v>#VALUE!</v>
      </c>
      <c r="D7" s="1826" t="e">
        <f t="shared" si="1"/>
        <v>#VALUE!</v>
      </c>
      <c r="E7" s="1827"/>
      <c r="F7" s="1831"/>
      <c r="G7" s="1831"/>
    </row>
    <row r="8" spans="1:9" ht="16.5">
      <c r="A8" s="1826" t="s">
        <v>1235</v>
      </c>
      <c r="B8" s="1826" t="e">
        <f>SUM(I14:I23)</f>
        <v>#VALUE!</v>
      </c>
      <c r="C8" s="1826" t="e">
        <f t="shared" si="0"/>
        <v>#VALUE!</v>
      </c>
      <c r="D8" s="1826" t="e">
        <f t="shared" si="1"/>
        <v>#VALUE!</v>
      </c>
      <c r="E8" s="1827"/>
      <c r="F8" s="1831"/>
      <c r="G8" s="1831"/>
    </row>
    <row r="9" spans="1:9" ht="16.5">
      <c r="A9" s="1826" t="s">
        <v>1236</v>
      </c>
      <c r="B9" s="1832"/>
      <c r="C9" s="1827"/>
      <c r="D9" s="1827"/>
      <c r="E9" s="1827"/>
      <c r="F9" s="1831"/>
      <c r="G9" s="1831"/>
    </row>
    <row r="10" spans="1:9" ht="16.5">
      <c r="A10" s="1826" t="s">
        <v>1237</v>
      </c>
      <c r="B10" s="1832"/>
      <c r="C10" s="1827"/>
      <c r="D10" s="1827"/>
      <c r="E10" s="1827"/>
      <c r="F10" s="1831"/>
      <c r="G10" s="1831"/>
    </row>
    <row r="11" spans="1:9" ht="16.5">
      <c r="A11" s="1826" t="s">
        <v>1252</v>
      </c>
      <c r="B11" s="1832"/>
      <c r="C11" s="1827"/>
      <c r="D11" s="1827"/>
      <c r="E11" s="1827"/>
      <c r="F11" s="1831"/>
      <c r="G11" s="1831"/>
    </row>
    <row r="12" spans="1:9" ht="16.5">
      <c r="A12" s="1827"/>
      <c r="B12" s="1827"/>
      <c r="C12" s="1827"/>
      <c r="D12" s="1827"/>
      <c r="E12" s="1827"/>
      <c r="F12" s="1831"/>
      <c r="G12" s="1831"/>
    </row>
    <row r="13" spans="1:9" ht="33">
      <c r="A13" s="1836" t="s">
        <v>1251</v>
      </c>
      <c r="B13" s="1830" t="s">
        <v>1225</v>
      </c>
      <c r="C13" s="1830" t="s">
        <v>1226</v>
      </c>
      <c r="D13" s="1830" t="s">
        <v>1238</v>
      </c>
      <c r="E13" s="1826" t="s">
        <v>1230</v>
      </c>
      <c r="F13" s="1826" t="s">
        <v>1231</v>
      </c>
      <c r="G13" s="1830" t="s">
        <v>1239</v>
      </c>
      <c r="H13" s="1830" t="s">
        <v>1240</v>
      </c>
      <c r="I13" s="1830" t="s">
        <v>1241</v>
      </c>
    </row>
    <row r="14" spans="1:9" ht="16.5">
      <c r="A14" s="1833" t="s">
        <v>2893</v>
      </c>
      <c r="B14" s="1830">
        <f>项目基本情况!C12</f>
        <v>573.89</v>
      </c>
      <c r="C14" s="1830">
        <f>项目基本情况!C13</f>
        <v>0</v>
      </c>
      <c r="D14" s="1830">
        <f ca="1">IF('数据-取费表'!B3="万元",IF(A14="估价对象1（结果表）",结果表!H121,'结果表 (1修多)'!H124),IF(A14="估价对象1（结果表）",结果表!H121,'结果表 (1修多)'!H124)/10000)</f>
        <v>1470.4498000000001</v>
      </c>
      <c r="E14" s="1830">
        <f ca="1">ROUND(D14*10000/B14,0)</f>
        <v>25623</v>
      </c>
      <c r="F14" s="1830" t="e">
        <f ca="1">ROUND(D14*10000/C14,0)</f>
        <v>#DIV/0!</v>
      </c>
      <c r="G14" s="1830">
        <f ca="1">IF('数据-取费表'!B3="万元",IF(A14="估价对象1（结果表）",结果表!D125,'结果表 (1修多)'!D128),IF(A14="估价对象1（结果表）",结果表!D125,'结果表 (1修多)'!D128)/10000)</f>
        <v>1470.4498000000001</v>
      </c>
      <c r="H14" s="1830" t="e">
        <f>IF('数据-取费表'!B3="万元",IF(A14="估价对象1（结果表）",结果表!D127,'结果表 (1修多)'!D130),IF(A14="估价对象1（结果表）",结果表!D127,'结果表 (1修多)'!D130)/10000)</f>
        <v>#VALUE!</v>
      </c>
      <c r="I14" s="1830" t="e">
        <f>IF('数据-取费表'!B3="万元",IF(A14="估价对象1（结果表）",结果表!D129,'结果表 (1修多)'!D132),IF(A14="估价对象1（结果表）",结果表!D129,'结果表 (1修多)'!D132)/10000)</f>
        <v>#VALUE!</v>
      </c>
    </row>
    <row r="15" spans="1:9" ht="16.5">
      <c r="A15" s="1828" t="s">
        <v>1242</v>
      </c>
      <c r="B15" s="1834"/>
      <c r="C15" s="1834"/>
      <c r="D15" s="1834"/>
      <c r="E15" s="1830" t="e">
        <f t="shared" ref="E15:E23" si="2">ROUND(D15*10000/B15,0)</f>
        <v>#DIV/0!</v>
      </c>
      <c r="F15" s="1830" t="e">
        <f t="shared" ref="F15:F23" si="3">ROUND(D15*10000/C15,0)</f>
        <v>#DIV/0!</v>
      </c>
      <c r="G15" s="1835"/>
      <c r="H15" s="1835"/>
      <c r="I15" s="1834"/>
    </row>
    <row r="16" spans="1:9" ht="16.5">
      <c r="A16" s="1828" t="s">
        <v>1243</v>
      </c>
      <c r="B16" s="1834"/>
      <c r="C16" s="1834"/>
      <c r="D16" s="1834"/>
      <c r="E16" s="1830" t="e">
        <f t="shared" si="2"/>
        <v>#DIV/0!</v>
      </c>
      <c r="F16" s="1830" t="e">
        <f t="shared" si="3"/>
        <v>#DIV/0!</v>
      </c>
      <c r="G16" s="1835"/>
      <c r="H16" s="1835"/>
      <c r="I16" s="1834"/>
    </row>
    <row r="17" spans="1:9" ht="16.5">
      <c r="A17" s="1828" t="s">
        <v>1244</v>
      </c>
      <c r="B17" s="1834"/>
      <c r="C17" s="1834"/>
      <c r="D17" s="1834"/>
      <c r="E17" s="1830" t="e">
        <f t="shared" si="2"/>
        <v>#DIV/0!</v>
      </c>
      <c r="F17" s="1830" t="e">
        <f t="shared" si="3"/>
        <v>#DIV/0!</v>
      </c>
      <c r="G17" s="1835"/>
      <c r="H17" s="1835"/>
      <c r="I17" s="1834"/>
    </row>
    <row r="18" spans="1:9" ht="16.5">
      <c r="A18" s="1828" t="s">
        <v>1245</v>
      </c>
      <c r="B18" s="1834"/>
      <c r="C18" s="1834"/>
      <c r="D18" s="1834"/>
      <c r="E18" s="1830" t="e">
        <f t="shared" si="2"/>
        <v>#DIV/0!</v>
      </c>
      <c r="F18" s="1830" t="e">
        <f t="shared" si="3"/>
        <v>#DIV/0!</v>
      </c>
      <c r="G18" s="1834"/>
      <c r="H18" s="1834"/>
      <c r="I18" s="1834"/>
    </row>
    <row r="19" spans="1:9" ht="16.5">
      <c r="A19" s="1828" t="s">
        <v>1246</v>
      </c>
      <c r="B19" s="1834"/>
      <c r="C19" s="1834"/>
      <c r="D19" s="1834"/>
      <c r="E19" s="1830" t="e">
        <f t="shared" si="2"/>
        <v>#DIV/0!</v>
      </c>
      <c r="F19" s="1830" t="e">
        <f t="shared" si="3"/>
        <v>#DIV/0!</v>
      </c>
      <c r="G19" s="1834"/>
      <c r="H19" s="1834"/>
      <c r="I19" s="1834"/>
    </row>
    <row r="20" spans="1:9" ht="16.5">
      <c r="A20" s="1828" t="s">
        <v>1247</v>
      </c>
      <c r="B20" s="1834"/>
      <c r="C20" s="1834"/>
      <c r="D20" s="1834"/>
      <c r="E20" s="1830" t="e">
        <f t="shared" si="2"/>
        <v>#DIV/0!</v>
      </c>
      <c r="F20" s="1830" t="e">
        <f t="shared" si="3"/>
        <v>#DIV/0!</v>
      </c>
      <c r="G20" s="1834"/>
      <c r="H20" s="1834"/>
      <c r="I20" s="1834"/>
    </row>
    <row r="21" spans="1:9" ht="16.5">
      <c r="A21" s="1828" t="s">
        <v>1248</v>
      </c>
      <c r="B21" s="1834"/>
      <c r="C21" s="1834"/>
      <c r="D21" s="1834"/>
      <c r="E21" s="1830" t="e">
        <f t="shared" si="2"/>
        <v>#DIV/0!</v>
      </c>
      <c r="F21" s="1830" t="e">
        <f t="shared" si="3"/>
        <v>#DIV/0!</v>
      </c>
      <c r="G21" s="1834"/>
      <c r="H21" s="1834"/>
      <c r="I21" s="1834"/>
    </row>
    <row r="22" spans="1:9" ht="16.5">
      <c r="A22" s="1828" t="s">
        <v>1249</v>
      </c>
      <c r="B22" s="1834"/>
      <c r="C22" s="1834"/>
      <c r="D22" s="1834"/>
      <c r="E22" s="1830" t="e">
        <f t="shared" si="2"/>
        <v>#DIV/0!</v>
      </c>
      <c r="F22" s="1830" t="e">
        <f t="shared" si="3"/>
        <v>#DIV/0!</v>
      </c>
      <c r="G22" s="1834"/>
      <c r="H22" s="1834"/>
      <c r="I22" s="1834"/>
    </row>
    <row r="23" spans="1:9" ht="16.5">
      <c r="A23" s="1828" t="s">
        <v>1250</v>
      </c>
      <c r="B23" s="1834"/>
      <c r="C23" s="1834"/>
      <c r="D23" s="1834"/>
      <c r="E23" s="1826" t="e">
        <f t="shared" si="2"/>
        <v>#DIV/0!</v>
      </c>
      <c r="F23" s="1826" t="e">
        <f t="shared" si="3"/>
        <v>#DIV/0!</v>
      </c>
      <c r="G23" s="1834"/>
      <c r="H23" s="1834"/>
      <c r="I23" s="183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7" zoomScale="90" zoomScaleNormal="90" workbookViewId="0">
      <selection activeCell="K53" sqref="K53"/>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2335</v>
      </c>
      <c r="B1" s="1730" t="s">
        <v>2477</v>
      </c>
      <c r="C1" s="1722" t="s">
        <v>2830</v>
      </c>
      <c r="D1" s="1735"/>
      <c r="E1" s="2375" t="s">
        <v>2831</v>
      </c>
      <c r="F1" s="1736" t="s">
        <v>2337</v>
      </c>
      <c r="G1" s="1735"/>
      <c r="H1" s="1735"/>
      <c r="I1" s="1735"/>
      <c r="J1" s="1735"/>
      <c r="K1" s="1737"/>
      <c r="L1" s="1729"/>
      <c r="M1" s="1730"/>
      <c r="N1" s="1730"/>
      <c r="O1" s="1730"/>
      <c r="P1" s="1730"/>
      <c r="Q1" s="1730"/>
      <c r="R1" s="1730"/>
      <c r="S1" s="1730"/>
      <c r="T1" s="1730"/>
      <c r="U1" s="1730"/>
      <c r="V1" s="1730"/>
      <c r="W1" s="1730"/>
      <c r="X1" s="1730"/>
      <c r="Y1" s="1730"/>
      <c r="Z1" s="1730"/>
      <c r="AA1" s="1730"/>
      <c r="AB1" s="2456"/>
      <c r="AC1" s="1732"/>
    </row>
    <row r="2" spans="1:29" s="377" customFormat="1" ht="28.5" customHeight="1" thickTop="1">
      <c r="A2" s="1723" t="s">
        <v>2005</v>
      </c>
      <c r="B2" s="1721">
        <f>IF(D2="——",IF(C2="元",ROUND(C50*D3,0),ROUND(C50*D3/10000,0)),IF(C2="元",ROUND(C50*D3,0),ROUND(C50*D3/10000,0))-E2)</f>
        <v>16757014</v>
      </c>
      <c r="C2" s="163" t="str">
        <f>'数据-取费表'!B3</f>
        <v>元</v>
      </c>
      <c r="D2" s="2377" t="s">
        <v>1253</v>
      </c>
      <c r="E2" s="1838" t="e">
        <f ca="1">SUMIF(INDIRECT("'"&amp;G2&amp;"'"&amp;"!A:A"),"承租人权益价值",INDIRECT("'"&amp;G2&amp;"'"&amp;"!c:c"))</f>
        <v>#REF!</v>
      </c>
      <c r="F2" s="2378" t="str">
        <f>C2</f>
        <v>元</v>
      </c>
      <c r="G2" s="2379"/>
      <c r="H2" s="981"/>
      <c r="I2" s="981"/>
      <c r="J2" s="981"/>
      <c r="K2" s="981"/>
      <c r="L2" s="1237"/>
      <c r="M2" s="1238"/>
      <c r="N2" s="1238"/>
      <c r="O2" s="1238"/>
      <c r="P2" s="747"/>
      <c r="Q2" s="747"/>
      <c r="R2" s="747"/>
      <c r="S2" s="747"/>
      <c r="T2" s="747"/>
      <c r="U2" s="747"/>
      <c r="V2" s="747"/>
      <c r="W2" s="747"/>
      <c r="X2" s="747"/>
      <c r="Y2" s="747"/>
      <c r="Z2" s="747"/>
      <c r="AA2" s="747"/>
      <c r="AB2" s="2457"/>
      <c r="AC2" s="761"/>
    </row>
    <row r="3" spans="1:29" s="377" customFormat="1" ht="28.5" customHeight="1" thickBot="1">
      <c r="A3" s="167" t="s">
        <v>2006</v>
      </c>
      <c r="B3" s="593">
        <f>ROUND(IF(D2="——",C50,IF(C2="万元",B2*10000/D3,B2/D3)),0)</f>
        <v>29199</v>
      </c>
      <c r="C3" s="379" t="s">
        <v>2338</v>
      </c>
      <c r="D3" s="378">
        <f>IF(C1="仅计算典型户型",'数据-取费表'!E5,'数据-取费表'!B5)</f>
        <v>573.89</v>
      </c>
      <c r="E3" s="2449"/>
      <c r="F3" s="982"/>
      <c r="G3" s="981"/>
      <c r="H3" s="981"/>
      <c r="I3" s="981"/>
      <c r="J3" s="981"/>
      <c r="K3" s="983"/>
      <c r="L3" s="1237"/>
      <c r="M3" s="1238"/>
      <c r="N3" s="1238"/>
      <c r="O3" s="1238"/>
      <c r="P3" s="737"/>
      <c r="Q3" s="737"/>
      <c r="R3" s="737"/>
      <c r="S3" s="737"/>
      <c r="T3" s="737"/>
      <c r="U3" s="737"/>
      <c r="V3" s="737"/>
      <c r="W3" s="737"/>
      <c r="X3" s="747"/>
      <c r="Y3" s="737"/>
      <c r="Z3" s="737"/>
      <c r="AA3" s="737"/>
      <c r="AB3" s="2458"/>
      <c r="AC3" s="761"/>
    </row>
    <row r="4" spans="1:29" ht="15">
      <c r="A4" s="380" t="s">
        <v>2339</v>
      </c>
      <c r="B4" s="381"/>
      <c r="C4" s="2985" t="s">
        <v>2340</v>
      </c>
      <c r="D4" s="2986"/>
      <c r="E4" s="2987" t="s">
        <v>2341</v>
      </c>
      <c r="F4" s="2988"/>
      <c r="G4" s="2985" t="s">
        <v>2342</v>
      </c>
      <c r="H4" s="2986"/>
      <c r="I4" s="2985" t="s">
        <v>2343</v>
      </c>
      <c r="J4" s="2986"/>
      <c r="K4" s="594" t="s">
        <v>2344</v>
      </c>
      <c r="L4" s="1239"/>
      <c r="M4" s="1240"/>
      <c r="N4" s="1240"/>
      <c r="O4" s="1240"/>
      <c r="P4" s="2989" t="s">
        <v>2345</v>
      </c>
      <c r="Q4" s="2990"/>
      <c r="R4" s="2995" t="s">
        <v>2341</v>
      </c>
      <c r="S4" s="2996"/>
      <c r="T4" s="2995" t="s">
        <v>2342</v>
      </c>
      <c r="U4" s="2996"/>
      <c r="V4" s="3001" t="s">
        <v>2343</v>
      </c>
      <c r="W4" s="3001"/>
      <c r="X4" s="1896"/>
      <c r="Y4" s="2995" t="s">
        <v>2345</v>
      </c>
      <c r="Z4" s="2996"/>
      <c r="AA4" s="2982" t="s">
        <v>2341</v>
      </c>
      <c r="AB4" s="2982" t="s">
        <v>2342</v>
      </c>
      <c r="AC4" s="2982" t="s">
        <v>2343</v>
      </c>
    </row>
    <row r="5" spans="1:29" ht="15">
      <c r="A5" s="383"/>
      <c r="B5" s="384"/>
      <c r="C5" s="3004" t="s">
        <v>2346</v>
      </c>
      <c r="D5" s="2979"/>
      <c r="E5" s="3002" t="s">
        <v>2891</v>
      </c>
      <c r="F5" s="3003"/>
      <c r="G5" s="2978" t="s">
        <v>2890</v>
      </c>
      <c r="H5" s="2979"/>
      <c r="I5" s="2978" t="s">
        <v>2855</v>
      </c>
      <c r="J5" s="2979"/>
      <c r="K5" s="594"/>
      <c r="L5" s="1239"/>
      <c r="M5" s="1240"/>
      <c r="N5" s="1240"/>
      <c r="O5" s="1240"/>
      <c r="P5" s="2991"/>
      <c r="Q5" s="2992"/>
      <c r="R5" s="2997"/>
      <c r="S5" s="2998"/>
      <c r="T5" s="2997"/>
      <c r="U5" s="2998"/>
      <c r="V5" s="3001"/>
      <c r="W5" s="3001"/>
      <c r="X5" s="1896"/>
      <c r="Y5" s="2997"/>
      <c r="Z5" s="2998"/>
      <c r="AA5" s="2983"/>
      <c r="AB5" s="2983"/>
      <c r="AC5" s="2983"/>
    </row>
    <row r="6" spans="1:29" ht="15.75" thickBot="1">
      <c r="A6" s="385"/>
      <c r="B6" s="386"/>
      <c r="C6" s="2975" t="s">
        <v>2350</v>
      </c>
      <c r="D6" s="2976"/>
      <c r="E6" s="2973" t="s">
        <v>2350</v>
      </c>
      <c r="F6" s="2974"/>
      <c r="G6" s="2975" t="s">
        <v>2350</v>
      </c>
      <c r="H6" s="2976"/>
      <c r="I6" s="2975" t="s">
        <v>2350</v>
      </c>
      <c r="J6" s="2976"/>
      <c r="K6" s="594" t="s">
        <v>2351</v>
      </c>
      <c r="L6" s="1239"/>
      <c r="M6" s="1240"/>
      <c r="N6" s="1240"/>
      <c r="O6" s="1240"/>
      <c r="P6" s="2993"/>
      <c r="Q6" s="2994"/>
      <c r="R6" s="2997"/>
      <c r="S6" s="2998"/>
      <c r="T6" s="2999"/>
      <c r="U6" s="3000"/>
      <c r="V6" s="3001"/>
      <c r="W6" s="3001"/>
      <c r="X6" s="1896"/>
      <c r="Y6" s="2999"/>
      <c r="Z6" s="3000"/>
      <c r="AA6" s="2984"/>
      <c r="AB6" s="2984"/>
      <c r="AC6" s="2984"/>
    </row>
    <row r="7" spans="1:29" s="35" customFormat="1" ht="15.75" thickBot="1">
      <c r="A7" s="387" t="s">
        <v>2352</v>
      </c>
      <c r="B7" s="388"/>
      <c r="C7" s="389">
        <f>'数据-取费表'!B2</f>
        <v>43257</v>
      </c>
      <c r="D7" s="390">
        <v>100</v>
      </c>
      <c r="E7" s="391">
        <v>43255</v>
      </c>
      <c r="F7" s="392">
        <f>SUMIF(59:59,YEAR(E7)&amp;"-"&amp;MONTH(E7),60:60)</f>
        <v>100</v>
      </c>
      <c r="G7" s="2459">
        <v>43251</v>
      </c>
      <c r="H7" s="390">
        <f>SUMIF(59:59,YEAR(G7)&amp;"-"&amp;MONTH(G7),60:60)</f>
        <v>100</v>
      </c>
      <c r="I7" s="2459">
        <v>43253</v>
      </c>
      <c r="J7" s="390">
        <f>SUMIF(59:59,YEAR(I7)&amp;"-"&amp;MONTH(I7),60:60)</f>
        <v>100</v>
      </c>
      <c r="K7" s="595"/>
      <c r="L7" s="1241"/>
      <c r="M7" s="1242"/>
      <c r="N7" s="1242"/>
      <c r="O7" s="1242"/>
      <c r="P7" s="2980" t="s">
        <v>2353</v>
      </c>
      <c r="Q7" s="2980"/>
      <c r="R7" s="749" t="s">
        <v>25</v>
      </c>
      <c r="S7" s="750">
        <f t="shared" ref="S7:S15" si="0">F7</f>
        <v>100</v>
      </c>
      <c r="T7" s="749" t="s">
        <v>25</v>
      </c>
      <c r="U7" s="750">
        <f t="shared" ref="U7:U15" si="1">H7</f>
        <v>100</v>
      </c>
      <c r="V7" s="749" t="s">
        <v>25</v>
      </c>
      <c r="W7" s="750">
        <f t="shared" ref="W7:W15" si="2">J7</f>
        <v>100</v>
      </c>
      <c r="X7" s="751"/>
      <c r="Y7" s="3005" t="s">
        <v>2353</v>
      </c>
      <c r="Z7" s="2981"/>
      <c r="AA7" s="752">
        <f>D7/F7</f>
        <v>1</v>
      </c>
      <c r="AB7" s="752">
        <f>D7/H7</f>
        <v>1</v>
      </c>
      <c r="AC7" s="752">
        <f>D7/J7</f>
        <v>1</v>
      </c>
    </row>
    <row r="8" spans="1:29" s="35" customFormat="1" ht="15.75" thickBot="1">
      <c r="A8" s="387" t="s">
        <v>2354</v>
      </c>
      <c r="B8" s="388"/>
      <c r="C8" s="394" t="s">
        <v>2355</v>
      </c>
      <c r="D8" s="390">
        <v>100</v>
      </c>
      <c r="E8" s="394" t="s">
        <v>2832</v>
      </c>
      <c r="F8" s="392">
        <f>SUMIF(62:62,E8,63:63)-SUMIF(62:62,C8,63:63)+100</f>
        <v>100</v>
      </c>
      <c r="G8" s="394" t="s">
        <v>2832</v>
      </c>
      <c r="H8" s="390">
        <f>SUMIF(62:62,G8,63:63)-SUMIF(62:62,C8,63:63)+100</f>
        <v>100</v>
      </c>
      <c r="I8" s="394" t="s">
        <v>2832</v>
      </c>
      <c r="J8" s="390">
        <f>SUMIF(62:62,I8,63:63)-SUMIF(62:62,C8,63:63)+100</f>
        <v>100</v>
      </c>
      <c r="K8" s="595"/>
      <c r="L8" s="1241"/>
      <c r="M8" s="1242"/>
      <c r="N8" s="1242"/>
      <c r="O8" s="1242"/>
      <c r="P8" s="2980" t="s">
        <v>2356</v>
      </c>
      <c r="Q8" s="2981"/>
      <c r="R8" s="749" t="s">
        <v>25</v>
      </c>
      <c r="S8" s="750">
        <f t="shared" si="0"/>
        <v>100</v>
      </c>
      <c r="T8" s="749" t="s">
        <v>25</v>
      </c>
      <c r="U8" s="750">
        <f t="shared" si="1"/>
        <v>100</v>
      </c>
      <c r="V8" s="749" t="s">
        <v>25</v>
      </c>
      <c r="W8" s="750">
        <f t="shared" si="2"/>
        <v>100</v>
      </c>
      <c r="X8" s="751"/>
      <c r="Y8" s="3005" t="s">
        <v>2356</v>
      </c>
      <c r="Z8" s="2981"/>
      <c r="AA8" s="752">
        <f t="shared" ref="AA8:AA47" si="3">D8/F8</f>
        <v>1</v>
      </c>
      <c r="AB8" s="752">
        <f t="shared" ref="AB8:AB47" si="4">D8/H8</f>
        <v>1</v>
      </c>
      <c r="AC8" s="752">
        <f t="shared" ref="AC8:AC47" si="5">D8/J8</f>
        <v>1</v>
      </c>
    </row>
    <row r="9" spans="1:29" s="35" customFormat="1">
      <c r="A9" s="395" t="s">
        <v>2357</v>
      </c>
      <c r="B9" s="28" t="s">
        <v>2358</v>
      </c>
      <c r="C9" s="2732" t="s">
        <v>2856</v>
      </c>
      <c r="D9" s="51">
        <v>100</v>
      </c>
      <c r="E9" s="399" t="s">
        <v>2853</v>
      </c>
      <c r="F9" s="51">
        <f>SUMIF(64:64,E9,65:65)-SUMIF(64:64,C9,65:65)+100</f>
        <v>100</v>
      </c>
      <c r="G9" s="399" t="s">
        <v>2853</v>
      </c>
      <c r="H9" s="51">
        <f>SUMIF(64:64,G9,65:65)-SUMIF(64:64,C9,65:65)+100</f>
        <v>100</v>
      </c>
      <c r="I9" s="399" t="s">
        <v>2853</v>
      </c>
      <c r="J9" s="51">
        <f>SUMIF(64:64,I9,65:65)-SUMIF(64:64,C9,65:65)+100</f>
        <v>100</v>
      </c>
      <c r="K9" s="595"/>
      <c r="L9" s="1241"/>
      <c r="M9" s="1242"/>
      <c r="N9" s="1242"/>
      <c r="O9" s="1242"/>
      <c r="P9" s="2977" t="s">
        <v>2359</v>
      </c>
      <c r="Q9" s="1883" t="str">
        <f t="shared" ref="Q9:Q15" si="6">B9</f>
        <v>用途</v>
      </c>
      <c r="R9" s="749" t="s">
        <v>25</v>
      </c>
      <c r="S9" s="750">
        <f t="shared" si="0"/>
        <v>100</v>
      </c>
      <c r="T9" s="749" t="s">
        <v>25</v>
      </c>
      <c r="U9" s="750">
        <f t="shared" si="1"/>
        <v>100</v>
      </c>
      <c r="V9" s="749" t="s">
        <v>25</v>
      </c>
      <c r="W9" s="750">
        <f t="shared" si="2"/>
        <v>100</v>
      </c>
      <c r="X9" s="751"/>
      <c r="Y9" s="2853" t="s">
        <v>2360</v>
      </c>
      <c r="Z9" s="23" t="str">
        <f t="shared" ref="Z9:Z15" si="7">Q9</f>
        <v>用途</v>
      </c>
      <c r="AA9" s="752">
        <f t="shared" si="3"/>
        <v>1</v>
      </c>
      <c r="AB9" s="752">
        <f t="shared" si="4"/>
        <v>1</v>
      </c>
      <c r="AC9" s="752">
        <f t="shared" si="5"/>
        <v>1</v>
      </c>
    </row>
    <row r="10" spans="1:29" s="407" customFormat="1" ht="27.75" thickBot="1">
      <c r="A10" s="401"/>
      <c r="B10" s="402" t="s">
        <v>2361</v>
      </c>
      <c r="C10" s="403" t="s">
        <v>2888</v>
      </c>
      <c r="D10" s="52">
        <v>100</v>
      </c>
      <c r="E10" s="403" t="s">
        <v>2888</v>
      </c>
      <c r="F10" s="52">
        <f>SUMIF(66:66,E10,67:67)-SUMIF(66:66,C10,67:67)+100</f>
        <v>100</v>
      </c>
      <c r="G10" s="403" t="s">
        <v>2888</v>
      </c>
      <c r="H10" s="52">
        <f>SUMIF(66:66,G10,67:67)-SUMIF(66:66,C10,67:67)+100</f>
        <v>100</v>
      </c>
      <c r="I10" s="403" t="s">
        <v>2888</v>
      </c>
      <c r="J10" s="52">
        <f>SUMIF(66:66,I10,67:67)-SUMIF(66:66,C10,67:67)+100</f>
        <v>100</v>
      </c>
      <c r="K10" s="596">
        <v>2</v>
      </c>
      <c r="L10" s="1244"/>
      <c r="M10" s="1245"/>
      <c r="N10" s="1245"/>
      <c r="O10" s="1245"/>
      <c r="P10" s="2977"/>
      <c r="Q10" s="1883" t="str">
        <f t="shared" si="6"/>
        <v>土地使用年限（年）</v>
      </c>
      <c r="R10" s="749" t="s">
        <v>25</v>
      </c>
      <c r="S10" s="750">
        <f t="shared" si="0"/>
        <v>100</v>
      </c>
      <c r="T10" s="749" t="s">
        <v>25</v>
      </c>
      <c r="U10" s="750">
        <f t="shared" si="1"/>
        <v>100</v>
      </c>
      <c r="V10" s="749" t="s">
        <v>25</v>
      </c>
      <c r="W10" s="750">
        <f t="shared" si="2"/>
        <v>100</v>
      </c>
      <c r="X10" s="751"/>
      <c r="Y10" s="2853"/>
      <c r="Z10" s="23" t="str">
        <f t="shared" si="7"/>
        <v>土地使用年限（年）</v>
      </c>
      <c r="AA10" s="752">
        <f t="shared" si="3"/>
        <v>1</v>
      </c>
      <c r="AB10" s="752">
        <f t="shared" si="4"/>
        <v>1</v>
      </c>
      <c r="AC10" s="752">
        <f t="shared" si="5"/>
        <v>1</v>
      </c>
    </row>
    <row r="11" spans="1:29" ht="15" hidden="1">
      <c r="A11" s="408"/>
      <c r="B11" s="402" t="s">
        <v>2362</v>
      </c>
      <c r="C11" s="409"/>
      <c r="D11" s="52">
        <v>100</v>
      </c>
      <c r="E11" s="409"/>
      <c r="F11" s="52">
        <f>LOOKUP(E11,69:69,70:70)-LOOKUP(C11,69:69,70:70)+100</f>
        <v>100</v>
      </c>
      <c r="G11" s="410"/>
      <c r="H11" s="52">
        <f>LOOKUP(G11,69:69,70:70)-LOOKUP(C11,69:69,70:70)+100</f>
        <v>100</v>
      </c>
      <c r="I11" s="409"/>
      <c r="J11" s="52">
        <f>LOOKUP(I11,69:69,70:70)-LOOKUP(C11,69:69,70:70)+100</f>
        <v>100</v>
      </c>
      <c r="K11" s="596"/>
      <c r="L11" s="1247"/>
      <c r="M11" s="1240"/>
      <c r="N11" s="1240"/>
      <c r="O11" s="1240"/>
      <c r="P11" s="2977"/>
      <c r="Q11" s="1883" t="str">
        <f t="shared" si="6"/>
        <v>容积率</v>
      </c>
      <c r="R11" s="749" t="s">
        <v>25</v>
      </c>
      <c r="S11" s="750">
        <f t="shared" si="0"/>
        <v>100</v>
      </c>
      <c r="T11" s="749" t="s">
        <v>25</v>
      </c>
      <c r="U11" s="750">
        <f t="shared" si="1"/>
        <v>100</v>
      </c>
      <c r="V11" s="749" t="s">
        <v>25</v>
      </c>
      <c r="W11" s="750">
        <f t="shared" si="2"/>
        <v>100</v>
      </c>
      <c r="X11" s="751"/>
      <c r="Y11" s="2853"/>
      <c r="Z11" s="23" t="str">
        <f t="shared" si="7"/>
        <v>容积率</v>
      </c>
      <c r="AA11" s="752">
        <f t="shared" si="3"/>
        <v>1</v>
      </c>
      <c r="AB11" s="752">
        <f t="shared" si="4"/>
        <v>1</v>
      </c>
      <c r="AC11" s="752">
        <f t="shared" si="5"/>
        <v>1</v>
      </c>
    </row>
    <row r="12" spans="1:29" s="35" customFormat="1" ht="15" hidden="1">
      <c r="A12" s="411"/>
      <c r="B12" s="2392">
        <v>111</v>
      </c>
      <c r="C12" s="412"/>
      <c r="D12" s="413">
        <v>100</v>
      </c>
      <c r="E12" s="412"/>
      <c r="F12" s="52">
        <f>SUMIF(71:71,E12,72:72)-SUMIF(71:71,C12,72:72)+100</f>
        <v>100</v>
      </c>
      <c r="G12" s="1469"/>
      <c r="H12" s="52">
        <f>SUMIF(71:71,G12,72:72)-SUMIF(71:71,C12,72:72)+100</f>
        <v>100</v>
      </c>
      <c r="I12" s="412"/>
      <c r="J12" s="52">
        <f>SUMIF(71:71,I12,72:72)-SUMIF(71:71,C12,72:72)+100</f>
        <v>100</v>
      </c>
      <c r="K12" s="597"/>
      <c r="L12" s="1241"/>
      <c r="M12" s="1242"/>
      <c r="N12" s="1242"/>
      <c r="O12" s="1242"/>
      <c r="P12" s="2977"/>
      <c r="Q12" s="1883">
        <f t="shared" si="6"/>
        <v>111</v>
      </c>
      <c r="R12" s="749" t="s">
        <v>25</v>
      </c>
      <c r="S12" s="750">
        <f t="shared" si="0"/>
        <v>100</v>
      </c>
      <c r="T12" s="749" t="s">
        <v>25</v>
      </c>
      <c r="U12" s="750">
        <f t="shared" si="1"/>
        <v>100</v>
      </c>
      <c r="V12" s="749" t="s">
        <v>25</v>
      </c>
      <c r="W12" s="750">
        <f t="shared" si="2"/>
        <v>100</v>
      </c>
      <c r="X12" s="751"/>
      <c r="Y12" s="2853"/>
      <c r="Z12" s="23">
        <f t="shared" si="7"/>
        <v>111</v>
      </c>
      <c r="AA12" s="752">
        <f>D12/F12</f>
        <v>1</v>
      </c>
      <c r="AB12" s="752">
        <f>D12/H12</f>
        <v>1</v>
      </c>
      <c r="AC12" s="752">
        <f>D12/J12</f>
        <v>1</v>
      </c>
    </row>
    <row r="13" spans="1:29" ht="15" hidden="1">
      <c r="A13" s="408"/>
      <c r="B13" s="2392">
        <v>111</v>
      </c>
      <c r="C13" s="414"/>
      <c r="D13" s="415">
        <v>100</v>
      </c>
      <c r="E13" s="412"/>
      <c r="F13" s="52">
        <f>SUMIF(73:73,E13,74:74)-SUMIF(73:73,C13,74:74)+100</f>
        <v>100</v>
      </c>
      <c r="G13" s="1469"/>
      <c r="H13" s="415">
        <f>SUMIF(73:73,G13,74:74)-SUMIF(73:73,C13,74:74)+100</f>
        <v>100</v>
      </c>
      <c r="I13" s="412"/>
      <c r="J13" s="415">
        <f>SUMIF(73:73,I13,74:74)-SUMIF(73:73,C13,74:74)+100</f>
        <v>100</v>
      </c>
      <c r="K13" s="597"/>
      <c r="L13" s="1249"/>
      <c r="M13" s="1240"/>
      <c r="N13" s="1240"/>
      <c r="O13" s="1240"/>
      <c r="P13" s="2977"/>
      <c r="Q13" s="1883">
        <f t="shared" si="6"/>
        <v>111</v>
      </c>
      <c r="R13" s="749" t="s">
        <v>25</v>
      </c>
      <c r="S13" s="750">
        <f t="shared" si="0"/>
        <v>100</v>
      </c>
      <c r="T13" s="749" t="s">
        <v>25</v>
      </c>
      <c r="U13" s="750">
        <f t="shared" si="1"/>
        <v>100</v>
      </c>
      <c r="V13" s="749" t="s">
        <v>25</v>
      </c>
      <c r="W13" s="750">
        <f t="shared" si="2"/>
        <v>100</v>
      </c>
      <c r="X13" s="751"/>
      <c r="Y13" s="2853"/>
      <c r="Z13" s="23">
        <f t="shared" si="7"/>
        <v>111</v>
      </c>
      <c r="AA13" s="752">
        <f t="shared" si="3"/>
        <v>1</v>
      </c>
      <c r="AB13" s="752">
        <f t="shared" si="4"/>
        <v>1</v>
      </c>
      <c r="AC13" s="752">
        <f t="shared" si="5"/>
        <v>1</v>
      </c>
    </row>
    <row r="14" spans="1:29" ht="15.75" hidden="1" thickBot="1">
      <c r="A14" s="416"/>
      <c r="B14" s="2394">
        <v>111</v>
      </c>
      <c r="C14" s="2395"/>
      <c r="D14" s="417">
        <v>100</v>
      </c>
      <c r="E14" s="612"/>
      <c r="F14" s="417">
        <f>SUMIF(75:75,E14,76:76)-SUMIF(75:75,C14,76:76)+100</f>
        <v>100</v>
      </c>
      <c r="G14" s="1469"/>
      <c r="H14" s="417">
        <f>SUMIF(75:75,G14,76:76)-SUMIF(75:75,C14,76:76)+100</f>
        <v>100</v>
      </c>
      <c r="I14" s="412"/>
      <c r="J14" s="417">
        <f>SUMIF(75:75,I14,76:76)-SUMIF(75:75,C14,76:76)+100</f>
        <v>100</v>
      </c>
      <c r="K14" s="597"/>
      <c r="L14" s="1249"/>
      <c r="M14" s="1240"/>
      <c r="N14" s="1240"/>
      <c r="O14" s="1240"/>
      <c r="P14" s="2977"/>
      <c r="Q14" s="1883">
        <f t="shared" si="6"/>
        <v>111</v>
      </c>
      <c r="R14" s="749" t="s">
        <v>25</v>
      </c>
      <c r="S14" s="750">
        <f t="shared" si="0"/>
        <v>100</v>
      </c>
      <c r="T14" s="749" t="s">
        <v>25</v>
      </c>
      <c r="U14" s="750">
        <f t="shared" si="1"/>
        <v>100</v>
      </c>
      <c r="V14" s="749" t="s">
        <v>25</v>
      </c>
      <c r="W14" s="750">
        <f t="shared" si="2"/>
        <v>100</v>
      </c>
      <c r="X14" s="751"/>
      <c r="Y14" s="2853"/>
      <c r="Z14" s="23">
        <f t="shared" si="7"/>
        <v>111</v>
      </c>
      <c r="AA14" s="752">
        <f t="shared" si="3"/>
        <v>1</v>
      </c>
      <c r="AB14" s="752">
        <f t="shared" si="4"/>
        <v>1</v>
      </c>
      <c r="AC14" s="752">
        <f t="shared" si="5"/>
        <v>1</v>
      </c>
    </row>
    <row r="15" spans="1:29" ht="93.75" customHeight="1">
      <c r="A15" s="419" t="s">
        <v>2363</v>
      </c>
      <c r="B15" s="613" t="s">
        <v>2478</v>
      </c>
      <c r="C15" s="2460" t="str">
        <f>估价对象房地状况!C5</f>
        <v>估价对象位于北京市副中心西北部，周边办公楼项目较少，入驻率一般，办公集聚程度较差</v>
      </c>
      <c r="D15" s="420">
        <v>100</v>
      </c>
      <c r="E15" s="423"/>
      <c r="F15" s="420">
        <f>SUMIF(77:77,E16,78:78)-SUMIF(77:77,C16,78:78)+100</f>
        <v>100</v>
      </c>
      <c r="G15" s="421"/>
      <c r="H15" s="420">
        <f>SUMIF(77:77,G16,78:78)-SUMIF(77:77,C16,78:78)+100</f>
        <v>100</v>
      </c>
      <c r="I15" s="421"/>
      <c r="J15" s="420">
        <f>SUMIF(77:77,I16,78:78)-SUMIF(77:77,C16,78:78)+100</f>
        <v>100</v>
      </c>
      <c r="K15" s="598">
        <v>2</v>
      </c>
      <c r="L15" s="1249"/>
      <c r="M15" s="1240"/>
      <c r="N15" s="1240"/>
      <c r="O15" s="1240"/>
      <c r="P15" s="2990" t="s">
        <v>2364</v>
      </c>
      <c r="Q15" s="1895" t="str">
        <f t="shared" si="6"/>
        <v>办公集聚程度</v>
      </c>
      <c r="R15" s="753" t="s">
        <v>25</v>
      </c>
      <c r="S15" s="754">
        <f t="shared" si="0"/>
        <v>100</v>
      </c>
      <c r="T15" s="753" t="s">
        <v>25</v>
      </c>
      <c r="U15" s="754">
        <f t="shared" si="1"/>
        <v>100</v>
      </c>
      <c r="V15" s="753" t="s">
        <v>25</v>
      </c>
      <c r="W15" s="754">
        <f t="shared" si="2"/>
        <v>100</v>
      </c>
      <c r="X15" s="1896"/>
      <c r="Y15" s="3006" t="s">
        <v>2364</v>
      </c>
      <c r="Z15" s="1898" t="str">
        <f t="shared" si="7"/>
        <v>办公集聚程度</v>
      </c>
      <c r="AA15" s="1899">
        <f t="shared" si="3"/>
        <v>1</v>
      </c>
      <c r="AB15" s="1899">
        <f t="shared" si="4"/>
        <v>1</v>
      </c>
      <c r="AC15" s="1899">
        <f t="shared" si="5"/>
        <v>1</v>
      </c>
    </row>
    <row r="16" spans="1:29" ht="15">
      <c r="A16" s="408"/>
      <c r="B16" s="614"/>
      <c r="C16" s="1468" t="s">
        <v>32</v>
      </c>
      <c r="D16" s="427"/>
      <c r="E16" s="426" t="s">
        <v>32</v>
      </c>
      <c r="F16" s="427"/>
      <c r="G16" s="1468" t="s">
        <v>32</v>
      </c>
      <c r="H16" s="430"/>
      <c r="I16" s="426" t="s">
        <v>32</v>
      </c>
      <c r="J16" s="427"/>
      <c r="K16" s="599"/>
      <c r="L16" s="1249"/>
      <c r="M16" s="1240"/>
      <c r="N16" s="1240"/>
      <c r="O16" s="1240"/>
      <c r="P16" s="2992"/>
      <c r="Q16" s="1895"/>
      <c r="R16" s="753"/>
      <c r="S16" s="754"/>
      <c r="T16" s="753"/>
      <c r="U16" s="754"/>
      <c r="V16" s="753"/>
      <c r="W16" s="754"/>
      <c r="X16" s="1896"/>
      <c r="Y16" s="3007"/>
      <c r="Z16" s="1898"/>
      <c r="AA16" s="1899">
        <v>1</v>
      </c>
      <c r="AB16" s="1899">
        <v>1</v>
      </c>
      <c r="AC16" s="1899">
        <v>1</v>
      </c>
    </row>
    <row r="17" spans="1:29" ht="108" customHeight="1">
      <c r="A17" s="408"/>
      <c r="B17" s="615" t="s">
        <v>1748</v>
      </c>
      <c r="C17" s="2461" t="str">
        <f>估价对象房地状况!C6</f>
        <v>估价对象周边道路状况为临近金榆路、通8路、快专55路公交线路经过、停车便捷程度较好，综合评价交通便捷度一般</v>
      </c>
      <c r="D17" s="430">
        <v>100</v>
      </c>
      <c r="E17" s="434"/>
      <c r="F17" s="430">
        <f>SUMIF(79:79,E18,80:80)-SUMIF(79:79,C18,80:80)+100</f>
        <v>100</v>
      </c>
      <c r="G17" s="432"/>
      <c r="H17" s="435">
        <f>SUMIF(79:79,G18,80:80)-SUMIF(79:79,C18,80:80)+100</f>
        <v>100</v>
      </c>
      <c r="I17" s="432"/>
      <c r="J17" s="435">
        <f>SUMIF(79:79,I18,80:80)-SUMIF(79:79,C18,80:80)+100</f>
        <v>100</v>
      </c>
      <c r="K17" s="598">
        <v>2</v>
      </c>
      <c r="L17" s="1249"/>
      <c r="M17" s="1240"/>
      <c r="N17" s="1240"/>
      <c r="O17" s="1240"/>
      <c r="P17" s="2992"/>
      <c r="Q17" s="1895" t="str">
        <f>B17</f>
        <v>交通便捷度</v>
      </c>
      <c r="R17" s="753" t="s">
        <v>25</v>
      </c>
      <c r="S17" s="754">
        <f>F17</f>
        <v>100</v>
      </c>
      <c r="T17" s="753" t="s">
        <v>25</v>
      </c>
      <c r="U17" s="754">
        <f>H17</f>
        <v>100</v>
      </c>
      <c r="V17" s="753" t="s">
        <v>25</v>
      </c>
      <c r="W17" s="754">
        <f>J17</f>
        <v>100</v>
      </c>
      <c r="X17" s="1896"/>
      <c r="Y17" s="3007"/>
      <c r="Z17" s="1898" t="str">
        <f>Q17</f>
        <v>交通便捷度</v>
      </c>
      <c r="AA17" s="1899">
        <f t="shared" si="3"/>
        <v>1</v>
      </c>
      <c r="AB17" s="1899">
        <f t="shared" si="4"/>
        <v>1</v>
      </c>
      <c r="AC17" s="1899">
        <f t="shared" si="5"/>
        <v>1</v>
      </c>
    </row>
    <row r="18" spans="1:29" ht="15">
      <c r="A18" s="408"/>
      <c r="B18" s="616"/>
      <c r="C18" s="2462" t="s">
        <v>31</v>
      </c>
      <c r="D18" s="430"/>
      <c r="E18" s="2462" t="s">
        <v>31</v>
      </c>
      <c r="F18" s="430"/>
      <c r="G18" s="2462" t="s">
        <v>31</v>
      </c>
      <c r="H18" s="427"/>
      <c r="I18" s="2462" t="s">
        <v>31</v>
      </c>
      <c r="J18" s="427"/>
      <c r="K18" s="599"/>
      <c r="L18" s="1249"/>
      <c r="M18" s="1240"/>
      <c r="N18" s="1240"/>
      <c r="O18" s="1240"/>
      <c r="P18" s="2992"/>
      <c r="Q18" s="1895"/>
      <c r="R18" s="753"/>
      <c r="S18" s="754"/>
      <c r="T18" s="753"/>
      <c r="U18" s="754"/>
      <c r="V18" s="753"/>
      <c r="W18" s="754"/>
      <c r="X18" s="1896"/>
      <c r="Y18" s="3007"/>
      <c r="Z18" s="1898"/>
      <c r="AA18" s="1899">
        <v>1</v>
      </c>
      <c r="AB18" s="1899">
        <v>1</v>
      </c>
      <c r="AC18" s="1899">
        <v>1</v>
      </c>
    </row>
    <row r="19" spans="1:29" ht="42.75">
      <c r="A19" s="408"/>
      <c r="B19" s="615" t="s">
        <v>2479</v>
      </c>
      <c r="C19" s="2461" t="str">
        <f>估价对象房地状况!C7</f>
        <v>估价对象所在区域公共配套设施齐备情况一般</v>
      </c>
      <c r="D19" s="435">
        <v>100</v>
      </c>
      <c r="E19" s="440"/>
      <c r="F19" s="435">
        <f>SUMIF(81:81,E20,82:82)-SUMIF(81:81,C20,82:82)+100</f>
        <v>100</v>
      </c>
      <c r="G19" s="438"/>
      <c r="H19" s="430">
        <f>SUMIF(81:81,G20,82:82)-SUMIF(81:81,C20,82:82)+100</f>
        <v>100</v>
      </c>
      <c r="I19" s="438"/>
      <c r="J19" s="430">
        <f>SUMIF(81:81,I20,82:82)-SUMIF(81:81,C20,82:82)+100</f>
        <v>100</v>
      </c>
      <c r="K19" s="598">
        <v>1</v>
      </c>
      <c r="L19" s="1249"/>
      <c r="M19" s="1240"/>
      <c r="N19" s="1240"/>
      <c r="O19" s="1240"/>
      <c r="P19" s="2992"/>
      <c r="Q19" s="1895" t="str">
        <f>B19</f>
        <v>公共配套设施</v>
      </c>
      <c r="R19" s="753" t="s">
        <v>25</v>
      </c>
      <c r="S19" s="754">
        <f>F19</f>
        <v>100</v>
      </c>
      <c r="T19" s="753" t="s">
        <v>25</v>
      </c>
      <c r="U19" s="754">
        <f>H19</f>
        <v>100</v>
      </c>
      <c r="V19" s="753" t="s">
        <v>25</v>
      </c>
      <c r="W19" s="754">
        <f>J19</f>
        <v>100</v>
      </c>
      <c r="X19" s="1896"/>
      <c r="Y19" s="3007"/>
      <c r="Z19" s="1898" t="str">
        <f>Q19</f>
        <v>公共配套设施</v>
      </c>
      <c r="AA19" s="1899">
        <f t="shared" si="3"/>
        <v>1</v>
      </c>
      <c r="AB19" s="1899">
        <f t="shared" si="4"/>
        <v>1</v>
      </c>
      <c r="AC19" s="1899">
        <f t="shared" si="5"/>
        <v>1</v>
      </c>
    </row>
    <row r="20" spans="1:29" ht="15">
      <c r="A20" s="408"/>
      <c r="B20" s="616"/>
      <c r="C20" s="1468" t="s">
        <v>31</v>
      </c>
      <c r="D20" s="427"/>
      <c r="E20" s="1468" t="s">
        <v>31</v>
      </c>
      <c r="F20" s="427"/>
      <c r="G20" s="1468" t="s">
        <v>31</v>
      </c>
      <c r="H20" s="427"/>
      <c r="I20" s="1468" t="s">
        <v>31</v>
      </c>
      <c r="J20" s="427"/>
      <c r="K20" s="599"/>
      <c r="L20" s="1249"/>
      <c r="M20" s="1240"/>
      <c r="N20" s="1240"/>
      <c r="O20" s="1240"/>
      <c r="P20" s="2992"/>
      <c r="Q20" s="1895"/>
      <c r="R20" s="753"/>
      <c r="S20" s="754"/>
      <c r="T20" s="753"/>
      <c r="U20" s="754"/>
      <c r="V20" s="753"/>
      <c r="W20" s="754"/>
      <c r="X20" s="1896"/>
      <c r="Y20" s="3007"/>
      <c r="Z20" s="1898"/>
      <c r="AA20" s="1899">
        <v>1</v>
      </c>
      <c r="AB20" s="1899">
        <v>1</v>
      </c>
      <c r="AC20" s="1899">
        <v>1</v>
      </c>
    </row>
    <row r="21" spans="1:29" ht="47.25" customHeight="1">
      <c r="A21" s="408"/>
      <c r="B21" s="617" t="s">
        <v>2480</v>
      </c>
      <c r="C21" s="2461"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v>2</v>
      </c>
      <c r="L21" s="1249"/>
      <c r="M21" s="1240"/>
      <c r="N21" s="1240"/>
      <c r="O21" s="1240"/>
      <c r="P21" s="2992"/>
      <c r="Q21" s="1895" t="str">
        <f>B21</f>
        <v>基础设施水平</v>
      </c>
      <c r="R21" s="753" t="s">
        <v>25</v>
      </c>
      <c r="S21" s="754">
        <f>F21</f>
        <v>100</v>
      </c>
      <c r="T21" s="753" t="s">
        <v>25</v>
      </c>
      <c r="U21" s="754">
        <f>H21</f>
        <v>100</v>
      </c>
      <c r="V21" s="753" t="s">
        <v>25</v>
      </c>
      <c r="W21" s="754">
        <f>J21</f>
        <v>100</v>
      </c>
      <c r="X21" s="1896"/>
      <c r="Y21" s="3007"/>
      <c r="Z21" s="1898" t="str">
        <f>Q21</f>
        <v>基础设施水平</v>
      </c>
      <c r="AA21" s="1899">
        <f t="shared" ref="AA21" si="8">D21/F21</f>
        <v>1</v>
      </c>
      <c r="AB21" s="1899">
        <f t="shared" ref="AB21" si="9">D21/H21</f>
        <v>1</v>
      </c>
      <c r="AC21" s="1899">
        <f t="shared" ref="AC21" si="10">D21/J21</f>
        <v>1</v>
      </c>
    </row>
    <row r="22" spans="1:29" ht="15">
      <c r="A22" s="408"/>
      <c r="B22" s="617"/>
      <c r="C22" s="2462" t="s">
        <v>2857</v>
      </c>
      <c r="D22" s="427"/>
      <c r="E22" s="2462" t="s">
        <v>2857</v>
      </c>
      <c r="F22" s="427"/>
      <c r="G22" s="2462" t="s">
        <v>2857</v>
      </c>
      <c r="H22" s="427"/>
      <c r="I22" s="2462" t="s">
        <v>2857</v>
      </c>
      <c r="J22" s="427"/>
      <c r="K22" s="1465"/>
      <c r="L22" s="1249"/>
      <c r="M22" s="1240"/>
      <c r="N22" s="1240"/>
      <c r="O22" s="1240"/>
      <c r="P22" s="2992"/>
      <c r="Q22" s="1895"/>
      <c r="R22" s="753"/>
      <c r="S22" s="754"/>
      <c r="T22" s="753"/>
      <c r="U22" s="754"/>
      <c r="V22" s="753"/>
      <c r="W22" s="754"/>
      <c r="X22" s="1896"/>
      <c r="Y22" s="3007"/>
      <c r="Z22" s="1898"/>
      <c r="AA22" s="1899">
        <v>1</v>
      </c>
      <c r="AB22" s="1899">
        <v>1</v>
      </c>
      <c r="AC22" s="1899">
        <v>1</v>
      </c>
    </row>
    <row r="23" spans="1:29" ht="84" customHeight="1">
      <c r="A23" s="408"/>
      <c r="B23" s="615" t="s">
        <v>2481</v>
      </c>
      <c r="C23" s="2461" t="str">
        <f>估价对象房地状况!C9</f>
        <v>区域2公里内有自然环境：温榆河；人文环境：北京物资学院；综合评价环境状况较好</v>
      </c>
      <c r="D23" s="430">
        <v>100</v>
      </c>
      <c r="E23" s="434"/>
      <c r="F23" s="430">
        <f>SUMIF(85:85,E24,86:86)-SUMIF(85:85,C24,86:86)+100</f>
        <v>100</v>
      </c>
      <c r="G23" s="432"/>
      <c r="H23" s="430">
        <f>SUMIF(85:85,G24,86:86)-SUMIF(85:85,C24,86:86)+100</f>
        <v>100</v>
      </c>
      <c r="I23" s="432"/>
      <c r="J23" s="430">
        <f>SUMIF(85:85,I24,86:86)-SUMIF(85:85,C24,86:86)+100</f>
        <v>100</v>
      </c>
      <c r="K23" s="598">
        <v>2</v>
      </c>
      <c r="L23" s="1249"/>
      <c r="M23" s="1240"/>
      <c r="N23" s="1240"/>
      <c r="O23" s="1240"/>
      <c r="P23" s="2992"/>
      <c r="Q23" s="1895" t="str">
        <f>B23</f>
        <v>环境质量</v>
      </c>
      <c r="R23" s="753" t="s">
        <v>25</v>
      </c>
      <c r="S23" s="754">
        <f>F23</f>
        <v>100</v>
      </c>
      <c r="T23" s="753" t="s">
        <v>25</v>
      </c>
      <c r="U23" s="754">
        <f>H23</f>
        <v>100</v>
      </c>
      <c r="V23" s="753" t="s">
        <v>25</v>
      </c>
      <c r="W23" s="754">
        <f>J23</f>
        <v>100</v>
      </c>
      <c r="X23" s="1896"/>
      <c r="Y23" s="3007"/>
      <c r="Z23" s="1898" t="str">
        <f>Q23</f>
        <v>环境质量</v>
      </c>
      <c r="AA23" s="1899">
        <f t="shared" si="3"/>
        <v>1</v>
      </c>
      <c r="AB23" s="1899">
        <f t="shared" si="4"/>
        <v>1</v>
      </c>
      <c r="AC23" s="1899">
        <f t="shared" si="5"/>
        <v>1</v>
      </c>
    </row>
    <row r="24" spans="1:29" ht="15">
      <c r="A24" s="408"/>
      <c r="B24" s="617"/>
      <c r="C24" s="1468" t="s">
        <v>30</v>
      </c>
      <c r="D24" s="427"/>
      <c r="E24" s="1468" t="s">
        <v>30</v>
      </c>
      <c r="F24" s="427"/>
      <c r="G24" s="1468" t="s">
        <v>30</v>
      </c>
      <c r="H24" s="427"/>
      <c r="I24" s="1468" t="s">
        <v>30</v>
      </c>
      <c r="J24" s="427"/>
      <c r="K24" s="599"/>
      <c r="L24" s="1249"/>
      <c r="M24" s="1240"/>
      <c r="N24" s="1240"/>
      <c r="O24" s="1240"/>
      <c r="P24" s="2992"/>
      <c r="Q24" s="1895"/>
      <c r="R24" s="753"/>
      <c r="S24" s="754"/>
      <c r="T24" s="753"/>
      <c r="U24" s="754"/>
      <c r="V24" s="753"/>
      <c r="W24" s="754"/>
      <c r="X24" s="1896"/>
      <c r="Y24" s="3007"/>
      <c r="Z24" s="1898"/>
      <c r="AA24" s="1899">
        <v>1</v>
      </c>
      <c r="AB24" s="1899">
        <v>1</v>
      </c>
      <c r="AC24" s="1899">
        <v>1</v>
      </c>
    </row>
    <row r="25" spans="1:29" ht="27.75">
      <c r="A25" s="383"/>
      <c r="B25" s="615" t="s">
        <v>2482</v>
      </c>
      <c r="C25" s="2463" t="s">
        <v>2858</v>
      </c>
      <c r="D25" s="415">
        <v>100</v>
      </c>
      <c r="E25" s="414" t="s">
        <v>2858</v>
      </c>
      <c r="F25" s="415">
        <f>SUMIF(87:87,E26,88:88)-SUMIF(87:87,C26,88:88)+100</f>
        <v>100</v>
      </c>
      <c r="G25" s="2463" t="s">
        <v>2858</v>
      </c>
      <c r="H25" s="415">
        <f>SUMIF(87:87,G26,88:88)-SUMIF(87:87,C26,88:88)+100</f>
        <v>100</v>
      </c>
      <c r="I25" s="414" t="s">
        <v>2858</v>
      </c>
      <c r="J25" s="415">
        <f>SUMIF(87:87,I26,88:88)-SUMIF(87:87,C26,88:88)+100</f>
        <v>100</v>
      </c>
      <c r="K25" s="598">
        <v>2</v>
      </c>
      <c r="L25" s="1249"/>
      <c r="M25" s="1240"/>
      <c r="N25" s="1240"/>
      <c r="O25" s="1240"/>
      <c r="P25" s="2992"/>
      <c r="Q25" s="1895" t="str">
        <f>B25</f>
        <v>毗邻道路的类型与等级</v>
      </c>
      <c r="R25" s="753" t="s">
        <v>25</v>
      </c>
      <c r="S25" s="754">
        <f>F25</f>
        <v>100</v>
      </c>
      <c r="T25" s="753" t="s">
        <v>25</v>
      </c>
      <c r="U25" s="754">
        <f>H25</f>
        <v>100</v>
      </c>
      <c r="V25" s="753" t="s">
        <v>25</v>
      </c>
      <c r="W25" s="754">
        <f>J25</f>
        <v>100</v>
      </c>
      <c r="X25" s="1896"/>
      <c r="Y25" s="3007"/>
      <c r="Z25" s="1898" t="str">
        <f>Q25</f>
        <v>毗邻道路的类型与等级</v>
      </c>
      <c r="AA25" s="1899">
        <f t="shared" si="3"/>
        <v>1</v>
      </c>
      <c r="AB25" s="1899">
        <f t="shared" si="4"/>
        <v>1</v>
      </c>
      <c r="AC25" s="1899">
        <f t="shared" si="5"/>
        <v>1</v>
      </c>
    </row>
    <row r="26" spans="1:29" ht="15.75" thickBot="1">
      <c r="A26" s="383"/>
      <c r="B26" s="616"/>
      <c r="C26" s="618" t="s">
        <v>2864</v>
      </c>
      <c r="D26" s="415"/>
      <c r="E26" s="618" t="s">
        <v>2864</v>
      </c>
      <c r="F26" s="415"/>
      <c r="G26" s="618" t="s">
        <v>2864</v>
      </c>
      <c r="H26" s="415"/>
      <c r="I26" s="618" t="s">
        <v>2864</v>
      </c>
      <c r="J26" s="415"/>
      <c r="K26" s="599"/>
      <c r="L26" s="1249"/>
      <c r="M26" s="1240"/>
      <c r="N26" s="1240"/>
      <c r="O26" s="1240"/>
      <c r="P26" s="2992"/>
      <c r="Q26" s="1895"/>
      <c r="R26" s="753"/>
      <c r="S26" s="754"/>
      <c r="T26" s="753"/>
      <c r="U26" s="754"/>
      <c r="V26" s="753"/>
      <c r="W26" s="754"/>
      <c r="X26" s="1896"/>
      <c r="Y26" s="3007"/>
      <c r="Z26" s="1898"/>
      <c r="AA26" s="1899">
        <v>1</v>
      </c>
      <c r="AB26" s="1899">
        <v>1</v>
      </c>
      <c r="AC26" s="1899">
        <v>1</v>
      </c>
    </row>
    <row r="27" spans="1:29" ht="15" hidden="1">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49"/>
      <c r="M27" s="1240"/>
      <c r="N27" s="1240"/>
      <c r="O27" s="1240"/>
      <c r="P27" s="2992"/>
      <c r="Q27" s="1895" t="str">
        <f t="shared" ref="Q27:Q47" si="11">B27</f>
        <v>楼层</v>
      </c>
      <c r="R27" s="753" t="s">
        <v>25</v>
      </c>
      <c r="S27" s="754">
        <f>F27</f>
        <v>100</v>
      </c>
      <c r="T27" s="753" t="s">
        <v>25</v>
      </c>
      <c r="U27" s="754">
        <f>H27</f>
        <v>100</v>
      </c>
      <c r="V27" s="753" t="s">
        <v>25</v>
      </c>
      <c r="W27" s="754">
        <f>J27</f>
        <v>100</v>
      </c>
      <c r="X27" s="1896"/>
      <c r="Y27" s="3007"/>
      <c r="Z27" s="1898" t="str">
        <f>Q27</f>
        <v>楼层</v>
      </c>
      <c r="AA27" s="1899">
        <f t="shared" si="3"/>
        <v>1</v>
      </c>
      <c r="AB27" s="1899">
        <f t="shared" si="4"/>
        <v>1</v>
      </c>
      <c r="AC27" s="1899">
        <f t="shared" si="5"/>
        <v>1</v>
      </c>
    </row>
    <row r="28" spans="1:29" s="35" customFormat="1" ht="15" hidden="1">
      <c r="A28" s="411"/>
      <c r="B28" s="615" t="s">
        <v>2483</v>
      </c>
      <c r="C28" s="2464"/>
      <c r="D28" s="443">
        <v>100</v>
      </c>
      <c r="E28" s="2451"/>
      <c r="F28" s="443">
        <f>SUMIF(91:91,E28,92:92)-SUMIF(91:91,C28,92:92)+100</f>
        <v>100</v>
      </c>
      <c r="G28" s="2464"/>
      <c r="H28" s="443">
        <f>SUMIF(91:91,G28,92:92)-SUMIF(91:91,C28,92:92)+100</f>
        <v>100</v>
      </c>
      <c r="I28" s="2451"/>
      <c r="J28" s="443">
        <f>SUMIF(91:91,I28,92:92)-SUMIF(91:91,C28,92:92)+100</f>
        <v>100</v>
      </c>
      <c r="K28" s="596"/>
      <c r="L28" s="1241"/>
      <c r="M28" s="1242"/>
      <c r="N28" s="1242"/>
      <c r="O28" s="1242"/>
      <c r="P28" s="2992"/>
      <c r="Q28" s="1883" t="str">
        <f t="shared" si="11"/>
        <v>朝向</v>
      </c>
      <c r="R28" s="749" t="s">
        <v>25</v>
      </c>
      <c r="S28" s="750">
        <f>F28</f>
        <v>100</v>
      </c>
      <c r="T28" s="749" t="s">
        <v>25</v>
      </c>
      <c r="U28" s="750">
        <f>H28</f>
        <v>100</v>
      </c>
      <c r="V28" s="749" t="s">
        <v>25</v>
      </c>
      <c r="W28" s="750">
        <f>J28</f>
        <v>100</v>
      </c>
      <c r="X28" s="751"/>
      <c r="Y28" s="3007"/>
      <c r="Z28" s="23" t="str">
        <f>Q28</f>
        <v>朝向</v>
      </c>
      <c r="AA28" s="1899">
        <f>D28/F28</f>
        <v>1</v>
      </c>
      <c r="AB28" s="1899">
        <f>D28/H28</f>
        <v>1</v>
      </c>
      <c r="AC28" s="1899">
        <f>D28/J28</f>
        <v>1</v>
      </c>
    </row>
    <row r="29" spans="1:29" ht="15" hidden="1">
      <c r="A29" s="408"/>
      <c r="B29" s="2465">
        <v>111</v>
      </c>
      <c r="C29" s="2463"/>
      <c r="D29" s="415">
        <v>100</v>
      </c>
      <c r="E29" s="412"/>
      <c r="F29" s="415">
        <f>SUMIF(93:93,E29,94:94)-SUMIF(93:93,C29,94:94)+100</f>
        <v>100</v>
      </c>
      <c r="G29" s="1469"/>
      <c r="H29" s="415">
        <f>SUMIF(93:93,G29,94:94)-SUMIF(93:93,C29,94:94)+100</f>
        <v>100</v>
      </c>
      <c r="I29" s="412"/>
      <c r="J29" s="415">
        <f>SUMIF(93:93,I29,94:94)-SUMIF(93:93,C29,94:94)+100</f>
        <v>100</v>
      </c>
      <c r="K29" s="597"/>
      <c r="L29" s="1249"/>
      <c r="M29" s="1240"/>
      <c r="N29" s="1240"/>
      <c r="O29" s="1240"/>
      <c r="P29" s="2992"/>
      <c r="Q29" s="1895">
        <f t="shared" si="11"/>
        <v>111</v>
      </c>
      <c r="R29" s="753" t="s">
        <v>25</v>
      </c>
      <c r="S29" s="754">
        <f t="shared" ref="S29:S47" si="12">F29</f>
        <v>100</v>
      </c>
      <c r="T29" s="753" t="s">
        <v>25</v>
      </c>
      <c r="U29" s="754">
        <f t="shared" ref="U29:U47" si="13">H29</f>
        <v>100</v>
      </c>
      <c r="V29" s="753" t="s">
        <v>25</v>
      </c>
      <c r="W29" s="754">
        <f t="shared" ref="W29:W47" si="14">J29</f>
        <v>100</v>
      </c>
      <c r="X29" s="1896"/>
      <c r="Y29" s="3007"/>
      <c r="Z29" s="1898">
        <f t="shared" ref="Z29:Z47" si="15">Q29</f>
        <v>111</v>
      </c>
      <c r="AA29" s="1899">
        <f t="shared" si="3"/>
        <v>1</v>
      </c>
      <c r="AB29" s="1899">
        <f t="shared" si="4"/>
        <v>1</v>
      </c>
      <c r="AC29" s="1899">
        <f t="shared" si="5"/>
        <v>1</v>
      </c>
    </row>
    <row r="30" spans="1:29" ht="15" hidden="1">
      <c r="A30" s="408"/>
      <c r="B30" s="2465">
        <v>111</v>
      </c>
      <c r="C30" s="2463"/>
      <c r="D30" s="415">
        <v>100</v>
      </c>
      <c r="E30" s="412"/>
      <c r="F30" s="415">
        <f>SUMIF(95:95,E30,96:96)-SUMIF(95:95,C30,96:96)+100</f>
        <v>100</v>
      </c>
      <c r="G30" s="1469"/>
      <c r="H30" s="415">
        <f>SUMIF(95:95,G30,96:96)-SUMIF(95:95,C30,96:96)+100</f>
        <v>100</v>
      </c>
      <c r="I30" s="412"/>
      <c r="J30" s="415">
        <f>SUMIF(95:95,I30,96:96)-SUMIF(95:95,C30,96:96)+100</f>
        <v>100</v>
      </c>
      <c r="K30" s="597"/>
      <c r="L30" s="1249"/>
      <c r="M30" s="1240"/>
      <c r="N30" s="1240"/>
      <c r="O30" s="1240"/>
      <c r="P30" s="2992"/>
      <c r="Q30" s="1895">
        <f t="shared" si="11"/>
        <v>111</v>
      </c>
      <c r="R30" s="753" t="s">
        <v>25</v>
      </c>
      <c r="S30" s="754">
        <f t="shared" si="12"/>
        <v>100</v>
      </c>
      <c r="T30" s="753" t="s">
        <v>25</v>
      </c>
      <c r="U30" s="754">
        <f t="shared" si="13"/>
        <v>100</v>
      </c>
      <c r="V30" s="753" t="s">
        <v>25</v>
      </c>
      <c r="W30" s="754">
        <f t="shared" si="14"/>
        <v>100</v>
      </c>
      <c r="X30" s="1896"/>
      <c r="Y30" s="3007"/>
      <c r="Z30" s="1898">
        <f t="shared" si="15"/>
        <v>111</v>
      </c>
      <c r="AA30" s="1899">
        <f t="shared" si="3"/>
        <v>1</v>
      </c>
      <c r="AB30" s="1899">
        <f t="shared" si="4"/>
        <v>1</v>
      </c>
      <c r="AC30" s="1899">
        <f t="shared" si="5"/>
        <v>1</v>
      </c>
    </row>
    <row r="31" spans="1:29" ht="15" hidden="1">
      <c r="A31" s="408"/>
      <c r="B31" s="2465">
        <v>111</v>
      </c>
      <c r="C31" s="2463"/>
      <c r="D31" s="415">
        <v>100</v>
      </c>
      <c r="E31" s="412"/>
      <c r="F31" s="415">
        <f>SUMIF(97:97,E31,98:98)-SUMIF(97:97,C31,98:98)+100</f>
        <v>100</v>
      </c>
      <c r="G31" s="1469"/>
      <c r="H31" s="415">
        <f>SUMIF(97:97,G31,98:98)-SUMIF(97:97,C31,98:98)+100</f>
        <v>100</v>
      </c>
      <c r="I31" s="412"/>
      <c r="J31" s="415">
        <f>SUMIF(97:97,I31,98:98)-SUMIF(97:97,C31,98:98)+100</f>
        <v>100</v>
      </c>
      <c r="K31" s="597"/>
      <c r="L31" s="1249"/>
      <c r="M31" s="1240"/>
      <c r="N31" s="1240"/>
      <c r="O31" s="1240"/>
      <c r="P31" s="2992"/>
      <c r="Q31" s="1895">
        <f t="shared" si="11"/>
        <v>111</v>
      </c>
      <c r="R31" s="753" t="s">
        <v>25</v>
      </c>
      <c r="S31" s="754">
        <f t="shared" si="12"/>
        <v>100</v>
      </c>
      <c r="T31" s="753" t="s">
        <v>25</v>
      </c>
      <c r="U31" s="754">
        <f t="shared" si="13"/>
        <v>100</v>
      </c>
      <c r="V31" s="753" t="s">
        <v>25</v>
      </c>
      <c r="W31" s="754">
        <f t="shared" si="14"/>
        <v>100</v>
      </c>
      <c r="X31" s="1896"/>
      <c r="Y31" s="3007"/>
      <c r="Z31" s="1898">
        <f t="shared" si="15"/>
        <v>111</v>
      </c>
      <c r="AA31" s="1899">
        <f t="shared" si="3"/>
        <v>1</v>
      </c>
      <c r="AB31" s="1899">
        <f t="shared" si="4"/>
        <v>1</v>
      </c>
      <c r="AC31" s="1899">
        <f t="shared" si="5"/>
        <v>1</v>
      </c>
    </row>
    <row r="32" spans="1:29" ht="15.75" hidden="1"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49"/>
      <c r="M32" s="1240"/>
      <c r="N32" s="1240"/>
      <c r="O32" s="1240"/>
      <c r="P32" s="2992"/>
      <c r="Q32" s="1895">
        <f t="shared" si="11"/>
        <v>111</v>
      </c>
      <c r="R32" s="753" t="s">
        <v>25</v>
      </c>
      <c r="S32" s="754">
        <f t="shared" si="12"/>
        <v>100</v>
      </c>
      <c r="T32" s="753" t="s">
        <v>25</v>
      </c>
      <c r="U32" s="754">
        <f t="shared" si="13"/>
        <v>100</v>
      </c>
      <c r="V32" s="753" t="s">
        <v>25</v>
      </c>
      <c r="W32" s="754">
        <f t="shared" si="14"/>
        <v>100</v>
      </c>
      <c r="X32" s="1896"/>
      <c r="Y32" s="3007"/>
      <c r="Z32" s="1898">
        <f t="shared" si="15"/>
        <v>111</v>
      </c>
      <c r="AA32" s="1899">
        <f t="shared" si="3"/>
        <v>1</v>
      </c>
      <c r="AB32" s="1899">
        <f t="shared" si="4"/>
        <v>1</v>
      </c>
      <c r="AC32" s="1899">
        <f t="shared" si="5"/>
        <v>1</v>
      </c>
    </row>
    <row r="33" spans="1:29" ht="15">
      <c r="A33" s="419" t="s">
        <v>2368</v>
      </c>
      <c r="B33" s="28" t="s">
        <v>2484</v>
      </c>
      <c r="C33" s="2466" t="s">
        <v>2865</v>
      </c>
      <c r="D33" s="448">
        <v>100</v>
      </c>
      <c r="E33" s="2466" t="s">
        <v>2865</v>
      </c>
      <c r="F33" s="442">
        <f>SUMIF(101:101,E33,102:102)-SUMIF(101:101,C33,102:102)+100</f>
        <v>100</v>
      </c>
      <c r="G33" s="2466" t="s">
        <v>2865</v>
      </c>
      <c r="H33" s="415">
        <f>SUMIF(101:101,G33,102:102)-SUMIF(101:101,C33,102:102)+100</f>
        <v>100</v>
      </c>
      <c r="I33" s="2466" t="s">
        <v>2865</v>
      </c>
      <c r="J33" s="448">
        <f>SUMIF(101:101,I33,102:102)-SUMIF(101:101,C33,102:102)+100</f>
        <v>100</v>
      </c>
      <c r="K33" s="596">
        <v>1</v>
      </c>
      <c r="L33" s="1249"/>
      <c r="M33" s="1240"/>
      <c r="N33" s="1240"/>
      <c r="O33" s="1240"/>
      <c r="P33" s="3008" t="s">
        <v>2370</v>
      </c>
      <c r="Q33" s="1895" t="str">
        <f t="shared" si="11"/>
        <v>建筑类型</v>
      </c>
      <c r="R33" s="753" t="s">
        <v>25</v>
      </c>
      <c r="S33" s="754">
        <f t="shared" si="12"/>
        <v>100</v>
      </c>
      <c r="T33" s="753" t="s">
        <v>25</v>
      </c>
      <c r="U33" s="754">
        <f t="shared" si="13"/>
        <v>100</v>
      </c>
      <c r="V33" s="753" t="s">
        <v>25</v>
      </c>
      <c r="W33" s="754">
        <f t="shared" si="14"/>
        <v>100</v>
      </c>
      <c r="X33" s="1896"/>
      <c r="Y33" s="3011" t="s">
        <v>2370</v>
      </c>
      <c r="Z33" s="1898" t="str">
        <f t="shared" si="15"/>
        <v>建筑类型</v>
      </c>
      <c r="AA33" s="1899">
        <f t="shared" si="3"/>
        <v>1</v>
      </c>
      <c r="AB33" s="1899">
        <f t="shared" si="4"/>
        <v>1</v>
      </c>
      <c r="AC33" s="1899">
        <f t="shared" si="5"/>
        <v>1</v>
      </c>
    </row>
    <row r="34" spans="1:29" s="452" customFormat="1" ht="15">
      <c r="A34" s="449"/>
      <c r="B34" s="402" t="s">
        <v>2371</v>
      </c>
      <c r="C34" s="450">
        <f>'数据-取费表'!E5</f>
        <v>573.89</v>
      </c>
      <c r="D34" s="52">
        <v>100</v>
      </c>
      <c r="E34" s="410">
        <v>573</v>
      </c>
      <c r="F34" s="405">
        <f>LOOKUP(E34,104:104,105:105)-LOOKUP(C34,104:104,105:105)+100</f>
        <v>100</v>
      </c>
      <c r="G34" s="409">
        <v>563</v>
      </c>
      <c r="H34" s="52">
        <f>LOOKUP(G34,104:104,105:105)-LOOKUP(C34,104:104,105:105)+100</f>
        <v>100</v>
      </c>
      <c r="I34" s="409">
        <v>560</v>
      </c>
      <c r="J34" s="52">
        <f>LOOKUP(I34,104:104,105:105)-LOOKUP(C34,104:104,105:105)+100</f>
        <v>100</v>
      </c>
      <c r="K34" s="597"/>
      <c r="L34" s="1247"/>
      <c r="M34" s="1250"/>
      <c r="N34" s="1250"/>
      <c r="O34" s="1250"/>
      <c r="P34" s="3009"/>
      <c r="Q34" s="755" t="str">
        <f t="shared" si="11"/>
        <v>项目建筑规模</v>
      </c>
      <c r="R34" s="756" t="s">
        <v>25</v>
      </c>
      <c r="S34" s="757">
        <f t="shared" si="12"/>
        <v>100</v>
      </c>
      <c r="T34" s="756" t="s">
        <v>25</v>
      </c>
      <c r="U34" s="757">
        <f t="shared" si="13"/>
        <v>100</v>
      </c>
      <c r="V34" s="756" t="s">
        <v>25</v>
      </c>
      <c r="W34" s="757">
        <f t="shared" si="14"/>
        <v>100</v>
      </c>
      <c r="X34" s="758"/>
      <c r="Y34" s="3011"/>
      <c r="Z34" s="759" t="str">
        <f t="shared" si="15"/>
        <v>项目建筑规模</v>
      </c>
      <c r="AA34" s="1899">
        <f t="shared" si="3"/>
        <v>1</v>
      </c>
      <c r="AB34" s="1899">
        <f t="shared" si="4"/>
        <v>1</v>
      </c>
      <c r="AC34" s="1899">
        <f t="shared" si="5"/>
        <v>1</v>
      </c>
    </row>
    <row r="35" spans="1:29" ht="15">
      <c r="A35" s="453"/>
      <c r="B35" s="402" t="s">
        <v>2372</v>
      </c>
      <c r="C35" s="441" t="s">
        <v>2834</v>
      </c>
      <c r="D35" s="415">
        <v>100</v>
      </c>
      <c r="E35" s="441" t="s">
        <v>2834</v>
      </c>
      <c r="F35" s="442">
        <f>SUMIF(106:106,E35,107:107)-SUMIF(106:106,C35,107:107)+100</f>
        <v>100</v>
      </c>
      <c r="G35" s="441" t="s">
        <v>2834</v>
      </c>
      <c r="H35" s="415">
        <f>SUMIF(106:106,G35,107:107)-SUMIF(106:106,C35,107:107)+100</f>
        <v>100</v>
      </c>
      <c r="I35" s="441" t="s">
        <v>2834</v>
      </c>
      <c r="J35" s="415">
        <f>SUMIF(106:106,I35,107:107)-SUMIF(106:106,C35,107:107)+100</f>
        <v>100</v>
      </c>
      <c r="K35" s="596">
        <v>1</v>
      </c>
      <c r="L35" s="1249"/>
      <c r="M35" s="1240"/>
      <c r="N35" s="1240"/>
      <c r="O35" s="1240"/>
      <c r="P35" s="3009"/>
      <c r="Q35" s="1895" t="str">
        <f t="shared" si="11"/>
        <v>建筑结构</v>
      </c>
      <c r="R35" s="753" t="s">
        <v>25</v>
      </c>
      <c r="S35" s="754">
        <f t="shared" si="12"/>
        <v>100</v>
      </c>
      <c r="T35" s="753" t="s">
        <v>25</v>
      </c>
      <c r="U35" s="754">
        <f t="shared" si="13"/>
        <v>100</v>
      </c>
      <c r="V35" s="753" t="s">
        <v>25</v>
      </c>
      <c r="W35" s="754">
        <f t="shared" si="14"/>
        <v>100</v>
      </c>
      <c r="X35" s="1896"/>
      <c r="Y35" s="3011"/>
      <c r="Z35" s="1898" t="str">
        <f t="shared" si="15"/>
        <v>建筑结构</v>
      </c>
      <c r="AA35" s="1899">
        <f t="shared" si="3"/>
        <v>1</v>
      </c>
      <c r="AB35" s="1899">
        <f t="shared" si="4"/>
        <v>1</v>
      </c>
      <c r="AC35" s="1899">
        <f t="shared" si="5"/>
        <v>1</v>
      </c>
    </row>
    <row r="36" spans="1:29" ht="15">
      <c r="A36" s="453"/>
      <c r="B36" s="402" t="s">
        <v>2457</v>
      </c>
      <c r="C36" s="441" t="s">
        <v>2884</v>
      </c>
      <c r="D36" s="415">
        <v>100</v>
      </c>
      <c r="E36" s="441" t="s">
        <v>2885</v>
      </c>
      <c r="F36" s="442">
        <f>SUMIF(108:108,E36,109:109)-SUMIF(108:108,C36,109:109)+100</f>
        <v>102</v>
      </c>
      <c r="G36" s="441" t="s">
        <v>2884</v>
      </c>
      <c r="H36" s="415">
        <f>SUMIF(108:108,G36,109:109)-SUMIF(108:108,C36,109:109)+100</f>
        <v>100</v>
      </c>
      <c r="I36" s="441" t="s">
        <v>2887</v>
      </c>
      <c r="J36" s="415">
        <f>SUMIF(108:108,I36,109:109)-SUMIF(108:108,C36,109:109)+100</f>
        <v>104</v>
      </c>
      <c r="K36" s="596">
        <v>2</v>
      </c>
      <c r="L36" s="1249"/>
      <c r="M36" s="1240"/>
      <c r="N36" s="1240"/>
      <c r="O36" s="1240"/>
      <c r="P36" s="3009"/>
      <c r="Q36" s="1895" t="str">
        <f t="shared" si="11"/>
        <v>公共部分装修</v>
      </c>
      <c r="R36" s="753" t="s">
        <v>25</v>
      </c>
      <c r="S36" s="754">
        <f t="shared" si="12"/>
        <v>102</v>
      </c>
      <c r="T36" s="753" t="s">
        <v>25</v>
      </c>
      <c r="U36" s="754">
        <f t="shared" si="13"/>
        <v>100</v>
      </c>
      <c r="V36" s="753" t="s">
        <v>25</v>
      </c>
      <c r="W36" s="754">
        <f t="shared" si="14"/>
        <v>104</v>
      </c>
      <c r="X36" s="1896"/>
      <c r="Y36" s="3011"/>
      <c r="Z36" s="1898" t="str">
        <f t="shared" si="15"/>
        <v>公共部分装修</v>
      </c>
      <c r="AA36" s="1899">
        <f t="shared" si="3"/>
        <v>0.98039215686274506</v>
      </c>
      <c r="AB36" s="1899">
        <f t="shared" si="4"/>
        <v>1</v>
      </c>
      <c r="AC36" s="1899">
        <f t="shared" si="5"/>
        <v>0.96153846153846156</v>
      </c>
    </row>
    <row r="37" spans="1:29" ht="15">
      <c r="A37" s="453"/>
      <c r="B37" s="402" t="s">
        <v>2458</v>
      </c>
      <c r="C37" s="455">
        <f>'数据-取费表'!E20</f>
        <v>0.9</v>
      </c>
      <c r="D37" s="415">
        <v>100</v>
      </c>
      <c r="E37" s="455">
        <f>C37</f>
        <v>0.9</v>
      </c>
      <c r="F37" s="442">
        <f>LOOKUP(E37,111:111,112:112)-LOOKUP(C37,111:111,112:112)+100</f>
        <v>100</v>
      </c>
      <c r="G37" s="455">
        <f>C37</f>
        <v>0.9</v>
      </c>
      <c r="H37" s="442">
        <f>LOOKUP(G37,111:111,112:112)-LOOKUP(C37,111:111,112:112)+100</f>
        <v>100</v>
      </c>
      <c r="I37" s="455">
        <f>C37</f>
        <v>0.9</v>
      </c>
      <c r="J37" s="415">
        <f>LOOKUP(I37,111:111,112:112)-LOOKUP(C37,111:111,112:112)+100</f>
        <v>100</v>
      </c>
      <c r="K37" s="596">
        <v>2</v>
      </c>
      <c r="L37" s="1249"/>
      <c r="M37" s="1240"/>
      <c r="N37" s="1240"/>
      <c r="O37" s="1240"/>
      <c r="P37" s="3009"/>
      <c r="Q37" s="1895" t="str">
        <f t="shared" si="11"/>
        <v>成新度</v>
      </c>
      <c r="R37" s="753" t="s">
        <v>25</v>
      </c>
      <c r="S37" s="754">
        <f t="shared" si="12"/>
        <v>100</v>
      </c>
      <c r="T37" s="753" t="s">
        <v>25</v>
      </c>
      <c r="U37" s="754">
        <f t="shared" si="13"/>
        <v>100</v>
      </c>
      <c r="V37" s="753" t="s">
        <v>25</v>
      </c>
      <c r="W37" s="754">
        <f t="shared" si="14"/>
        <v>100</v>
      </c>
      <c r="X37" s="1896"/>
      <c r="Y37" s="3011"/>
      <c r="Z37" s="1898" t="str">
        <f t="shared" si="15"/>
        <v>成新度</v>
      </c>
      <c r="AA37" s="1899">
        <f t="shared" si="3"/>
        <v>1</v>
      </c>
      <c r="AB37" s="1899">
        <f t="shared" si="4"/>
        <v>1</v>
      </c>
      <c r="AC37" s="1899">
        <f t="shared" si="5"/>
        <v>1</v>
      </c>
    </row>
    <row r="38" spans="1:29" s="35" customFormat="1" ht="15">
      <c r="A38" s="454"/>
      <c r="B38" s="402" t="s">
        <v>2485</v>
      </c>
      <c r="C38" s="441" t="s">
        <v>2874</v>
      </c>
      <c r="D38" s="52">
        <v>100</v>
      </c>
      <c r="E38" s="441" t="s">
        <v>2874</v>
      </c>
      <c r="F38" s="442">
        <f>SUMIF(113:113,E38,114:114)-SUMIF(113:113,C38,114:114)+100</f>
        <v>100</v>
      </c>
      <c r="G38" s="441" t="s">
        <v>2874</v>
      </c>
      <c r="H38" s="415">
        <f>SUMIF(113:113,G38,114:114)-SUMIF(113:113,C38,114:114)+100</f>
        <v>100</v>
      </c>
      <c r="I38" s="441" t="s">
        <v>2874</v>
      </c>
      <c r="J38" s="415">
        <f>SUMIF(113:113,I38,114:114)-SUMIF(113:113,C38,114:114)+100</f>
        <v>100</v>
      </c>
      <c r="K38" s="596">
        <v>3</v>
      </c>
      <c r="L38" s="1241"/>
      <c r="M38" s="1242"/>
      <c r="N38" s="1242"/>
      <c r="O38" s="1242"/>
      <c r="P38" s="3009"/>
      <c r="Q38" s="1883" t="str">
        <f t="shared" si="11"/>
        <v>写字楼等级</v>
      </c>
      <c r="R38" s="749" t="s">
        <v>25</v>
      </c>
      <c r="S38" s="750">
        <f t="shared" si="12"/>
        <v>100</v>
      </c>
      <c r="T38" s="749" t="s">
        <v>25</v>
      </c>
      <c r="U38" s="750">
        <f t="shared" si="13"/>
        <v>100</v>
      </c>
      <c r="V38" s="749" t="s">
        <v>25</v>
      </c>
      <c r="W38" s="750">
        <f t="shared" si="14"/>
        <v>100</v>
      </c>
      <c r="X38" s="751"/>
      <c r="Y38" s="3011"/>
      <c r="Z38" s="23" t="str">
        <f t="shared" si="15"/>
        <v>写字楼等级</v>
      </c>
      <c r="AA38" s="752">
        <f t="shared" si="3"/>
        <v>1</v>
      </c>
      <c r="AB38" s="752">
        <f t="shared" si="4"/>
        <v>1</v>
      </c>
      <c r="AC38" s="752">
        <f t="shared" si="5"/>
        <v>1</v>
      </c>
    </row>
    <row r="39" spans="1:29" ht="15">
      <c r="A39" s="453"/>
      <c r="B39" s="402" t="s">
        <v>2486</v>
      </c>
      <c r="C39" s="441" t="s">
        <v>2876</v>
      </c>
      <c r="D39" s="415">
        <v>100</v>
      </c>
      <c r="E39" s="441" t="s">
        <v>2876</v>
      </c>
      <c r="F39" s="442">
        <f>SUMIF(115:115,E39,116:116)-SUMIF(115:115,C39,116:116)+100</f>
        <v>100</v>
      </c>
      <c r="G39" s="441" t="s">
        <v>2876</v>
      </c>
      <c r="H39" s="415">
        <f>SUMIF(115:115,G39,116:116)-SUMIF(115:115,C39,116:116)+100</f>
        <v>100</v>
      </c>
      <c r="I39" s="441" t="s">
        <v>2876</v>
      </c>
      <c r="J39" s="415">
        <f>SUMIF(115:115,I39,116:116)-SUMIF(115:115,C39,116:116)+100</f>
        <v>100</v>
      </c>
      <c r="K39" s="596">
        <v>2</v>
      </c>
      <c r="L39" s="1249"/>
      <c r="M39" s="1240"/>
      <c r="N39" s="1240"/>
      <c r="O39" s="1240"/>
      <c r="P39" s="3009" t="s">
        <v>2370</v>
      </c>
      <c r="Q39" s="1895" t="str">
        <f t="shared" si="11"/>
        <v>物业管理</v>
      </c>
      <c r="R39" s="753" t="s">
        <v>25</v>
      </c>
      <c r="S39" s="754">
        <f t="shared" si="12"/>
        <v>100</v>
      </c>
      <c r="T39" s="753" t="s">
        <v>25</v>
      </c>
      <c r="U39" s="754">
        <f t="shared" si="13"/>
        <v>100</v>
      </c>
      <c r="V39" s="753" t="s">
        <v>25</v>
      </c>
      <c r="W39" s="754">
        <f t="shared" si="14"/>
        <v>100</v>
      </c>
      <c r="X39" s="1896"/>
      <c r="Y39" s="3011" t="s">
        <v>2370</v>
      </c>
      <c r="Z39" s="1898" t="str">
        <f t="shared" si="15"/>
        <v>物业管理</v>
      </c>
      <c r="AA39" s="1899">
        <f t="shared" si="3"/>
        <v>1</v>
      </c>
      <c r="AB39" s="1899">
        <f t="shared" si="4"/>
        <v>1</v>
      </c>
      <c r="AC39" s="1899">
        <f t="shared" si="5"/>
        <v>1</v>
      </c>
    </row>
    <row r="40" spans="1:29" ht="15">
      <c r="A40" s="453"/>
      <c r="B40" s="402" t="s">
        <v>2459</v>
      </c>
      <c r="C40" s="441" t="s">
        <v>2886</v>
      </c>
      <c r="D40" s="415">
        <v>100</v>
      </c>
      <c r="E40" s="441" t="s">
        <v>2886</v>
      </c>
      <c r="F40" s="442">
        <f>SUMIF(117:117,E40,118:118)-SUMIF(117:117,C40,118:118)+100</f>
        <v>100</v>
      </c>
      <c r="G40" s="441" t="s">
        <v>2886</v>
      </c>
      <c r="H40" s="415">
        <f>SUMIF(117:117,G40,118:118)-SUMIF(117:117,C40,118:118)+100</f>
        <v>100</v>
      </c>
      <c r="I40" s="441" t="s">
        <v>2886</v>
      </c>
      <c r="J40" s="415">
        <f>SUMIF(117:117,I40,118:118)-SUMIF(117:117,C40,118:118)+100</f>
        <v>100</v>
      </c>
      <c r="K40" s="596">
        <v>2</v>
      </c>
      <c r="L40" s="1249"/>
      <c r="M40" s="1240"/>
      <c r="N40" s="1240"/>
      <c r="O40" s="1240"/>
      <c r="P40" s="3009"/>
      <c r="Q40" s="1895" t="str">
        <f t="shared" si="11"/>
        <v>市政基础设施</v>
      </c>
      <c r="R40" s="753" t="s">
        <v>25</v>
      </c>
      <c r="S40" s="754">
        <f t="shared" si="12"/>
        <v>100</v>
      </c>
      <c r="T40" s="753" t="s">
        <v>25</v>
      </c>
      <c r="U40" s="754">
        <f t="shared" si="13"/>
        <v>100</v>
      </c>
      <c r="V40" s="753" t="s">
        <v>25</v>
      </c>
      <c r="W40" s="754">
        <f t="shared" si="14"/>
        <v>100</v>
      </c>
      <c r="X40" s="1896"/>
      <c r="Y40" s="3011"/>
      <c r="Z40" s="1898" t="str">
        <f t="shared" si="15"/>
        <v>市政基础设施</v>
      </c>
      <c r="AA40" s="1899">
        <f t="shared" si="3"/>
        <v>1</v>
      </c>
      <c r="AB40" s="1899">
        <f t="shared" si="4"/>
        <v>1</v>
      </c>
      <c r="AC40" s="1899">
        <f t="shared" si="5"/>
        <v>1</v>
      </c>
    </row>
    <row r="41" spans="1:29" ht="15" hidden="1">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3009"/>
      <c r="Q41" s="1895" t="str">
        <f t="shared" si="11"/>
        <v>层高</v>
      </c>
      <c r="R41" s="753" t="s">
        <v>25</v>
      </c>
      <c r="S41" s="754">
        <f t="shared" si="12"/>
        <v>100</v>
      </c>
      <c r="T41" s="753" t="s">
        <v>25</v>
      </c>
      <c r="U41" s="754">
        <f t="shared" si="13"/>
        <v>100</v>
      </c>
      <c r="V41" s="753" t="s">
        <v>25</v>
      </c>
      <c r="W41" s="754">
        <f t="shared" si="14"/>
        <v>100</v>
      </c>
      <c r="X41" s="1896"/>
      <c r="Y41" s="3011"/>
      <c r="Z41" s="1898" t="str">
        <f t="shared" si="15"/>
        <v>层高</v>
      </c>
      <c r="AA41" s="1899">
        <f t="shared" si="3"/>
        <v>1</v>
      </c>
      <c r="AB41" s="1899">
        <f t="shared" si="4"/>
        <v>1</v>
      </c>
      <c r="AC41" s="1899">
        <f t="shared" si="5"/>
        <v>1</v>
      </c>
    </row>
    <row r="42" spans="1:29" s="452" customFormat="1" ht="15" hidden="1">
      <c r="A42" s="449"/>
      <c r="B42" s="1900"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3009"/>
      <c r="Q42" s="755" t="str">
        <f t="shared" si="11"/>
        <v>单套建筑面积</v>
      </c>
      <c r="R42" s="756" t="s">
        <v>25</v>
      </c>
      <c r="S42" s="757">
        <f t="shared" si="12"/>
        <v>100</v>
      </c>
      <c r="T42" s="756" t="s">
        <v>25</v>
      </c>
      <c r="U42" s="757">
        <f t="shared" si="13"/>
        <v>100</v>
      </c>
      <c r="V42" s="756" t="s">
        <v>25</v>
      </c>
      <c r="W42" s="757">
        <f t="shared" si="14"/>
        <v>100</v>
      </c>
      <c r="X42" s="758"/>
      <c r="Y42" s="3011"/>
      <c r="Z42" s="759" t="str">
        <f t="shared" si="15"/>
        <v>单套建筑面积</v>
      </c>
      <c r="AA42" s="1899">
        <f t="shared" si="3"/>
        <v>1</v>
      </c>
      <c r="AB42" s="1899">
        <f t="shared" si="4"/>
        <v>1</v>
      </c>
      <c r="AC42" s="1899">
        <f t="shared" si="5"/>
        <v>1</v>
      </c>
    </row>
    <row r="43" spans="1:29" ht="15">
      <c r="A43" s="453"/>
      <c r="B43" s="402" t="s">
        <v>2464</v>
      </c>
      <c r="C43" s="441" t="s">
        <v>2884</v>
      </c>
      <c r="D43" s="415">
        <v>100</v>
      </c>
      <c r="E43" s="441" t="s">
        <v>2885</v>
      </c>
      <c r="F43" s="442">
        <f>SUMIF(123:123,E43,124:124)-SUMIF(123:123,C43,124:124)+100</f>
        <v>101</v>
      </c>
      <c r="G43" s="441" t="s">
        <v>2884</v>
      </c>
      <c r="H43" s="415">
        <f>SUMIF(123:123,G43,124:124)-SUMIF(123:123,C43,124:124)+100</f>
        <v>100</v>
      </c>
      <c r="I43" s="441" t="s">
        <v>2887</v>
      </c>
      <c r="J43" s="415">
        <f>SUMIF(123:123,I43,124:124)-SUMIF(123:123,C43,124:124)+100</f>
        <v>102</v>
      </c>
      <c r="K43" s="2737">
        <v>1</v>
      </c>
      <c r="L43" s="1249"/>
      <c r="M43" s="1240"/>
      <c r="N43" s="1240"/>
      <c r="O43" s="1240"/>
      <c r="P43" s="3009"/>
      <c r="Q43" s="1895" t="str">
        <f t="shared" si="11"/>
        <v>内部装修</v>
      </c>
      <c r="R43" s="753" t="s">
        <v>25</v>
      </c>
      <c r="S43" s="754">
        <f t="shared" si="12"/>
        <v>101</v>
      </c>
      <c r="T43" s="753" t="s">
        <v>25</v>
      </c>
      <c r="U43" s="754">
        <f t="shared" si="13"/>
        <v>100</v>
      </c>
      <c r="V43" s="753" t="s">
        <v>25</v>
      </c>
      <c r="W43" s="754">
        <f t="shared" si="14"/>
        <v>102</v>
      </c>
      <c r="X43" s="1896"/>
      <c r="Y43" s="3011"/>
      <c r="Z43" s="1898" t="str">
        <f t="shared" si="15"/>
        <v>内部装修</v>
      </c>
      <c r="AA43" s="1899">
        <f t="shared" si="3"/>
        <v>0.99009900990099009</v>
      </c>
      <c r="AB43" s="1899">
        <f t="shared" si="4"/>
        <v>1</v>
      </c>
      <c r="AC43" s="1899">
        <f t="shared" si="5"/>
        <v>0.98039215686274506</v>
      </c>
    </row>
    <row r="44" spans="1:29" ht="15.75" thickBot="1">
      <c r="A44" s="453"/>
      <c r="B44" s="402" t="s">
        <v>2381</v>
      </c>
      <c r="C44" s="441" t="s">
        <v>30</v>
      </c>
      <c r="D44" s="415">
        <v>100</v>
      </c>
      <c r="E44" s="441" t="s">
        <v>30</v>
      </c>
      <c r="F44" s="442">
        <f>SUMIF(125:125,E44,126:126)-SUMIF(125:125,C44,126:126)+100</f>
        <v>100</v>
      </c>
      <c r="G44" s="441" t="s">
        <v>30</v>
      </c>
      <c r="H44" s="415">
        <f>SUMIF(125:125,G44,126:126)-SUMIF(125:125,C44,126:126)+100</f>
        <v>100</v>
      </c>
      <c r="I44" s="441" t="s">
        <v>30</v>
      </c>
      <c r="J44" s="415">
        <f>SUMIF(125:125,I44,126:126)-SUMIF(125:125,C44,126:126)+100</f>
        <v>100</v>
      </c>
      <c r="K44" s="596">
        <v>1</v>
      </c>
      <c r="L44" s="1249"/>
      <c r="M44" s="1240"/>
      <c r="N44" s="1240"/>
      <c r="O44" s="1240"/>
      <c r="P44" s="3009"/>
      <c r="Q44" s="1895" t="str">
        <f t="shared" si="11"/>
        <v>内部装修维护情况</v>
      </c>
      <c r="R44" s="753" t="s">
        <v>25</v>
      </c>
      <c r="S44" s="754">
        <f t="shared" si="12"/>
        <v>100</v>
      </c>
      <c r="T44" s="753" t="s">
        <v>25</v>
      </c>
      <c r="U44" s="754">
        <f t="shared" si="13"/>
        <v>100</v>
      </c>
      <c r="V44" s="753" t="s">
        <v>25</v>
      </c>
      <c r="W44" s="754">
        <f t="shared" si="14"/>
        <v>100</v>
      </c>
      <c r="X44" s="1896"/>
      <c r="Y44" s="3011"/>
      <c r="Z44" s="1898" t="str">
        <f t="shared" si="15"/>
        <v>内部装修维护情况</v>
      </c>
      <c r="AA44" s="1899">
        <f t="shared" si="3"/>
        <v>1</v>
      </c>
      <c r="AB44" s="1899">
        <f t="shared" si="4"/>
        <v>1</v>
      </c>
      <c r="AC44" s="1899">
        <f t="shared" si="5"/>
        <v>1</v>
      </c>
    </row>
    <row r="45" spans="1:29" s="35" customFormat="1" ht="15" hidden="1">
      <c r="A45" s="454"/>
      <c r="B45" s="2405">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009"/>
      <c r="Q45" s="1883">
        <f t="shared" si="11"/>
        <v>111</v>
      </c>
      <c r="R45" s="749" t="s">
        <v>25</v>
      </c>
      <c r="S45" s="750">
        <f t="shared" si="12"/>
        <v>100</v>
      </c>
      <c r="T45" s="749" t="s">
        <v>25</v>
      </c>
      <c r="U45" s="750">
        <f t="shared" si="13"/>
        <v>100</v>
      </c>
      <c r="V45" s="749" t="s">
        <v>25</v>
      </c>
      <c r="W45" s="750">
        <f t="shared" si="14"/>
        <v>100</v>
      </c>
      <c r="X45" s="751"/>
      <c r="Y45" s="3011"/>
      <c r="Z45" s="23">
        <f t="shared" si="15"/>
        <v>111</v>
      </c>
      <c r="AA45" s="752">
        <f t="shared" si="3"/>
        <v>1</v>
      </c>
      <c r="AB45" s="752">
        <f t="shared" si="4"/>
        <v>1</v>
      </c>
      <c r="AC45" s="752">
        <f t="shared" si="5"/>
        <v>1</v>
      </c>
    </row>
    <row r="46" spans="1:29" ht="15" hidden="1">
      <c r="A46" s="453"/>
      <c r="B46" s="2405">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009"/>
      <c r="Q46" s="1895">
        <f t="shared" si="11"/>
        <v>111</v>
      </c>
      <c r="R46" s="753" t="s">
        <v>25</v>
      </c>
      <c r="S46" s="754">
        <f t="shared" si="12"/>
        <v>100</v>
      </c>
      <c r="T46" s="753" t="s">
        <v>25</v>
      </c>
      <c r="U46" s="754">
        <f t="shared" si="13"/>
        <v>100</v>
      </c>
      <c r="V46" s="753" t="s">
        <v>25</v>
      </c>
      <c r="W46" s="754">
        <f t="shared" si="14"/>
        <v>100</v>
      </c>
      <c r="X46" s="1896"/>
      <c r="Y46" s="3011"/>
      <c r="Z46" s="1898">
        <f t="shared" si="15"/>
        <v>111</v>
      </c>
      <c r="AA46" s="1899">
        <f t="shared" si="3"/>
        <v>1</v>
      </c>
      <c r="AB46" s="1899">
        <f t="shared" si="4"/>
        <v>1</v>
      </c>
      <c r="AC46" s="1899">
        <f t="shared" si="5"/>
        <v>1</v>
      </c>
    </row>
    <row r="47" spans="1:29" ht="15.75" hidden="1" thickBot="1">
      <c r="A47" s="459"/>
      <c r="B47" s="2394">
        <v>111</v>
      </c>
      <c r="C47" s="2395"/>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010"/>
      <c r="Q47" s="1895">
        <f t="shared" si="11"/>
        <v>111</v>
      </c>
      <c r="R47" s="753" t="s">
        <v>25</v>
      </c>
      <c r="S47" s="754">
        <f t="shared" si="12"/>
        <v>100</v>
      </c>
      <c r="T47" s="753" t="s">
        <v>25</v>
      </c>
      <c r="U47" s="754">
        <f t="shared" si="13"/>
        <v>100</v>
      </c>
      <c r="V47" s="753" t="s">
        <v>25</v>
      </c>
      <c r="W47" s="754">
        <f t="shared" si="14"/>
        <v>100</v>
      </c>
      <c r="X47" s="1896"/>
      <c r="Y47" s="3012"/>
      <c r="Z47" s="1898">
        <f t="shared" si="15"/>
        <v>111</v>
      </c>
      <c r="AA47" s="1899">
        <f t="shared" si="3"/>
        <v>1</v>
      </c>
      <c r="AB47" s="1899">
        <f t="shared" si="4"/>
        <v>1</v>
      </c>
      <c r="AC47" s="1899">
        <f t="shared" si="5"/>
        <v>1</v>
      </c>
    </row>
    <row r="48" spans="1:29" ht="15">
      <c r="A48" s="460" t="s">
        <v>2382</v>
      </c>
      <c r="B48" s="461"/>
      <c r="C48" s="1498" t="s">
        <v>1</v>
      </c>
      <c r="D48" s="1499"/>
      <c r="E48" s="1500">
        <f>ROUND(27923*J52,0)</f>
        <v>27923</v>
      </c>
      <c r="F48" s="1501"/>
      <c r="G48" s="1502">
        <f>ROUND(30195*J52,0)</f>
        <v>30195</v>
      </c>
      <c r="H48" s="1503"/>
      <c r="I48" s="1500">
        <f>ROUND(32141*J52,0)</f>
        <v>32141</v>
      </c>
      <c r="J48" s="1503"/>
      <c r="K48" s="762"/>
      <c r="L48" s="1252"/>
      <c r="M48" s="1240"/>
      <c r="N48" s="1240"/>
      <c r="O48" s="1240"/>
      <c r="P48" s="2977" t="str">
        <f>A48</f>
        <v>成交单价（元/平方米）</v>
      </c>
      <c r="Q48" s="3013"/>
      <c r="R48" s="3014">
        <f>E48</f>
        <v>27923</v>
      </c>
      <c r="S48" s="3014"/>
      <c r="T48" s="3014">
        <f>G48</f>
        <v>30195</v>
      </c>
      <c r="U48" s="3014"/>
      <c r="V48" s="3014">
        <f>I48</f>
        <v>32141</v>
      </c>
      <c r="W48" s="3014"/>
      <c r="X48" s="738"/>
      <c r="Y48" s="760"/>
      <c r="Z48" s="738"/>
      <c r="AA48" s="738"/>
      <c r="AB48" s="738"/>
      <c r="AC48" s="738"/>
    </row>
    <row r="49" spans="1:29" ht="15.75" thickBot="1">
      <c r="A49" s="467" t="s">
        <v>2465</v>
      </c>
      <c r="B49" s="468"/>
      <c r="C49" s="1504">
        <f>R50</f>
        <v>29199</v>
      </c>
      <c r="D49" s="1505"/>
      <c r="E49" s="1506">
        <f>R49</f>
        <v>27104</v>
      </c>
      <c r="F49" s="1506"/>
      <c r="G49" s="1504">
        <f>T49</f>
        <v>30195</v>
      </c>
      <c r="H49" s="1505"/>
      <c r="I49" s="1506">
        <f>V49</f>
        <v>30299</v>
      </c>
      <c r="J49" s="1505"/>
      <c r="K49" s="763"/>
      <c r="L49" s="1252"/>
      <c r="M49" s="1240"/>
      <c r="N49" s="1240"/>
      <c r="O49" s="1240"/>
      <c r="P49" s="2977" t="str">
        <f>A49</f>
        <v>比较价值（元/平方米）</v>
      </c>
      <c r="Q49" s="3013"/>
      <c r="R49" s="3014">
        <f>IF(E1="售价",ROUND(PRODUCT(R48,AA7:AA47),0),ROUND(PRODUCT(R48,AA7:AA47),1))</f>
        <v>27104</v>
      </c>
      <c r="S49" s="3014"/>
      <c r="T49" s="3014">
        <f>IF(E1="售价",ROUND(PRODUCT(T48,AB7:AB47),0),ROUND(PRODUCT(T48,AB7:AB47),1))</f>
        <v>30195</v>
      </c>
      <c r="U49" s="3014"/>
      <c r="V49" s="3014">
        <f>IF(E1="售价",ROUND(PRODUCT(V48,AC7:AC47),0),ROUND(PRODUCT(V48,AC7:AC47),1))</f>
        <v>30299</v>
      </c>
      <c r="W49" s="3014"/>
      <c r="X49" s="738"/>
      <c r="Y49" s="738"/>
      <c r="Z49" s="738"/>
      <c r="AA49" s="738"/>
      <c r="AB49" s="738"/>
      <c r="AC49" s="738"/>
    </row>
    <row r="50" spans="1:29" ht="15.75" thickBot="1">
      <c r="A50" s="473" t="s">
        <v>2488</v>
      </c>
      <c r="B50" s="474"/>
      <c r="C50" s="1508">
        <f>R50</f>
        <v>29199</v>
      </c>
      <c r="D50" s="1508"/>
      <c r="E50" s="1508"/>
      <c r="F50" s="1508"/>
      <c r="G50" s="1508"/>
      <c r="H50" s="1508"/>
      <c r="I50" s="1508"/>
      <c r="J50" s="1508"/>
      <c r="K50" s="764"/>
      <c r="L50" s="1252"/>
      <c r="M50" s="1240"/>
      <c r="N50" s="1240"/>
      <c r="O50" s="1240"/>
      <c r="P50" s="3015" t="str">
        <f>A50</f>
        <v>估价对象XX用房的比较价值（楼面单价，元/平方米）</v>
      </c>
      <c r="Q50" s="2977"/>
      <c r="R50" s="3016">
        <f>IF(E1="售价",ROUND(AVERAGE(R49:V49),0),ROUND(AVERAGE(R49:V49),1))</f>
        <v>29199</v>
      </c>
      <c r="S50" s="3016"/>
      <c r="T50" s="3016"/>
      <c r="U50" s="3016"/>
      <c r="V50" s="3016"/>
      <c r="W50" s="3016"/>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v>1</v>
      </c>
      <c r="K52" s="1258"/>
      <c r="L52" s="1254"/>
      <c r="M52" s="1253"/>
      <c r="N52" s="1253"/>
      <c r="O52" s="1253"/>
    </row>
    <row r="53" spans="1:29" ht="13.5" customHeight="1">
      <c r="A53" s="1253"/>
      <c r="B53" s="1253"/>
      <c r="C53" s="478" t="s">
        <v>2467</v>
      </c>
      <c r="D53" s="479"/>
      <c r="E53" s="480">
        <f>IF(E48&lt;E49,E49/E48-1,E48/E49-1)</f>
        <v>3.0216942148760362E-2</v>
      </c>
      <c r="F53" s="481" t="str">
        <f>IF(OR(E53&gt;=0.3,E53&lt;=-0.3),"超过30%","")</f>
        <v/>
      </c>
      <c r="G53" s="480">
        <f>IF(G48&lt;G49,G49/G48-1,G48/G49-1)</f>
        <v>0</v>
      </c>
      <c r="H53" s="481" t="str">
        <f>IF(OR(G53&gt;=0.3,G53&lt;=-0.3),"超过30%","")</f>
        <v/>
      </c>
      <c r="I53" s="480">
        <f>IF(I48&lt;I49,I49/I48-1,I48/I49-1)</f>
        <v>6.0794085613386617E-2</v>
      </c>
      <c r="J53" s="481" t="str">
        <f>IF(OR(I53&gt;=0.3,I53&lt;=-0.3),"超过30%","")</f>
        <v/>
      </c>
      <c r="K53" s="1258"/>
      <c r="L53" s="1254"/>
      <c r="M53" s="1253"/>
      <c r="N53" s="1253"/>
      <c r="O53" s="1253"/>
    </row>
    <row r="54" spans="1:29" ht="13.5" customHeight="1">
      <c r="A54" s="1253"/>
      <c r="B54" s="1253"/>
      <c r="C54" s="478" t="s">
        <v>2468</v>
      </c>
      <c r="D54" s="482"/>
      <c r="E54" s="480">
        <f>IF(E49&lt;G49,G49/E49-1,E49/G49-1)</f>
        <v>0.11404220779220786</v>
      </c>
      <c r="F54" s="481" t="str">
        <f>IF(OR(E54&gt;=0.2,E54&lt;=-0.2),"超过20%","")</f>
        <v/>
      </c>
      <c r="G54" s="480">
        <f>IF(G49&lt;I49,I49/G49-1,G49/I49-1)</f>
        <v>3.4442788541149127E-3</v>
      </c>
      <c r="H54" s="481" t="str">
        <f>IF(OR(G54&gt;=0.2,G54&lt;=-0.2),"超过20%","")</f>
        <v/>
      </c>
      <c r="I54" s="480">
        <f>IF(I49&lt;E49,E49/I49-1,I49/E49-1)</f>
        <v>0.11787927981109791</v>
      </c>
      <c r="J54" s="481" t="str">
        <f>IF(OR(I54&gt;=0.2,I54&lt;=-0.2),"超过20%","")</f>
        <v/>
      </c>
      <c r="K54" s="1258"/>
      <c r="L54" s="1254"/>
      <c r="M54" s="1253"/>
      <c r="N54" s="1253"/>
      <c r="O54" s="1253"/>
    </row>
    <row r="55" spans="1:29" s="483" customFormat="1" ht="13.5" customHeight="1">
      <c r="A55" s="1255"/>
      <c r="B55" s="1255"/>
      <c r="C55" s="478" t="s">
        <v>2469</v>
      </c>
      <c r="D55" s="482"/>
      <c r="E55" s="480">
        <f>IF(E48&lt;G48,G48/E48-1,E48/G48-1)</f>
        <v>8.1366615335028536E-2</v>
      </c>
      <c r="F55" s="481" t="str">
        <f>IF(OR(E55&gt;=0.3,E55&lt;=-0.3),"超过30%","")</f>
        <v/>
      </c>
      <c r="G55" s="480">
        <f>IF(G48&lt;I48,I48/G48-1,G48/I48-1)</f>
        <v>6.4447756251035049E-2</v>
      </c>
      <c r="H55" s="481" t="str">
        <f>IF(OR(G55&gt;=0.3,G55&lt;=-0.3),"超过30%","")</f>
        <v/>
      </c>
      <c r="I55" s="480">
        <f>IF(I48&lt;E48,E48/I48-1,I48/E48-1)</f>
        <v>0.15105826737814709</v>
      </c>
      <c r="J55" s="481" t="str">
        <f>IF(OR(I55&gt;=0.3,I55&lt;=-0.3),"超过30%","")</f>
        <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2352</v>
      </c>
      <c r="B59" s="487"/>
      <c r="C59" s="1674" t="str">
        <f>YEAR(C7)&amp;"-"&amp;MONTH(C7)</f>
        <v>2018-6</v>
      </c>
      <c r="D59" s="1675">
        <f>EDATE(C59,-1)</f>
        <v>43221</v>
      </c>
      <c r="E59" s="1675">
        <f t="shared" ref="E59:O59" si="16">EDATE(D59,-1)</f>
        <v>43191</v>
      </c>
      <c r="F59" s="1675">
        <f t="shared" si="16"/>
        <v>43160</v>
      </c>
      <c r="G59" s="1675">
        <f t="shared" si="16"/>
        <v>43132</v>
      </c>
      <c r="H59" s="1675">
        <f t="shared" si="16"/>
        <v>43101</v>
      </c>
      <c r="I59" s="1675">
        <f t="shared" si="16"/>
        <v>43070</v>
      </c>
      <c r="J59" s="1675">
        <f t="shared" si="16"/>
        <v>43040</v>
      </c>
      <c r="K59" s="1675">
        <f t="shared" si="16"/>
        <v>43009</v>
      </c>
      <c r="L59" s="1675">
        <f t="shared" si="16"/>
        <v>42979</v>
      </c>
      <c r="M59" s="1675">
        <f t="shared" si="16"/>
        <v>42948</v>
      </c>
      <c r="N59" s="1675">
        <f t="shared" si="16"/>
        <v>42917</v>
      </c>
      <c r="O59" s="1675">
        <f t="shared" si="16"/>
        <v>42887</v>
      </c>
      <c r="P59" s="488"/>
    </row>
    <row r="60" spans="1:29" s="35" customFormat="1" ht="15">
      <c r="A60" s="490"/>
      <c r="B60" s="491"/>
      <c r="C60" s="623">
        <v>100</v>
      </c>
      <c r="D60" s="493">
        <v>100</v>
      </c>
      <c r="E60" s="493">
        <v>100</v>
      </c>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2354</v>
      </c>
      <c r="B62" s="491"/>
      <c r="C62" s="503" t="s">
        <v>2355</v>
      </c>
      <c r="D62" s="504"/>
      <c r="E62" s="504"/>
      <c r="F62" s="504"/>
      <c r="G62" s="504"/>
      <c r="H62" s="504"/>
      <c r="I62" s="504"/>
      <c r="J62" s="504"/>
      <c r="K62" s="504"/>
      <c r="L62" s="505"/>
      <c r="M62" s="506"/>
      <c r="N62" s="1262"/>
      <c r="O62" s="1262"/>
      <c r="P62" s="507"/>
      <c r="Q62" s="485"/>
    </row>
    <row r="63" spans="1:29" s="35" customFormat="1" ht="15.75" thickBot="1">
      <c r="A63" s="502"/>
      <c r="B63" s="491"/>
      <c r="C63" s="492">
        <v>100</v>
      </c>
      <c r="D63" s="493"/>
      <c r="E63" s="493"/>
      <c r="F63" s="493"/>
      <c r="G63" s="493"/>
      <c r="H63" s="493"/>
      <c r="I63" s="493"/>
      <c r="J63" s="493"/>
      <c r="K63" s="493"/>
      <c r="L63" s="493"/>
      <c r="M63" s="495"/>
      <c r="N63" s="1262"/>
      <c r="O63" s="1262"/>
      <c r="P63" s="485"/>
      <c r="Q63" s="485"/>
    </row>
    <row r="64" spans="1:29">
      <c r="A64" s="508" t="s">
        <v>2393</v>
      </c>
      <c r="B64" s="509" t="s">
        <v>2358</v>
      </c>
      <c r="C64" s="510" t="str">
        <f>C9</f>
        <v>办公</v>
      </c>
      <c r="D64" s="511"/>
      <c r="E64" s="511"/>
      <c r="F64" s="511"/>
      <c r="G64" s="511"/>
      <c r="H64" s="511"/>
      <c r="I64" s="511"/>
      <c r="J64" s="511"/>
      <c r="K64" s="512"/>
      <c r="L64" s="513"/>
      <c r="M64" s="514"/>
      <c r="N64" s="1263"/>
      <c r="O64" s="1263"/>
      <c r="P64" s="22"/>
      <c r="Q64" s="485"/>
    </row>
    <row r="65" spans="1:17" ht="15.75" thickBot="1">
      <c r="A65" s="516"/>
      <c r="B65" s="517"/>
      <c r="C65" s="518">
        <v>100</v>
      </c>
      <c r="D65" s="518"/>
      <c r="E65" s="518"/>
      <c r="F65" s="518"/>
      <c r="G65" s="518"/>
      <c r="H65" s="518"/>
      <c r="I65" s="518"/>
      <c r="J65" s="518"/>
      <c r="K65" s="518"/>
      <c r="L65" s="518"/>
      <c r="M65" s="519"/>
      <c r="N65" s="1264"/>
      <c r="O65" s="1264"/>
      <c r="P65" s="22"/>
      <c r="Q65" s="485"/>
    </row>
    <row r="66" spans="1:17" ht="27.75" thickTop="1">
      <c r="A66" s="516"/>
      <c r="B66" s="521" t="s">
        <v>2361</v>
      </c>
      <c r="C66" s="522" t="s">
        <v>2394</v>
      </c>
      <c r="D66" s="522" t="s">
        <v>2395</v>
      </c>
      <c r="E66" s="522" t="s">
        <v>2396</v>
      </c>
      <c r="F66" s="522" t="s">
        <v>2397</v>
      </c>
      <c r="G66" s="522" t="s">
        <v>2398</v>
      </c>
      <c r="H66" s="522" t="s">
        <v>2399</v>
      </c>
      <c r="I66" s="522" t="s">
        <v>2400</v>
      </c>
      <c r="J66" s="522"/>
      <c r="K66" s="523"/>
      <c r="L66" s="524"/>
      <c r="M66" s="525"/>
      <c r="N66" s="1263"/>
      <c r="O66" s="1263"/>
      <c r="P66" s="22"/>
      <c r="Q66" s="485"/>
    </row>
    <row r="67" spans="1:17" ht="15.75" thickBot="1">
      <c r="A67" s="516"/>
      <c r="B67" s="526"/>
      <c r="C67" s="527" t="s">
        <v>36</v>
      </c>
      <c r="D67" s="527" t="s">
        <v>37</v>
      </c>
      <c r="E67" s="527">
        <v>100</v>
      </c>
      <c r="F67" s="527">
        <f>E67-$K10</f>
        <v>98</v>
      </c>
      <c r="G67" s="527">
        <f>F67-$K10</f>
        <v>96</v>
      </c>
      <c r="H67" s="527">
        <f>G67-$K10</f>
        <v>94</v>
      </c>
      <c r="I67" s="527">
        <f>H67-$K10</f>
        <v>92</v>
      </c>
      <c r="J67" s="527"/>
      <c r="K67" s="527"/>
      <c r="L67" s="527"/>
      <c r="M67" s="528"/>
      <c r="N67" s="1264"/>
      <c r="O67" s="1264"/>
      <c r="P67" s="22"/>
      <c r="Q67" s="485"/>
    </row>
    <row r="68" spans="1:17" ht="15.75" thickTop="1">
      <c r="A68" s="516"/>
      <c r="B68" s="529" t="s">
        <v>2362</v>
      </c>
      <c r="C68" s="530" t="str">
        <f>C69&amp;"（含）"&amp;"-"&amp;D69</f>
        <v>0（含）-1</v>
      </c>
      <c r="D68" s="530" t="str">
        <f t="shared" ref="D68:L68" si="17">D69&amp;"（含）"&amp;"-"&amp;E69</f>
        <v>1（含）-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ht="15">
      <c r="A69" s="516"/>
      <c r="B69" s="531"/>
      <c r="C69" s="532">
        <v>0</v>
      </c>
      <c r="D69" s="532">
        <v>1</v>
      </c>
      <c r="E69" s="532"/>
      <c r="F69" s="532"/>
      <c r="G69" s="532"/>
      <c r="H69" s="532"/>
      <c r="I69" s="532"/>
      <c r="J69" s="532"/>
      <c r="K69" s="533"/>
      <c r="L69" s="534"/>
      <c r="M69" s="535"/>
      <c r="N69" s="1263"/>
      <c r="O69" s="1263"/>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4"/>
      <c r="O70" s="1264"/>
      <c r="P70" s="22"/>
      <c r="Q70" s="485"/>
    </row>
    <row r="71" spans="1:17" s="452" customFormat="1" ht="15.75" thickTop="1">
      <c r="A71" s="536"/>
      <c r="B71" s="521">
        <f>B12</f>
        <v>111</v>
      </c>
      <c r="C71" s="537"/>
      <c r="D71" s="537"/>
      <c r="E71" s="537"/>
      <c r="F71" s="537"/>
      <c r="G71" s="537"/>
      <c r="H71" s="538"/>
      <c r="I71" s="538"/>
      <c r="J71" s="538"/>
      <c r="K71" s="538"/>
      <c r="L71" s="539"/>
      <c r="M71" s="540"/>
      <c r="N71" s="1265"/>
      <c r="O71" s="1265"/>
      <c r="P71" s="542"/>
      <c r="Q71" s="543"/>
    </row>
    <row r="72" spans="1:17" s="452" customFormat="1" ht="15.75" thickBot="1">
      <c r="A72" s="536"/>
      <c r="B72" s="526"/>
      <c r="C72" s="544"/>
      <c r="D72" s="518"/>
      <c r="E72" s="518"/>
      <c r="F72" s="518"/>
      <c r="G72" s="518"/>
      <c r="H72" s="518"/>
      <c r="I72" s="518"/>
      <c r="J72" s="518"/>
      <c r="K72" s="518"/>
      <c r="L72" s="518"/>
      <c r="M72" s="519"/>
      <c r="N72" s="1264"/>
      <c r="O72" s="1264"/>
      <c r="P72" s="542"/>
      <c r="Q72" s="543"/>
    </row>
    <row r="73" spans="1:17" s="452" customFormat="1" ht="15.75" thickTop="1">
      <c r="A73" s="536"/>
      <c r="B73" s="521">
        <f>B13</f>
        <v>111</v>
      </c>
      <c r="C73" s="537"/>
      <c r="D73" s="537"/>
      <c r="E73" s="537"/>
      <c r="F73" s="537"/>
      <c r="G73" s="537"/>
      <c r="H73" s="538"/>
      <c r="I73" s="538"/>
      <c r="J73" s="538"/>
      <c r="K73" s="538"/>
      <c r="L73" s="539"/>
      <c r="M73" s="540"/>
      <c r="N73" s="1265"/>
      <c r="O73" s="1265"/>
      <c r="P73" s="451"/>
      <c r="Q73" s="545"/>
    </row>
    <row r="74" spans="1:17" s="452" customFormat="1" ht="15.75" thickBot="1">
      <c r="A74" s="536"/>
      <c r="B74" s="526"/>
      <c r="C74" s="544"/>
      <c r="D74" s="544"/>
      <c r="E74" s="544"/>
      <c r="F74" s="544"/>
      <c r="G74" s="544"/>
      <c r="H74" s="546"/>
      <c r="I74" s="546"/>
      <c r="J74" s="546"/>
      <c r="K74" s="546"/>
      <c r="L74" s="546"/>
      <c r="M74" s="547"/>
      <c r="N74" s="1265"/>
      <c r="O74" s="1265"/>
      <c r="P74" s="542"/>
      <c r="Q74" s="543"/>
    </row>
    <row r="75" spans="1:17" s="452" customFormat="1" ht="15.75" thickTop="1">
      <c r="A75" s="536"/>
      <c r="B75" s="529">
        <f>B14</f>
        <v>111</v>
      </c>
      <c r="C75" s="504"/>
      <c r="D75" s="504"/>
      <c r="E75" s="504"/>
      <c r="F75" s="504"/>
      <c r="G75" s="504"/>
      <c r="H75" s="548"/>
      <c r="I75" s="548"/>
      <c r="J75" s="548"/>
      <c r="K75" s="548"/>
      <c r="L75" s="549"/>
      <c r="M75" s="550"/>
      <c r="N75" s="1265"/>
      <c r="O75" s="1265"/>
      <c r="P75" s="551"/>
      <c r="Q75" s="543"/>
    </row>
    <row r="76" spans="1:17" s="452" customFormat="1" ht="15.75" thickBot="1">
      <c r="A76" s="552"/>
      <c r="B76" s="553"/>
      <c r="C76" s="554"/>
      <c r="D76" s="554"/>
      <c r="E76" s="554"/>
      <c r="F76" s="554"/>
      <c r="G76" s="554"/>
      <c r="H76" s="555"/>
      <c r="I76" s="555"/>
      <c r="J76" s="555"/>
      <c r="K76" s="555"/>
      <c r="L76" s="555"/>
      <c r="M76" s="556"/>
      <c r="N76" s="1265"/>
      <c r="O76" s="1265"/>
      <c r="P76" s="542"/>
      <c r="Q76" s="543"/>
    </row>
    <row r="77" spans="1:17">
      <c r="A77" s="508" t="s">
        <v>2363</v>
      </c>
      <c r="B77" s="509" t="s">
        <v>2489</v>
      </c>
      <c r="C77" s="557" t="s">
        <v>2402</v>
      </c>
      <c r="D77" s="557" t="s">
        <v>2403</v>
      </c>
      <c r="E77" s="557" t="s">
        <v>2404</v>
      </c>
      <c r="F77" s="557" t="s">
        <v>2405</v>
      </c>
      <c r="G77" s="557" t="s">
        <v>2406</v>
      </c>
      <c r="H77" s="510"/>
      <c r="I77" s="510"/>
      <c r="J77" s="510"/>
      <c r="K77" s="558"/>
      <c r="L77" s="559"/>
      <c r="M77" s="560"/>
      <c r="N77" s="1263"/>
      <c r="O77" s="1263"/>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4"/>
      <c r="O78" s="1264"/>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3"/>
      <c r="O79" s="1263"/>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4"/>
      <c r="O80" s="1264"/>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3"/>
      <c r="O81" s="1263"/>
      <c r="P81" s="22"/>
      <c r="Q81" s="485"/>
    </row>
    <row r="82" spans="1:17" ht="15.75" thickBot="1">
      <c r="A82" s="516"/>
      <c r="B82" s="526"/>
      <c r="C82" s="527">
        <v>100</v>
      </c>
      <c r="D82" s="527">
        <f>C82-$K19</f>
        <v>99</v>
      </c>
      <c r="E82" s="527">
        <f>D82-$K19</f>
        <v>98</v>
      </c>
      <c r="F82" s="527">
        <f>E82-$K19</f>
        <v>97</v>
      </c>
      <c r="G82" s="527">
        <f>F82-$K19</f>
        <v>96</v>
      </c>
      <c r="H82" s="527"/>
      <c r="I82" s="527"/>
      <c r="J82" s="527"/>
      <c r="K82" s="527"/>
      <c r="L82" s="527"/>
      <c r="M82" s="528"/>
      <c r="N82" s="1264"/>
      <c r="O82" s="1264"/>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3"/>
      <c r="N83" s="1264"/>
      <c r="O83" s="1264"/>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4"/>
      <c r="O84" s="1264"/>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3"/>
      <c r="O85" s="1263"/>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4"/>
      <c r="O86" s="1264"/>
      <c r="P86" s="22"/>
      <c r="Q86" s="485"/>
    </row>
    <row r="87" spans="1:17" s="35" customFormat="1" ht="27.75" thickTop="1">
      <c r="A87" s="563"/>
      <c r="B87" s="521" t="s">
        <v>2491</v>
      </c>
      <c r="C87" s="2733" t="s">
        <v>2859</v>
      </c>
      <c r="D87" s="2733" t="s">
        <v>2860</v>
      </c>
      <c r="E87" s="2733" t="s">
        <v>2861</v>
      </c>
      <c r="F87" s="2733" t="s">
        <v>2862</v>
      </c>
      <c r="G87" s="2733" t="s">
        <v>2863</v>
      </c>
      <c r="H87" s="537"/>
      <c r="I87" s="537"/>
      <c r="J87" s="537"/>
      <c r="K87" s="537"/>
      <c r="L87" s="564"/>
      <c r="M87" s="565"/>
      <c r="N87" s="1262"/>
      <c r="O87" s="1262"/>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4"/>
      <c r="O88" s="1264"/>
      <c r="P88" s="22"/>
      <c r="Q88" s="485"/>
    </row>
    <row r="89" spans="1:17" s="35" customFormat="1" ht="15.75" thickTop="1">
      <c r="A89" s="563"/>
      <c r="B89" s="521" t="str">
        <f>B27</f>
        <v>楼层</v>
      </c>
      <c r="C89" s="537"/>
      <c r="D89" s="537"/>
      <c r="E89" s="537"/>
      <c r="F89" s="2424"/>
      <c r="G89" s="537"/>
      <c r="H89" s="537"/>
      <c r="I89" s="537"/>
      <c r="J89" s="537"/>
      <c r="K89" s="537"/>
      <c r="L89" s="537"/>
      <c r="M89" s="565"/>
      <c r="N89" s="1262"/>
      <c r="O89" s="1262"/>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4"/>
      <c r="O90" s="1264"/>
      <c r="P90" s="22"/>
      <c r="Q90" s="485"/>
    </row>
    <row r="91" spans="1:17" s="452" customFormat="1" ht="15.75"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5"/>
      <c r="O92" s="1265"/>
      <c r="P92" s="542"/>
      <c r="Q92" s="543"/>
    </row>
    <row r="93" spans="1:17" ht="15.75" thickTop="1">
      <c r="A93" s="516"/>
      <c r="B93" s="521">
        <f>B29</f>
        <v>111</v>
      </c>
      <c r="C93" s="537"/>
      <c r="D93" s="537"/>
      <c r="E93" s="537"/>
      <c r="F93" s="537"/>
      <c r="G93" s="537"/>
      <c r="H93" s="537"/>
      <c r="I93" s="537"/>
      <c r="J93" s="537"/>
      <c r="K93" s="537"/>
      <c r="L93" s="564"/>
      <c r="M93" s="565"/>
      <c r="N93" s="1263"/>
      <c r="O93" s="1263"/>
      <c r="P93" s="22"/>
      <c r="Q93" s="485"/>
    </row>
    <row r="94" spans="1:17" ht="15.75" thickBot="1">
      <c r="A94" s="516"/>
      <c r="B94" s="526"/>
      <c r="C94" s="544"/>
      <c r="D94" s="518"/>
      <c r="E94" s="518"/>
      <c r="F94" s="518"/>
      <c r="G94" s="518"/>
      <c r="H94" s="518"/>
      <c r="I94" s="518"/>
      <c r="J94" s="518"/>
      <c r="K94" s="518"/>
      <c r="L94" s="518"/>
      <c r="M94" s="519"/>
      <c r="N94" s="1264"/>
      <c r="O94" s="1264"/>
      <c r="P94" s="22"/>
      <c r="Q94" s="485"/>
    </row>
    <row r="95" spans="1:17" ht="15.75" thickTop="1">
      <c r="A95" s="516"/>
      <c r="B95" s="521">
        <f>B30</f>
        <v>111</v>
      </c>
      <c r="C95" s="537"/>
      <c r="D95" s="537"/>
      <c r="E95" s="537"/>
      <c r="F95" s="537"/>
      <c r="G95" s="567"/>
      <c r="H95" s="567"/>
      <c r="I95" s="567"/>
      <c r="J95" s="567"/>
      <c r="K95" s="568"/>
      <c r="L95" s="569"/>
      <c r="M95" s="570"/>
      <c r="N95" s="1263"/>
      <c r="O95" s="1263"/>
      <c r="P95" s="22"/>
      <c r="Q95" s="485"/>
    </row>
    <row r="96" spans="1:17" ht="15.75" thickBot="1">
      <c r="A96" s="516"/>
      <c r="B96" s="526"/>
      <c r="C96" s="544"/>
      <c r="D96" s="544"/>
      <c r="E96" s="544"/>
      <c r="F96" s="544"/>
      <c r="G96" s="518"/>
      <c r="H96" s="518"/>
      <c r="I96" s="518"/>
      <c r="J96" s="518"/>
      <c r="K96" s="518"/>
      <c r="L96" s="518"/>
      <c r="M96" s="519"/>
      <c r="N96" s="1264"/>
      <c r="O96" s="1264"/>
      <c r="P96" s="22"/>
      <c r="Q96" s="485"/>
    </row>
    <row r="97" spans="1:17" ht="15.75" thickTop="1">
      <c r="A97" s="516"/>
      <c r="B97" s="521">
        <f>B31</f>
        <v>111</v>
      </c>
      <c r="C97" s="537"/>
      <c r="D97" s="537"/>
      <c r="E97" s="537"/>
      <c r="F97" s="537"/>
      <c r="G97" s="567"/>
      <c r="H97" s="567"/>
      <c r="I97" s="567"/>
      <c r="J97" s="567"/>
      <c r="K97" s="568"/>
      <c r="L97" s="569"/>
      <c r="M97" s="570"/>
      <c r="N97" s="1263"/>
      <c r="O97" s="1263"/>
      <c r="P97" s="22"/>
      <c r="Q97" s="485"/>
    </row>
    <row r="98" spans="1:17" ht="15.75" thickBot="1">
      <c r="A98" s="516"/>
      <c r="B98" s="526"/>
      <c r="C98" s="544"/>
      <c r="D98" s="518"/>
      <c r="E98" s="518"/>
      <c r="F98" s="518"/>
      <c r="G98" s="518"/>
      <c r="H98" s="518"/>
      <c r="I98" s="518"/>
      <c r="J98" s="518"/>
      <c r="K98" s="518"/>
      <c r="L98" s="518"/>
      <c r="M98" s="519"/>
      <c r="N98" s="1264"/>
      <c r="O98" s="1264"/>
      <c r="P98" s="22"/>
      <c r="Q98" s="485"/>
    </row>
    <row r="99" spans="1:17" ht="15.75" thickTop="1">
      <c r="A99" s="516"/>
      <c r="B99" s="529">
        <f>B32</f>
        <v>111</v>
      </c>
      <c r="C99" s="504"/>
      <c r="D99" s="504"/>
      <c r="E99" s="504"/>
      <c r="F99" s="504"/>
      <c r="G99" s="571"/>
      <c r="H99" s="571"/>
      <c r="I99" s="571"/>
      <c r="J99" s="571"/>
      <c r="K99" s="572"/>
      <c r="L99" s="573"/>
      <c r="M99" s="574"/>
      <c r="N99" s="1263"/>
      <c r="O99" s="1263"/>
      <c r="P99" s="22"/>
      <c r="Q99" s="485"/>
    </row>
    <row r="100" spans="1:17" ht="15.75" thickBot="1">
      <c r="A100" s="2425"/>
      <c r="B100" s="553"/>
      <c r="C100" s="554"/>
      <c r="D100" s="554"/>
      <c r="E100" s="554"/>
      <c r="F100" s="554"/>
      <c r="G100" s="575"/>
      <c r="H100" s="575"/>
      <c r="I100" s="575"/>
      <c r="J100" s="575"/>
      <c r="K100" s="575"/>
      <c r="L100" s="575"/>
      <c r="M100" s="576"/>
      <c r="N100" s="1264"/>
      <c r="O100" s="1264"/>
      <c r="P100" s="22"/>
      <c r="Q100" s="485"/>
    </row>
    <row r="101" spans="1:17">
      <c r="A101" s="508" t="s">
        <v>2368</v>
      </c>
      <c r="B101" s="509" t="s">
        <v>2417</v>
      </c>
      <c r="C101" s="2734" t="s">
        <v>2866</v>
      </c>
      <c r="D101" s="511"/>
      <c r="E101" s="511"/>
      <c r="F101" s="511"/>
      <c r="G101" s="511"/>
      <c r="H101" s="511"/>
      <c r="I101" s="511"/>
      <c r="J101" s="511"/>
      <c r="K101" s="512"/>
      <c r="L101" s="513"/>
      <c r="M101" s="514"/>
      <c r="N101" s="1263"/>
      <c r="O101" s="1263"/>
      <c r="P101" s="22"/>
      <c r="Q101" s="485"/>
    </row>
    <row r="102" spans="1:17" ht="15.75" thickBot="1">
      <c r="A102" s="516"/>
      <c r="B102" s="526"/>
      <c r="C102" s="527">
        <v>100</v>
      </c>
      <c r="D102" s="527">
        <f t="shared" ref="D102:M102" si="22">C102-$K33</f>
        <v>99</v>
      </c>
      <c r="E102" s="527">
        <f t="shared" si="22"/>
        <v>98</v>
      </c>
      <c r="F102" s="527">
        <f t="shared" si="22"/>
        <v>97</v>
      </c>
      <c r="G102" s="527">
        <f t="shared" si="22"/>
        <v>96</v>
      </c>
      <c r="H102" s="527">
        <f t="shared" si="22"/>
        <v>95</v>
      </c>
      <c r="I102" s="527">
        <f t="shared" si="22"/>
        <v>94</v>
      </c>
      <c r="J102" s="527">
        <f t="shared" si="22"/>
        <v>93</v>
      </c>
      <c r="K102" s="527">
        <f t="shared" si="22"/>
        <v>92</v>
      </c>
      <c r="L102" s="527">
        <f t="shared" si="22"/>
        <v>91</v>
      </c>
      <c r="M102" s="528">
        <f t="shared" si="22"/>
        <v>90</v>
      </c>
      <c r="N102" s="1264"/>
      <c r="O102" s="1264"/>
      <c r="P102" s="22"/>
      <c r="Q102" s="485"/>
    </row>
    <row r="103" spans="1:17" ht="15.75" thickTop="1">
      <c r="A103" s="516"/>
      <c r="B103" s="521" t="s">
        <v>2418</v>
      </c>
      <c r="C103" s="562" t="str">
        <f>C104&amp;"(含)"&amp;"-"&amp;D104</f>
        <v>0(含)-500</v>
      </c>
      <c r="D103" s="562" t="str">
        <f t="shared" ref="D103:L103" si="23">D104&amp;"(含)"&amp;"-"&amp;E104</f>
        <v>500(含)-1000</v>
      </c>
      <c r="E103" s="562" t="str">
        <f t="shared" si="23"/>
        <v>1000(含)-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579">
        <v>0</v>
      </c>
      <c r="D104" s="579">
        <v>500</v>
      </c>
      <c r="E104" s="579">
        <v>1000</v>
      </c>
      <c r="F104" s="579"/>
      <c r="G104" s="579"/>
      <c r="H104" s="579"/>
      <c r="I104" s="579"/>
      <c r="J104" s="580"/>
      <c r="K104" s="580"/>
      <c r="L104" s="581"/>
      <c r="M104" s="582"/>
      <c r="N104" s="1265"/>
      <c r="O104" s="1265"/>
      <c r="P104" s="542"/>
      <c r="Q104" s="543"/>
    </row>
    <row r="105" spans="1:17" s="452" customFormat="1" ht="15.75" thickBot="1">
      <c r="A105" s="536"/>
      <c r="B105" s="526"/>
      <c r="C105" s="544">
        <v>100</v>
      </c>
      <c r="D105" s="518">
        <v>102</v>
      </c>
      <c r="E105" s="518">
        <v>104</v>
      </c>
      <c r="F105" s="518"/>
      <c r="G105" s="518"/>
      <c r="H105" s="518"/>
      <c r="I105" s="518"/>
      <c r="J105" s="518"/>
      <c r="K105" s="518"/>
      <c r="L105" s="518"/>
      <c r="M105" s="519"/>
      <c r="N105" s="1264"/>
      <c r="O105" s="1264"/>
      <c r="P105" s="542"/>
      <c r="Q105" s="543"/>
    </row>
    <row r="106" spans="1:17" ht="15" thickTop="1">
      <c r="A106" s="583"/>
      <c r="B106" s="521" t="s">
        <v>2419</v>
      </c>
      <c r="C106" s="2733" t="s">
        <v>2867</v>
      </c>
      <c r="D106" s="2733" t="s">
        <v>2868</v>
      </c>
      <c r="E106" s="2735" t="s">
        <v>2869</v>
      </c>
      <c r="F106" s="567"/>
      <c r="G106" s="567"/>
      <c r="H106" s="567"/>
      <c r="I106" s="567"/>
      <c r="J106" s="567"/>
      <c r="K106" s="568"/>
      <c r="L106" s="569"/>
      <c r="M106" s="570"/>
      <c r="N106" s="1263"/>
      <c r="O106" s="1263"/>
      <c r="P106" s="22"/>
      <c r="Q106" s="485"/>
    </row>
    <row r="107" spans="1:17" ht="15.75" thickBot="1">
      <c r="A107" s="516"/>
      <c r="B107" s="526"/>
      <c r="C107" s="527">
        <v>100</v>
      </c>
      <c r="D107" s="527">
        <f t="shared" ref="D107:M107" si="24">C107-$K35</f>
        <v>99</v>
      </c>
      <c r="E107" s="527">
        <f t="shared" si="24"/>
        <v>98</v>
      </c>
      <c r="F107" s="527">
        <f t="shared" si="24"/>
        <v>97</v>
      </c>
      <c r="G107" s="527">
        <f t="shared" si="24"/>
        <v>96</v>
      </c>
      <c r="H107" s="527">
        <f t="shared" si="24"/>
        <v>95</v>
      </c>
      <c r="I107" s="527">
        <f t="shared" si="24"/>
        <v>94</v>
      </c>
      <c r="J107" s="527">
        <f t="shared" si="24"/>
        <v>93</v>
      </c>
      <c r="K107" s="527">
        <f t="shared" si="24"/>
        <v>92</v>
      </c>
      <c r="L107" s="527">
        <f t="shared" si="24"/>
        <v>91</v>
      </c>
      <c r="M107" s="528">
        <f t="shared" si="24"/>
        <v>90</v>
      </c>
      <c r="N107" s="1264"/>
      <c r="O107" s="1264"/>
      <c r="P107" s="22"/>
      <c r="Q107" s="485"/>
    </row>
    <row r="108" spans="1:17" ht="15" thickTop="1">
      <c r="A108" s="583"/>
      <c r="B108" s="521" t="s">
        <v>2421</v>
      </c>
      <c r="C108" s="2733" t="s">
        <v>2870</v>
      </c>
      <c r="D108" s="2733" t="s">
        <v>2871</v>
      </c>
      <c r="E108" s="2733" t="s">
        <v>2872</v>
      </c>
      <c r="F108" s="2735" t="s">
        <v>2873</v>
      </c>
      <c r="G108" s="567"/>
      <c r="H108" s="567"/>
      <c r="I108" s="567"/>
      <c r="J108" s="567"/>
      <c r="K108" s="568"/>
      <c r="L108" s="569"/>
      <c r="M108" s="570"/>
      <c r="N108" s="1263"/>
      <c r="O108" s="1263"/>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4"/>
      <c r="O109" s="1264"/>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5.75" thickBot="1">
      <c r="A112" s="516"/>
      <c r="B112" s="526"/>
      <c r="C112" s="566">
        <v>100</v>
      </c>
      <c r="D112" s="527">
        <f>C112+$K37</f>
        <v>102</v>
      </c>
      <c r="E112" s="527">
        <f t="shared" ref="E112:M112" si="26">D112+$K37</f>
        <v>104</v>
      </c>
      <c r="F112" s="527">
        <f t="shared" si="26"/>
        <v>106</v>
      </c>
      <c r="G112" s="527">
        <f t="shared" si="26"/>
        <v>108</v>
      </c>
      <c r="H112" s="527">
        <f t="shared" si="26"/>
        <v>110</v>
      </c>
      <c r="I112" s="527">
        <f t="shared" si="26"/>
        <v>112</v>
      </c>
      <c r="J112" s="527">
        <f t="shared" si="26"/>
        <v>114</v>
      </c>
      <c r="K112" s="527">
        <f t="shared" si="26"/>
        <v>116</v>
      </c>
      <c r="L112" s="527">
        <f t="shared" si="26"/>
        <v>118</v>
      </c>
      <c r="M112" s="527">
        <f t="shared" si="26"/>
        <v>120</v>
      </c>
      <c r="N112" s="1264"/>
      <c r="O112" s="1264"/>
      <c r="P112" s="22"/>
      <c r="Q112" s="485"/>
    </row>
    <row r="113" spans="1:17" s="452" customFormat="1" ht="15" thickTop="1">
      <c r="A113" s="577"/>
      <c r="B113" s="521" t="s">
        <v>2492</v>
      </c>
      <c r="C113" s="2733" t="s">
        <v>2875</v>
      </c>
      <c r="D113" s="537"/>
      <c r="E113" s="537"/>
      <c r="F113" s="537"/>
      <c r="G113" s="537"/>
      <c r="H113" s="567"/>
      <c r="I113" s="567"/>
      <c r="J113" s="567"/>
      <c r="K113" s="568"/>
      <c r="L113" s="569"/>
      <c r="M113" s="570"/>
      <c r="N113" s="1265"/>
      <c r="O113" s="1265"/>
      <c r="P113" s="542"/>
      <c r="Q113" s="543"/>
    </row>
    <row r="114" spans="1:17" s="452" customFormat="1" ht="15.75" thickBot="1">
      <c r="A114" s="536"/>
      <c r="B114" s="526"/>
      <c r="C114" s="527">
        <v>100</v>
      </c>
      <c r="D114" s="527">
        <f>C114-$K38</f>
        <v>97</v>
      </c>
      <c r="E114" s="527">
        <f t="shared" ref="E114:M114" si="27">D114-$K38</f>
        <v>94</v>
      </c>
      <c r="F114" s="527">
        <f t="shared" si="27"/>
        <v>91</v>
      </c>
      <c r="G114" s="527">
        <f t="shared" si="27"/>
        <v>88</v>
      </c>
      <c r="H114" s="527">
        <f t="shared" si="27"/>
        <v>85</v>
      </c>
      <c r="I114" s="527">
        <f t="shared" si="27"/>
        <v>82</v>
      </c>
      <c r="J114" s="527">
        <f t="shared" si="27"/>
        <v>79</v>
      </c>
      <c r="K114" s="527">
        <f t="shared" si="27"/>
        <v>76</v>
      </c>
      <c r="L114" s="527">
        <f t="shared" si="27"/>
        <v>73</v>
      </c>
      <c r="M114" s="527">
        <f t="shared" si="27"/>
        <v>70</v>
      </c>
      <c r="N114" s="1265"/>
      <c r="O114" s="1265"/>
      <c r="P114" s="542"/>
      <c r="Q114" s="543"/>
    </row>
    <row r="115" spans="1:17" ht="15" thickTop="1">
      <c r="A115" s="583"/>
      <c r="B115" s="521" t="s">
        <v>2423</v>
      </c>
      <c r="C115" s="2733" t="s">
        <v>2877</v>
      </c>
      <c r="D115" s="2733" t="s">
        <v>2878</v>
      </c>
      <c r="E115" s="567"/>
      <c r="F115" s="567"/>
      <c r="G115" s="567"/>
      <c r="H115" s="567"/>
      <c r="I115" s="567"/>
      <c r="J115" s="567"/>
      <c r="K115" s="568"/>
      <c r="L115" s="569"/>
      <c r="M115" s="570"/>
      <c r="N115" s="1263"/>
      <c r="O115" s="1263"/>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4"/>
      <c r="O116" s="1264"/>
      <c r="P116" s="22"/>
      <c r="Q116" s="485"/>
    </row>
    <row r="117" spans="1:17" ht="15" thickTop="1">
      <c r="A117" s="583"/>
      <c r="B117" s="521" t="s">
        <v>2424</v>
      </c>
      <c r="C117" s="2733" t="s">
        <v>2879</v>
      </c>
      <c r="D117" s="2733" t="s">
        <v>2880</v>
      </c>
      <c r="E117" s="2733" t="s">
        <v>2881</v>
      </c>
      <c r="F117" s="2733" t="s">
        <v>2882</v>
      </c>
      <c r="G117" s="2733" t="s">
        <v>2883</v>
      </c>
      <c r="H117" s="567"/>
      <c r="I117" s="567"/>
      <c r="J117" s="567"/>
      <c r="K117" s="568"/>
      <c r="L117" s="569"/>
      <c r="M117" s="570"/>
      <c r="N117" s="1263"/>
      <c r="O117" s="1263"/>
      <c r="P117" s="22"/>
      <c r="Q117" s="485"/>
    </row>
    <row r="118" spans="1:17" ht="15.75" thickBot="1">
      <c r="A118" s="516"/>
      <c r="B118" s="526"/>
      <c r="C118" s="527">
        <v>100</v>
      </c>
      <c r="D118" s="527">
        <f>C118-$K40</f>
        <v>98</v>
      </c>
      <c r="E118" s="527">
        <f>D118-$K40</f>
        <v>96</v>
      </c>
      <c r="F118" s="527">
        <f>E118-$K40</f>
        <v>94</v>
      </c>
      <c r="G118" s="527">
        <f>F118-$K40</f>
        <v>92</v>
      </c>
      <c r="H118" s="527"/>
      <c r="I118" s="527"/>
      <c r="J118" s="527"/>
      <c r="K118" s="527"/>
      <c r="L118" s="527"/>
      <c r="M118" s="528"/>
      <c r="N118" s="1264"/>
      <c r="O118" s="1264"/>
      <c r="P118" s="22"/>
      <c r="Q118" s="485"/>
    </row>
    <row r="119" spans="1:17" ht="15" thickTop="1">
      <c r="A119" s="583"/>
      <c r="B119" s="620" t="s">
        <v>2493</v>
      </c>
      <c r="C119" s="567"/>
      <c r="D119" s="567"/>
      <c r="E119" s="567"/>
      <c r="F119" s="567"/>
      <c r="G119" s="567"/>
      <c r="H119" s="567"/>
      <c r="I119" s="567"/>
      <c r="J119" s="567"/>
      <c r="K119" s="567"/>
      <c r="L119" s="2467"/>
      <c r="M119" s="2468"/>
      <c r="N119" s="1264"/>
      <c r="O119" s="1264"/>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4"/>
      <c r="O120" s="1264"/>
      <c r="P120" s="22"/>
      <c r="Q120" s="485"/>
    </row>
    <row r="121" spans="1:17" s="452" customFormat="1" ht="15" thickTop="1">
      <c r="A121" s="577"/>
      <c r="B121" s="521" t="s">
        <v>2475</v>
      </c>
      <c r="C121" s="537"/>
      <c r="D121" s="537"/>
      <c r="E121" s="537"/>
      <c r="F121" s="567"/>
      <c r="G121" s="538"/>
      <c r="H121" s="538"/>
      <c r="I121" s="538"/>
      <c r="J121" s="538"/>
      <c r="K121" s="538"/>
      <c r="L121" s="539"/>
      <c r="M121" s="540"/>
      <c r="N121" s="1265"/>
      <c r="O121" s="1265"/>
      <c r="P121" s="542"/>
      <c r="Q121" s="543"/>
    </row>
    <row r="122" spans="1:17" s="452" customFormat="1" ht="15.75"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2426</v>
      </c>
      <c r="C123" s="2733" t="s">
        <v>2870</v>
      </c>
      <c r="D123" s="2733" t="s">
        <v>2871</v>
      </c>
      <c r="E123" s="2733" t="s">
        <v>2872</v>
      </c>
      <c r="F123" s="2735" t="s">
        <v>2873</v>
      </c>
      <c r="G123" s="567"/>
      <c r="H123" s="567"/>
      <c r="I123" s="567"/>
      <c r="J123" s="567"/>
      <c r="K123" s="568"/>
      <c r="L123" s="569"/>
      <c r="M123" s="570"/>
      <c r="N123" s="1263"/>
      <c r="O123" s="1263"/>
      <c r="P123" s="22"/>
      <c r="Q123" s="485"/>
    </row>
    <row r="124" spans="1:17" ht="15.75" thickBot="1">
      <c r="A124" s="516"/>
      <c r="B124" s="526"/>
      <c r="C124" s="527">
        <v>100</v>
      </c>
      <c r="D124" s="527">
        <f t="shared" ref="D124:M124" si="30">C124-$K43</f>
        <v>99</v>
      </c>
      <c r="E124" s="527">
        <f t="shared" si="30"/>
        <v>98</v>
      </c>
      <c r="F124" s="527">
        <f t="shared" si="30"/>
        <v>97</v>
      </c>
      <c r="G124" s="527">
        <f t="shared" si="30"/>
        <v>96</v>
      </c>
      <c r="H124" s="527">
        <f t="shared" si="30"/>
        <v>95</v>
      </c>
      <c r="I124" s="527">
        <f t="shared" si="30"/>
        <v>94</v>
      </c>
      <c r="J124" s="527">
        <f t="shared" si="30"/>
        <v>93</v>
      </c>
      <c r="K124" s="527">
        <f t="shared" si="30"/>
        <v>92</v>
      </c>
      <c r="L124" s="527">
        <f t="shared" si="30"/>
        <v>91</v>
      </c>
      <c r="M124" s="528">
        <f t="shared" si="30"/>
        <v>90</v>
      </c>
      <c r="N124" s="1264"/>
      <c r="O124" s="1264"/>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3"/>
      <c r="O125" s="1263"/>
      <c r="P125" s="542"/>
      <c r="Q125" s="485"/>
    </row>
    <row r="126" spans="1:17" ht="15.75" thickBot="1">
      <c r="A126" s="516"/>
      <c r="B126" s="526"/>
      <c r="C126" s="527">
        <v>100</v>
      </c>
      <c r="D126" s="527">
        <f>C126-$K44</f>
        <v>99</v>
      </c>
      <c r="E126" s="527">
        <f>D126-$K44</f>
        <v>98</v>
      </c>
      <c r="F126" s="527">
        <f>E126-$K44</f>
        <v>97</v>
      </c>
      <c r="G126" s="527">
        <f>F126-$K44</f>
        <v>96</v>
      </c>
      <c r="H126" s="527"/>
      <c r="I126" s="527"/>
      <c r="J126" s="527"/>
      <c r="K126" s="527"/>
      <c r="L126" s="527"/>
      <c r="M126" s="528"/>
      <c r="N126" s="1264"/>
      <c r="O126" s="1264"/>
      <c r="P126" s="22"/>
      <c r="Q126" s="485"/>
    </row>
    <row r="127" spans="1:17" s="452" customFormat="1" ht="15"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5.75" thickBot="1">
      <c r="A128" s="536"/>
      <c r="B128" s="526"/>
      <c r="C128" s="544"/>
      <c r="D128" s="518"/>
      <c r="E128" s="518"/>
      <c r="F128" s="518"/>
      <c r="G128" s="544"/>
      <c r="H128" s="546"/>
      <c r="I128" s="546"/>
      <c r="J128" s="546"/>
      <c r="K128" s="546"/>
      <c r="L128" s="546"/>
      <c r="M128" s="547"/>
      <c r="N128" s="1265"/>
      <c r="O128" s="1265"/>
      <c r="P128" s="542"/>
      <c r="Q128" s="543"/>
    </row>
    <row r="129" spans="1:17" ht="15" thickTop="1">
      <c r="A129" s="583"/>
      <c r="B129" s="521">
        <f>B46</f>
        <v>111</v>
      </c>
      <c r="C129" s="537"/>
      <c r="D129" s="537"/>
      <c r="E129" s="537"/>
      <c r="F129" s="537"/>
      <c r="G129" s="567"/>
      <c r="H129" s="567"/>
      <c r="I129" s="567"/>
      <c r="J129" s="567"/>
      <c r="K129" s="568"/>
      <c r="L129" s="569"/>
      <c r="M129" s="570"/>
      <c r="N129" s="1263"/>
      <c r="O129" s="1263"/>
      <c r="P129" s="22"/>
      <c r="Q129" s="485"/>
    </row>
    <row r="130" spans="1:17" ht="15.75" thickBot="1">
      <c r="A130" s="516"/>
      <c r="B130" s="526"/>
      <c r="C130" s="544"/>
      <c r="D130" s="544"/>
      <c r="E130" s="544"/>
      <c r="F130" s="544"/>
      <c r="G130" s="518"/>
      <c r="H130" s="518"/>
      <c r="I130" s="518"/>
      <c r="J130" s="518"/>
      <c r="K130" s="518"/>
      <c r="L130" s="518"/>
      <c r="M130" s="519"/>
      <c r="N130" s="1264"/>
      <c r="O130" s="1264"/>
      <c r="P130" s="22"/>
      <c r="Q130" s="485"/>
    </row>
    <row r="131" spans="1:17" ht="15" thickTop="1">
      <c r="A131" s="583"/>
      <c r="B131" s="529">
        <f>B47</f>
        <v>111</v>
      </c>
      <c r="C131" s="504"/>
      <c r="D131" s="504"/>
      <c r="E131" s="504"/>
      <c r="F131" s="504"/>
      <c r="G131" s="571"/>
      <c r="H131" s="571"/>
      <c r="I131" s="571"/>
      <c r="J131" s="571"/>
      <c r="K131" s="504"/>
      <c r="L131" s="505"/>
      <c r="M131" s="574"/>
      <c r="N131" s="1263"/>
      <c r="O131" s="1263"/>
      <c r="P131" s="22"/>
      <c r="Q131" s="485"/>
    </row>
    <row r="132" spans="1:17" ht="15.75" thickBot="1">
      <c r="A132" s="2469"/>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32" priority="16" stopIfTrue="1" operator="containsText" text="超过">
      <formula>NOT(ISERROR(SEARCH("超过",F53)))</formula>
    </cfRule>
  </conditionalFormatting>
  <conditionalFormatting sqref="H55">
    <cfRule type="containsText" dxfId="131" priority="15" stopIfTrue="1" operator="containsText" text="超过">
      <formula>NOT(ISERROR(SEARCH("超过",H55)))</formula>
    </cfRule>
  </conditionalFormatting>
  <conditionalFormatting sqref="F55">
    <cfRule type="containsText" dxfId="130" priority="14" stopIfTrue="1" operator="containsText" text="超过">
      <formula>NOT(ISERROR(SEARCH("超过",F55)))</formula>
    </cfRule>
  </conditionalFormatting>
  <conditionalFormatting sqref="F54 H54">
    <cfRule type="containsText" dxfId="129" priority="13" stopIfTrue="1" operator="containsText" text="超过">
      <formula>NOT(ISERROR(SEARCH("超过",F54)))</formula>
    </cfRule>
  </conditionalFormatting>
  <conditionalFormatting sqref="E53">
    <cfRule type="expression" dxfId="128" priority="12" stopIfTrue="1">
      <formula>$F$53="超过30%"</formula>
    </cfRule>
  </conditionalFormatting>
  <conditionalFormatting sqref="E54">
    <cfRule type="expression" dxfId="127" priority="11" stopIfTrue="1">
      <formula>$F$54="超过20%"</formula>
    </cfRule>
  </conditionalFormatting>
  <conditionalFormatting sqref="E55">
    <cfRule type="expression" dxfId="126" priority="10" stopIfTrue="1">
      <formula>$F$55="超过30%"</formula>
    </cfRule>
  </conditionalFormatting>
  <conditionalFormatting sqref="G55">
    <cfRule type="expression" dxfId="125" priority="9" stopIfTrue="1">
      <formula>$H$55="超过30%"</formula>
    </cfRule>
  </conditionalFormatting>
  <conditionalFormatting sqref="G53">
    <cfRule type="expression" dxfId="124" priority="8" stopIfTrue="1">
      <formula>$H$53="超过30%"</formula>
    </cfRule>
  </conditionalFormatting>
  <conditionalFormatting sqref="G54">
    <cfRule type="expression" dxfId="123" priority="7" stopIfTrue="1">
      <formula>$H$54="超过20%"</formula>
    </cfRule>
  </conditionalFormatting>
  <conditionalFormatting sqref="J53">
    <cfRule type="containsText" dxfId="122" priority="6" stopIfTrue="1" operator="containsText" text="超过">
      <formula>NOT(ISERROR(SEARCH("超过",J53)))</formula>
    </cfRule>
  </conditionalFormatting>
  <conditionalFormatting sqref="J55">
    <cfRule type="containsText" dxfId="121" priority="5" stopIfTrue="1" operator="containsText" text="超过">
      <formula>NOT(ISERROR(SEARCH("超过",J55)))</formula>
    </cfRule>
  </conditionalFormatting>
  <conditionalFormatting sqref="J54">
    <cfRule type="containsText" dxfId="120" priority="4" stopIfTrue="1" operator="containsText" text="超过">
      <formula>NOT(ISERROR(SEARCH("超过",J54)))</formula>
    </cfRule>
  </conditionalFormatting>
  <conditionalFormatting sqref="I53">
    <cfRule type="expression" dxfId="119" priority="3" stopIfTrue="1">
      <formula>$J$53="超过30%"</formula>
    </cfRule>
  </conditionalFormatting>
  <conditionalFormatting sqref="I54">
    <cfRule type="expression" dxfId="118" priority="2" stopIfTrue="1">
      <formula>$J$53+$J$54="超过20%"</formula>
    </cfRule>
  </conditionalFormatting>
  <conditionalFormatting sqref="I55">
    <cfRule type="expression" dxfId="11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26" zoomScaleNormal="100" zoomScaleSheetLayoutView="100" zoomScalePageLayoutView="80" workbookViewId="0">
      <selection activeCell="G53" sqref="G53"/>
    </sheetView>
  </sheetViews>
  <sheetFormatPr defaultColWidth="12.625" defaultRowHeight="21.75" customHeight="1"/>
  <cols>
    <col min="1" max="2" width="12.625" style="2188"/>
    <col min="3" max="4" width="12.625" style="2188" customWidth="1"/>
    <col min="5" max="9" width="12.625" style="2188"/>
    <col min="10" max="11" width="12.625" style="798" customWidth="1"/>
    <col min="12" max="12" width="12.625" style="798"/>
    <col min="13" max="13" width="14.125" style="798" bestFit="1" customWidth="1"/>
    <col min="14" max="26" width="12.625" style="798"/>
    <col min="27" max="35" width="12.625" style="1841"/>
    <col min="36" max="16384" width="12.625" style="2188"/>
  </cols>
  <sheetData>
    <row r="1" spans="1:12" ht="21.75" customHeight="1">
      <c r="A1" s="2186" t="s">
        <v>1768</v>
      </c>
      <c r="B1" s="2187"/>
      <c r="C1" s="2187"/>
      <c r="D1" s="2187"/>
      <c r="E1" s="2187"/>
      <c r="F1" s="2187"/>
      <c r="G1" s="2187"/>
      <c r="H1" s="2187"/>
      <c r="I1" s="2187"/>
    </row>
    <row r="2" spans="1:12" ht="21.75" customHeight="1">
      <c r="A2" s="2907" t="str">
        <f>项目基本情况!B1</f>
        <v>北京市房地产抵押价值预评估</v>
      </c>
      <c r="B2" s="2907"/>
      <c r="C2" s="2907"/>
      <c r="D2" s="2907"/>
      <c r="E2" s="2907"/>
      <c r="F2" s="2907"/>
      <c r="G2" s="2907"/>
      <c r="H2" s="2907"/>
      <c r="I2" s="2907"/>
    </row>
    <row r="3" spans="1:12" ht="12.75">
      <c r="A3" s="2913" t="s">
        <v>1769</v>
      </c>
      <c r="B3" s="2914"/>
      <c r="C3" s="2914"/>
      <c r="D3" s="2914"/>
      <c r="E3" s="2914"/>
      <c r="F3" s="2914"/>
      <c r="G3" s="2914"/>
      <c r="H3" s="2914"/>
      <c r="I3" s="2914"/>
    </row>
    <row r="4" spans="1:12" ht="14.25">
      <c r="A4" s="2189" t="s">
        <v>1770</v>
      </c>
      <c r="B4" s="2190" t="s">
        <v>1771</v>
      </c>
      <c r="C4" s="2191" t="s">
        <v>2836</v>
      </c>
      <c r="D4" s="2191" t="s">
        <v>2889</v>
      </c>
      <c r="E4" s="2918" t="s">
        <v>1772</v>
      </c>
      <c r="F4" s="2919"/>
      <c r="G4" s="2919"/>
      <c r="H4" s="2919"/>
      <c r="I4" s="2920"/>
      <c r="K4" s="1841" t="str">
        <f>IF(ISNUMBER(FIND("比较法",结果表!C4)),"比较法",IF(ISNUMBER(FIND("成本法",结果表!C4)),"成本法",IF(ISNUMBER(FIND("假设开发法",结果表!C4)),"假设开发法",IF(ISNUMBER(FIND("收益法",结果表!C4)),"收益法","基准地价系数修正法"))))</f>
        <v>收益法</v>
      </c>
      <c r="L4" s="1841" t="str">
        <f>IF(ISNUMBER(FIND("比较法",结果表!D4)),"比较法",IF(ISNUMBER(FIND("成本法",结果表!D4)),"成本法",IF(ISNUMBER(FIND("假设开发法",结果表!D4)),"假设开发法",IF(ISNUMBER(FIND("收益法",结果表!D4)),"收益法","基准地价系数修正法"))))</f>
        <v>比较法</v>
      </c>
    </row>
    <row r="5" spans="1:12" ht="12.75">
      <c r="A5" s="2908" t="s">
        <v>1773</v>
      </c>
      <c r="B5" s="2853">
        <v>25</v>
      </c>
      <c r="C5" s="2915"/>
      <c r="D5" s="2912"/>
      <c r="E5" s="56" t="s">
        <v>1774</v>
      </c>
      <c r="F5" s="2192"/>
      <c r="G5" s="2192"/>
      <c r="H5" s="2192"/>
      <c r="I5" s="2193"/>
    </row>
    <row r="6" spans="1:12" ht="12.75">
      <c r="A6" s="2908"/>
      <c r="B6" s="2853"/>
      <c r="C6" s="2916"/>
      <c r="D6" s="2912"/>
      <c r="E6" s="56" t="s">
        <v>1775</v>
      </c>
      <c r="F6" s="2192"/>
      <c r="G6" s="2192"/>
      <c r="H6" s="2192"/>
      <c r="I6" s="2193"/>
    </row>
    <row r="7" spans="1:12" ht="12.75">
      <c r="A7" s="2908"/>
      <c r="B7" s="2853"/>
      <c r="C7" s="2917"/>
      <c r="D7" s="2912"/>
      <c r="E7" s="56" t="s">
        <v>1776</v>
      </c>
      <c r="F7" s="2192"/>
      <c r="G7" s="2192"/>
      <c r="H7" s="2192"/>
      <c r="I7" s="2193"/>
    </row>
    <row r="8" spans="1:12" ht="12.75">
      <c r="A8" s="2908" t="s">
        <v>1777</v>
      </c>
      <c r="B8" s="2853">
        <v>15</v>
      </c>
      <c r="C8" s="2915"/>
      <c r="D8" s="2912"/>
      <c r="E8" s="56" t="s">
        <v>1778</v>
      </c>
      <c r="F8" s="2192"/>
      <c r="G8" s="2192"/>
      <c r="H8" s="2192"/>
      <c r="I8" s="2193"/>
    </row>
    <row r="9" spans="1:12" ht="12.75">
      <c r="A9" s="2908"/>
      <c r="B9" s="2853"/>
      <c r="C9" s="2917"/>
      <c r="D9" s="2912"/>
      <c r="E9" s="56" t="s">
        <v>1779</v>
      </c>
      <c r="F9" s="2192"/>
      <c r="G9" s="2192"/>
      <c r="H9" s="2192"/>
      <c r="I9" s="2193"/>
    </row>
    <row r="10" spans="1:12" ht="12.75">
      <c r="A10" s="2908" t="s">
        <v>1780</v>
      </c>
      <c r="B10" s="2853">
        <v>15</v>
      </c>
      <c r="C10" s="2915"/>
      <c r="D10" s="2912"/>
      <c r="E10" s="56" t="s">
        <v>1781</v>
      </c>
      <c r="F10" s="2192"/>
      <c r="G10" s="2192"/>
      <c r="H10" s="2192"/>
      <c r="I10" s="2193"/>
    </row>
    <row r="11" spans="1:12" ht="12.75">
      <c r="A11" s="2908"/>
      <c r="B11" s="2853"/>
      <c r="C11" s="2917"/>
      <c r="D11" s="2912"/>
      <c r="E11" s="56" t="s">
        <v>1782</v>
      </c>
      <c r="F11" s="2192"/>
      <c r="G11" s="2192"/>
      <c r="H11" s="2192"/>
      <c r="I11" s="2193"/>
    </row>
    <row r="12" spans="1:12" ht="12.75">
      <c r="A12" s="2908" t="s">
        <v>1783</v>
      </c>
      <c r="B12" s="2853">
        <v>15</v>
      </c>
      <c r="C12" s="2915"/>
      <c r="D12" s="2912"/>
      <c r="E12" s="56" t="s">
        <v>1784</v>
      </c>
      <c r="F12" s="2192"/>
      <c r="G12" s="2192"/>
      <c r="H12" s="2192"/>
      <c r="I12" s="2193"/>
    </row>
    <row r="13" spans="1:12" ht="12.75">
      <c r="A13" s="2908"/>
      <c r="B13" s="2853"/>
      <c r="C13" s="2917"/>
      <c r="D13" s="2912"/>
      <c r="E13" s="56" t="s">
        <v>1785</v>
      </c>
      <c r="F13" s="2192"/>
      <c r="G13" s="2192"/>
      <c r="H13" s="2192"/>
      <c r="I13" s="2193"/>
    </row>
    <row r="14" spans="1:12" ht="12.75">
      <c r="A14" s="2908" t="s">
        <v>1786</v>
      </c>
      <c r="B14" s="2853">
        <v>30</v>
      </c>
      <c r="C14" s="2915">
        <v>2</v>
      </c>
      <c r="D14" s="2912">
        <v>8</v>
      </c>
      <c r="E14" s="56" t="s">
        <v>1787</v>
      </c>
      <c r="F14" s="2192"/>
      <c r="G14" s="2192"/>
      <c r="H14" s="2192"/>
      <c r="I14" s="2193"/>
    </row>
    <row r="15" spans="1:12" ht="12.75">
      <c r="A15" s="2908"/>
      <c r="B15" s="2853"/>
      <c r="C15" s="2916"/>
      <c r="D15" s="2912"/>
      <c r="E15" s="56" t="s">
        <v>1788</v>
      </c>
      <c r="F15" s="2192"/>
      <c r="G15" s="2192"/>
      <c r="H15" s="2192"/>
      <c r="I15" s="2193"/>
    </row>
    <row r="16" spans="1:12" ht="12.75">
      <c r="A16" s="2908"/>
      <c r="B16" s="2853"/>
      <c r="C16" s="2917"/>
      <c r="D16" s="2912"/>
      <c r="E16" s="56" t="s">
        <v>1789</v>
      </c>
      <c r="F16" s="2192"/>
      <c r="G16" s="2192"/>
      <c r="H16" s="2192"/>
      <c r="I16" s="2193"/>
    </row>
    <row r="17" spans="1:35" ht="15">
      <c r="A17" s="2194" t="s">
        <v>1790</v>
      </c>
      <c r="B17" s="2195"/>
      <c r="C17" s="57">
        <f>SUM(C5:C16)</f>
        <v>2</v>
      </c>
      <c r="D17" s="57">
        <f>SUM(D5:D16)</f>
        <v>8</v>
      </c>
      <c r="E17" s="2187"/>
      <c r="F17" s="2187"/>
      <c r="G17" s="2187"/>
      <c r="H17" s="2187"/>
      <c r="I17" s="2187"/>
    </row>
    <row r="18" spans="1:35" ht="15.75" thickBot="1">
      <c r="A18" s="2196" t="s">
        <v>1791</v>
      </c>
      <c r="B18" s="2197"/>
      <c r="C18" s="58">
        <f>ROUND(C17/SUM(C17:D17),2)</f>
        <v>0.2</v>
      </c>
      <c r="D18" s="58">
        <f>1-C18</f>
        <v>0.8</v>
      </c>
      <c r="E18" s="2187"/>
      <c r="F18" s="2187"/>
      <c r="G18" s="2187"/>
      <c r="H18" s="2187"/>
      <c r="I18" s="2187"/>
    </row>
    <row r="19" spans="1:35" ht="15">
      <c r="A19" s="2198" t="s">
        <v>1792</v>
      </c>
      <c r="B19" s="2199" t="s">
        <v>1793</v>
      </c>
      <c r="C19" s="59">
        <f ca="1">SUMIF(INDIRECT("'"&amp;C4&amp;"'"&amp;"!A:A"),结果表!B19,INDIRECT("'"&amp;C4&amp;"'"&amp;"!B:B"))</f>
        <v>6494436</v>
      </c>
      <c r="D19" s="60">
        <f ca="1">SUMIF(INDIRECT("'"&amp;D4&amp;"'"&amp;"!A:A"),结果表!B19,INDIRECT("'"&amp;D4&amp;"'"&amp;"!B:B"))</f>
        <v>16757014</v>
      </c>
      <c r="E19" s="2198" t="s">
        <v>1794</v>
      </c>
      <c r="F19" s="2199" t="s">
        <v>1793</v>
      </c>
      <c r="G19" s="61">
        <f ca="1">ROUND(C19*$C$18+D19*$D$18,0)</f>
        <v>14704498</v>
      </c>
      <c r="H19" s="2200" t="str">
        <f>'数据-取费表'!B3</f>
        <v>元</v>
      </c>
      <c r="I19" s="2187"/>
    </row>
    <row r="20" spans="1:35" ht="15">
      <c r="A20" s="2201"/>
      <c r="B20" s="2202" t="s">
        <v>1795</v>
      </c>
      <c r="C20" s="62">
        <f ca="1">SUMIF(INDIRECT("'"&amp;C4&amp;"'"&amp;"!A:A"),结果表!B20,INDIRECT("'"&amp;C4&amp;"'"&amp;"!B:B"))</f>
        <v>11317</v>
      </c>
      <c r="D20" s="63">
        <f ca="1">SUMIF(INDIRECT("'"&amp;D4&amp;"'"&amp;"!A:A"),结果表!B20,INDIRECT("'"&amp;D4&amp;"'"&amp;"!B:B"))</f>
        <v>29199</v>
      </c>
      <c r="E20" s="2201"/>
      <c r="F20" s="2202" t="s">
        <v>1795</v>
      </c>
      <c r="G20" s="64">
        <f ca="1">ROUND(C20*$C$18+D20*$D$18,0)</f>
        <v>25623</v>
      </c>
      <c r="H20" s="2203" t="s">
        <v>1796</v>
      </c>
      <c r="I20" s="2187"/>
    </row>
    <row r="21" spans="1:35" ht="15" customHeight="1" thickBot="1">
      <c r="A21" s="2204"/>
      <c r="B21" s="2205"/>
      <c r="C21" s="770"/>
      <c r="D21" s="771"/>
      <c r="E21" s="2204"/>
      <c r="F21" s="2205"/>
      <c r="G21" s="65"/>
      <c r="H21" s="2206"/>
      <c r="I21" s="2187"/>
    </row>
    <row r="22" spans="1:35" ht="15" thickBot="1">
      <c r="A22" s="2207" t="s">
        <v>1797</v>
      </c>
      <c r="B22" s="2208"/>
      <c r="C22" s="2209"/>
      <c r="D22" s="772">
        <f ca="1">IF(C19&lt;D19,D19/C19-1,C19/D19-1)</f>
        <v>1.5802108143031974</v>
      </c>
      <c r="E22" s="2187"/>
      <c r="F22" s="2187"/>
      <c r="G22" s="2187"/>
      <c r="H22" s="2187"/>
      <c r="I22" s="2187"/>
    </row>
    <row r="23" spans="1:35" ht="13.5" thickBot="1">
      <c r="A23" s="2187"/>
      <c r="B23" s="2187"/>
      <c r="C23" s="2187"/>
      <c r="D23" s="2187"/>
      <c r="E23" s="2187"/>
      <c r="F23" s="2187"/>
      <c r="G23" s="2187"/>
      <c r="H23" s="2187"/>
      <c r="I23" s="2187"/>
    </row>
    <row r="24" spans="1:35" ht="21.75" customHeight="1">
      <c r="A24" s="2921" t="s">
        <v>1798</v>
      </c>
      <c r="B24" s="2199" t="s">
        <v>1793</v>
      </c>
      <c r="C24" s="61">
        <f>D30</f>
        <v>0</v>
      </c>
      <c r="D24" s="993"/>
      <c r="E24" s="2187"/>
      <c r="F24" s="2187"/>
      <c r="G24" s="2187"/>
      <c r="H24" s="2187"/>
      <c r="I24" s="2187"/>
    </row>
    <row r="25" spans="1:35" ht="21.75" customHeight="1">
      <c r="A25" s="2922"/>
      <c r="B25" s="2202" t="s">
        <v>1795</v>
      </c>
      <c r="C25" s="66">
        <f>IF(B30=0,0,C30)</f>
        <v>0</v>
      </c>
      <c r="D25" s="2210"/>
      <c r="E25" s="2187"/>
      <c r="F25" s="2187"/>
      <c r="G25" s="2187"/>
      <c r="H25" s="2187"/>
      <c r="I25" s="2187"/>
    </row>
    <row r="26" spans="1:35" ht="13.5" customHeight="1">
      <c r="A26" s="2211" t="s">
        <v>1799</v>
      </c>
      <c r="B26" s="67" t="s">
        <v>1800</v>
      </c>
      <c r="C26" s="67" t="s">
        <v>1801</v>
      </c>
      <c r="D26" s="68" t="s">
        <v>1802</v>
      </c>
      <c r="E26" s="2187"/>
      <c r="F26" s="2187"/>
      <c r="G26" s="2187"/>
      <c r="H26" s="2187"/>
      <c r="I26" s="2187"/>
    </row>
    <row r="27" spans="1:35" ht="14.25">
      <c r="A27" s="2212"/>
      <c r="B27" s="67">
        <v>0</v>
      </c>
      <c r="C27" s="67">
        <v>0</v>
      </c>
      <c r="D27" s="68">
        <f>ROUND(C27*B27/10000,0)</f>
        <v>0</v>
      </c>
      <c r="E27" s="2187"/>
      <c r="F27" s="2187"/>
      <c r="G27" s="2187"/>
      <c r="H27" s="2187"/>
      <c r="I27" s="2187"/>
    </row>
    <row r="28" spans="1:35" ht="14.25">
      <c r="A28" s="2211"/>
      <c r="B28" s="67"/>
      <c r="C28" s="67"/>
      <c r="D28" s="68">
        <f t="shared" ref="D28:D29" si="0">ROUND(C28*B28/10000,0)</f>
        <v>0</v>
      </c>
      <c r="E28" s="2187"/>
      <c r="F28" s="2187"/>
      <c r="G28" s="2187"/>
      <c r="H28" s="2187"/>
      <c r="I28" s="2187"/>
    </row>
    <row r="29" spans="1:35" ht="14.25">
      <c r="A29" s="2211"/>
      <c r="B29" s="67"/>
      <c r="C29" s="67"/>
      <c r="D29" s="68">
        <f t="shared" si="0"/>
        <v>0</v>
      </c>
      <c r="E29" s="2187"/>
      <c r="F29" s="2187"/>
      <c r="G29" s="2187"/>
      <c r="H29" s="2187"/>
      <c r="I29" s="2187"/>
    </row>
    <row r="30" spans="1:35" ht="14.25">
      <c r="A30" s="67" t="s">
        <v>1803</v>
      </c>
      <c r="B30" s="67"/>
      <c r="C30" s="67"/>
      <c r="D30" s="67"/>
      <c r="E30" s="2708" t="s">
        <v>2806</v>
      </c>
      <c r="F30" s="2187"/>
      <c r="G30" s="2187"/>
      <c r="H30" s="2187"/>
      <c r="I30" s="2187"/>
    </row>
    <row r="31" spans="1:35" s="2214" customFormat="1" ht="15" thickBot="1">
      <c r="A31" s="2213"/>
      <c r="B31" s="2213"/>
      <c r="C31" s="2213"/>
      <c r="D31" s="2213"/>
      <c r="E31" s="2187"/>
      <c r="F31" s="2187"/>
      <c r="G31" s="2187"/>
      <c r="H31" s="2187"/>
      <c r="I31" s="2187"/>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75" thickBot="1">
      <c r="A32" s="2215" t="s">
        <v>1804</v>
      </c>
      <c r="B32" s="2216" t="str">
        <f>'数据-取费表'!B4</f>
        <v>总价</v>
      </c>
      <c r="C32" s="1141">
        <f ca="1">IF(B32="总价",G19-C24,G20-C25)</f>
        <v>14704498</v>
      </c>
      <c r="D32" s="2187" t="str">
        <f>IF(B32="楼面单价","元/平方米",H19)</f>
        <v>元</v>
      </c>
      <c r="E32" s="2187"/>
      <c r="F32" s="2187"/>
      <c r="G32" s="2187"/>
      <c r="H32" s="2187"/>
      <c r="I32" s="2187"/>
    </row>
    <row r="33" spans="1:16" ht="15">
      <c r="A33" s="2217" t="s">
        <v>1805</v>
      </c>
      <c r="B33" s="2218"/>
      <c r="C33" s="2219"/>
      <c r="D33" s="2220"/>
      <c r="E33" s="2221" t="s">
        <v>1806</v>
      </c>
      <c r="F33" s="2222" t="str">
        <f>IF(B32="楼面单价","取值（单价）","取值（总价）")</f>
        <v>取值（总价）</v>
      </c>
      <c r="G33" s="2187"/>
      <c r="H33" s="2187"/>
      <c r="I33" s="2187"/>
    </row>
    <row r="34" spans="1:16" ht="15">
      <c r="A34" s="2223"/>
      <c r="B34" s="2224" t="s">
        <v>1807</v>
      </c>
      <c r="C34" s="72">
        <f ca="1">IF(D33="自定义",F34,C32-C35)</f>
        <v>7661043</v>
      </c>
      <c r="D34" s="1087">
        <f ca="1">IF(D33="自定义",ROUND(C34/C32,3),1-D35)</f>
        <v>0.52100000000000002</v>
      </c>
      <c r="E34" s="2225" t="s">
        <v>1808</v>
      </c>
      <c r="F34" s="1824">
        <v>2000</v>
      </c>
      <c r="G34" s="2187"/>
      <c r="H34" s="2187"/>
      <c r="I34" s="2187"/>
    </row>
    <row r="35" spans="1:16" ht="15.75" thickBot="1">
      <c r="A35" s="2226"/>
      <c r="B35" s="2227" t="s">
        <v>1809</v>
      </c>
      <c r="C35" s="73">
        <f ca="1">IF(D33="自定义",F35,ROUND(C32*D35,0))</f>
        <v>7043455</v>
      </c>
      <c r="D35" s="1086">
        <f ca="1">IF(D33="自定义",ROUND(C35/C32,3),IF(D33="成本法成本比率",成本法!C56,IF(D33="收益法收益比率",收益法!J38,收益法!J41)))</f>
        <v>0.47899999999999998</v>
      </c>
      <c r="E35" s="2228" t="s">
        <v>1810</v>
      </c>
      <c r="F35" s="79">
        <v>4460</v>
      </c>
      <c r="G35" s="2187"/>
      <c r="H35" s="2187"/>
      <c r="I35" s="2187"/>
    </row>
    <row r="36" spans="1:16" ht="15.75" thickBot="1">
      <c r="A36" s="2926" t="s">
        <v>1811</v>
      </c>
      <c r="B36" s="2229" t="s">
        <v>1812</v>
      </c>
      <c r="C36" s="69">
        <v>0</v>
      </c>
      <c r="D36" s="2230"/>
      <c r="E36" s="2231"/>
      <c r="F36" s="2231"/>
      <c r="G36" s="2187"/>
      <c r="H36" s="2187"/>
      <c r="I36" s="2187"/>
    </row>
    <row r="37" spans="1:16" ht="15.75" thickBot="1">
      <c r="A37" s="2927"/>
      <c r="B37" s="2232" t="s">
        <v>1813</v>
      </c>
      <c r="C37" s="71">
        <v>0</v>
      </c>
      <c r="D37" s="2197"/>
      <c r="E37" s="2197"/>
      <c r="F37" s="2231"/>
      <c r="G37" s="2197"/>
      <c r="H37" s="2197"/>
      <c r="I37" s="2197"/>
    </row>
    <row r="38" spans="1:16" ht="15.75" thickBot="1">
      <c r="A38" s="2928"/>
      <c r="B38" s="2233" t="s">
        <v>1814</v>
      </c>
      <c r="C38" s="712">
        <v>0</v>
      </c>
      <c r="D38" s="2234" t="s">
        <v>1815</v>
      </c>
      <c r="E38" s="2197"/>
      <c r="F38" s="2231"/>
      <c r="G38" s="2197"/>
      <c r="H38" s="2197"/>
      <c r="I38" s="2197"/>
    </row>
    <row r="39" spans="1:16" ht="15">
      <c r="A39" s="2201" t="s">
        <v>1816</v>
      </c>
      <c r="B39" s="2235" t="s">
        <v>1800</v>
      </c>
      <c r="C39" s="2236" t="s">
        <v>1801</v>
      </c>
      <c r="D39" s="2236" t="s">
        <v>1817</v>
      </c>
      <c r="E39" s="2237" t="s">
        <v>1802</v>
      </c>
      <c r="F39" s="2231"/>
      <c r="G39" s="2197"/>
      <c r="H39" s="2197"/>
      <c r="I39" s="2197"/>
    </row>
    <row r="40" spans="1:16" ht="14.25">
      <c r="A40" s="2238" t="s">
        <v>1818</v>
      </c>
      <c r="B40" s="74"/>
      <c r="C40" s="75"/>
      <c r="D40" s="75"/>
      <c r="E40" s="76"/>
      <c r="F40" s="2231"/>
      <c r="G40" s="2197"/>
      <c r="H40" s="2197"/>
      <c r="I40" s="2197"/>
    </row>
    <row r="41" spans="1:16" ht="14.25">
      <c r="A41" s="2238" t="s">
        <v>1819</v>
      </c>
      <c r="B41" s="74"/>
      <c r="C41" s="75"/>
      <c r="D41" s="75"/>
      <c r="E41" s="76"/>
      <c r="F41" s="2231"/>
      <c r="G41" s="2197"/>
      <c r="H41" s="2197"/>
      <c r="I41" s="2197"/>
    </row>
    <row r="42" spans="1:16" ht="15" thickBot="1">
      <c r="A42" s="2239"/>
      <c r="B42" s="77"/>
      <c r="C42" s="78"/>
      <c r="D42" s="78"/>
      <c r="E42" s="79"/>
      <c r="F42" s="2231"/>
      <c r="G42" s="2197"/>
      <c r="H42" s="2197"/>
      <c r="I42" s="2197"/>
    </row>
    <row r="43" spans="1:16" ht="12.75">
      <c r="A43" s="2240"/>
      <c r="B43" s="2240"/>
      <c r="C43" s="2240"/>
      <c r="D43" s="2240"/>
      <c r="E43" s="2240"/>
      <c r="F43" s="2241"/>
      <c r="G43" s="2241"/>
      <c r="H43" s="2241"/>
      <c r="I43" s="2242"/>
    </row>
    <row r="44" spans="1:16" ht="18.75">
      <c r="A44" s="2243" t="s">
        <v>1820</v>
      </c>
      <c r="B44" s="2244"/>
      <c r="C44" s="2244"/>
      <c r="D44" s="2245"/>
      <c r="E44" s="2245"/>
      <c r="F44" s="2246"/>
      <c r="G44" s="2246"/>
      <c r="H44" s="2246"/>
      <c r="I44" s="2246"/>
      <c r="J44" s="2247" t="s">
        <v>1821</v>
      </c>
      <c r="K44" s="2248"/>
      <c r="L44" s="2248"/>
      <c r="M44" s="2248"/>
      <c r="N44" s="2248"/>
      <c r="O44" s="2248"/>
      <c r="P44" s="1841"/>
    </row>
    <row r="45" spans="1:16" ht="14.25" customHeight="1" thickBot="1">
      <c r="A45" s="2931" t="s">
        <v>1822</v>
      </c>
      <c r="B45" s="2932"/>
      <c r="C45" s="2933"/>
      <c r="D45" s="80">
        <f ca="1">ROUND(I102*F45,0)</f>
        <v>14704498</v>
      </c>
      <c r="E45" s="81" t="s">
        <v>1823</v>
      </c>
      <c r="F45" s="82">
        <v>1</v>
      </c>
      <c r="G45" s="83" t="s">
        <v>1824</v>
      </c>
      <c r="H45" s="2187"/>
      <c r="I45" s="2187"/>
      <c r="J45" s="2843" t="s">
        <v>1825</v>
      </c>
      <c r="K45" s="2843"/>
      <c r="L45" s="2843"/>
      <c r="M45" s="2843"/>
      <c r="N45" s="2843"/>
      <c r="O45" s="2843"/>
      <c r="P45" s="1841"/>
    </row>
    <row r="46" spans="1:16" ht="14.25" customHeight="1">
      <c r="A46" s="2923" t="s">
        <v>1826</v>
      </c>
      <c r="B46" s="2924"/>
      <c r="C46" s="2924"/>
      <c r="D46" s="2924"/>
      <c r="E46" s="2924"/>
      <c r="F46" s="2924"/>
      <c r="G46" s="2925"/>
      <c r="H46" s="2249"/>
      <c r="I46" s="1140"/>
      <c r="J46" s="1879">
        <v>1</v>
      </c>
      <c r="K46" s="2843" t="s">
        <v>1827</v>
      </c>
      <c r="L46" s="2843"/>
      <c r="M46" s="2844" t="str">
        <f>项目基本情况!B1</f>
        <v>北京市房地产抵押价值预评估</v>
      </c>
      <c r="N46" s="2844"/>
      <c r="O46" s="2844"/>
      <c r="P46" s="1841"/>
    </row>
    <row r="47" spans="1:16" ht="12" customHeight="1">
      <c r="A47" s="85" t="s">
        <v>1828</v>
      </c>
      <c r="B47" s="86"/>
      <c r="C47" s="87"/>
      <c r="D47" s="88" t="s">
        <v>1829</v>
      </c>
      <c r="E47" s="14" t="s">
        <v>1830</v>
      </c>
      <c r="F47" s="89" t="s">
        <v>1831</v>
      </c>
      <c r="G47" s="90" t="s">
        <v>1832</v>
      </c>
      <c r="H47" s="2249"/>
      <c r="I47" s="1140"/>
      <c r="J47" s="1879">
        <v>2</v>
      </c>
      <c r="K47" s="2843" t="s">
        <v>1833</v>
      </c>
      <c r="L47" s="2843"/>
      <c r="M47" s="2845">
        <f>'数据-取费表'!B2</f>
        <v>43257</v>
      </c>
      <c r="N47" s="2845"/>
      <c r="O47" s="2845"/>
      <c r="P47" s="1841"/>
    </row>
    <row r="48" spans="1:16" ht="25.5">
      <c r="A48" s="2929" t="s">
        <v>1834</v>
      </c>
      <c r="B48" s="2930"/>
      <c r="C48" s="2930"/>
      <c r="D48" s="56">
        <f ca="1">IF(H48="情况1",0,IF(H48="情况2",D52,IF(H48="情况3",D53,IF(H48="情况4",D54))))</f>
        <v>770236</v>
      </c>
      <c r="E48" s="1889" t="str">
        <f>IF(H48="情况4","(销售额-原购置价)×税（费）率","销售额×税（费）率")</f>
        <v>销售额×税（费）率</v>
      </c>
      <c r="F48" s="91">
        <f>IF(H48="情况1","免征",'数据-取费表'!E29)</f>
        <v>5.5000000000000007E-2</v>
      </c>
      <c r="G48" s="2250" t="s">
        <v>1835</v>
      </c>
      <c r="H48" s="2251" t="s">
        <v>1836</v>
      </c>
      <c r="I48" s="2249"/>
      <c r="J48" s="1879">
        <v>3</v>
      </c>
      <c r="K48" s="2843" t="s">
        <v>1837</v>
      </c>
      <c r="L48" s="2843"/>
      <c r="M48" s="2844">
        <f ca="1">I102</f>
        <v>14704498</v>
      </c>
      <c r="N48" s="2844"/>
      <c r="O48" s="2844"/>
      <c r="P48" s="1841"/>
    </row>
    <row r="49" spans="1:16" ht="25.5" customHeight="1">
      <c r="A49" s="92" t="s">
        <v>1838</v>
      </c>
      <c r="B49" s="2910" t="s">
        <v>1839</v>
      </c>
      <c r="C49" s="2910"/>
      <c r="D49" s="93">
        <v>0</v>
      </c>
      <c r="E49" s="13" t="s">
        <v>1840</v>
      </c>
      <c r="F49" s="18" t="s">
        <v>48</v>
      </c>
      <c r="G49" s="2834"/>
      <c r="H49" s="2187"/>
      <c r="I49" s="2252"/>
      <c r="J49" s="1879">
        <v>4</v>
      </c>
      <c r="K49" s="2843" t="str">
        <f>IF(项目基本情况!F5="房地产抵押价值","房地产抵押价值","抵押担保权已注销时的房地产抵押价值")</f>
        <v>房地产抵押价值</v>
      </c>
      <c r="L49" s="2843"/>
      <c r="M49" s="2844">
        <f ca="1">IF(项目基本情况!F5="房地产抵押价值",I110,I112)</f>
        <v>14704498</v>
      </c>
      <c r="N49" s="2844"/>
      <c r="O49" s="2844"/>
      <c r="P49" s="1841"/>
    </row>
    <row r="50" spans="1:16" ht="25.5" customHeight="1">
      <c r="A50" s="94"/>
      <c r="B50" s="2910" t="s">
        <v>1841</v>
      </c>
      <c r="C50" s="2910"/>
      <c r="D50" s="95"/>
      <c r="E50" s="21"/>
      <c r="F50" s="96"/>
      <c r="G50" s="2835"/>
      <c r="H50" s="2187"/>
      <c r="I50" s="2252"/>
      <c r="J50" s="2843" t="s">
        <v>1842</v>
      </c>
      <c r="K50" s="2843"/>
      <c r="L50" s="2843"/>
      <c r="M50" s="2843"/>
      <c r="N50" s="2843"/>
      <c r="O50" s="2843"/>
      <c r="P50" s="1841"/>
    </row>
    <row r="51" spans="1:16" ht="12" customHeight="1">
      <c r="A51" s="97"/>
      <c r="B51" s="2910" t="s">
        <v>1843</v>
      </c>
      <c r="C51" s="2910"/>
      <c r="D51" s="98"/>
      <c r="E51" s="20"/>
      <c r="F51" s="96"/>
      <c r="G51" s="2836"/>
      <c r="H51" s="2187"/>
      <c r="I51" s="2252"/>
      <c r="J51" s="2253" t="s">
        <v>1844</v>
      </c>
      <c r="K51" s="2843" t="s">
        <v>1845</v>
      </c>
      <c r="L51" s="2843"/>
      <c r="M51" s="2253" t="s">
        <v>1846</v>
      </c>
      <c r="N51" s="2253" t="s">
        <v>1847</v>
      </c>
      <c r="O51" s="2253" t="s">
        <v>1848</v>
      </c>
      <c r="P51" s="1841"/>
    </row>
    <row r="52" spans="1:16" ht="24" customHeight="1">
      <c r="A52" s="99" t="s">
        <v>1849</v>
      </c>
      <c r="B52" s="2910" t="s">
        <v>1850</v>
      </c>
      <c r="C52" s="2910"/>
      <c r="D52" s="98">
        <f ca="1">ROUND(D45*'数据-取费表'!E29/(1+'数据-取费表'!F30),0)</f>
        <v>770236</v>
      </c>
      <c r="E52" s="10" t="s">
        <v>1851</v>
      </c>
      <c r="F52" s="100">
        <f>'数据-取费表'!E29</f>
        <v>5.5000000000000007E-2</v>
      </c>
      <c r="G52" s="2254"/>
      <c r="H52" s="2187"/>
      <c r="I52" s="2252"/>
      <c r="J52" s="1879">
        <v>1</v>
      </c>
      <c r="K52" s="2833" t="s">
        <v>1852</v>
      </c>
      <c r="L52" s="2833"/>
      <c r="M52" s="778">
        <f ca="1">D48</f>
        <v>770236</v>
      </c>
      <c r="N52" s="1879" t="str">
        <f>E48</f>
        <v>销售额×税（费）率</v>
      </c>
      <c r="O52" s="779">
        <f>F48</f>
        <v>5.5000000000000007E-2</v>
      </c>
      <c r="P52" s="1841"/>
    </row>
    <row r="53" spans="1:16" ht="12" customHeight="1">
      <c r="A53" s="99" t="s">
        <v>1853</v>
      </c>
      <c r="B53" s="2909" t="s">
        <v>1854</v>
      </c>
      <c r="C53" s="2803"/>
      <c r="D53" s="98">
        <f ca="1">ROUND(D45*'数据-取费表'!E29/(1+'数据-取费表'!F30),0)</f>
        <v>770236</v>
      </c>
      <c r="E53" s="10" t="s">
        <v>1851</v>
      </c>
      <c r="F53" s="100">
        <f>'数据-取费表'!E29</f>
        <v>5.5000000000000007E-2</v>
      </c>
      <c r="G53" s="2254"/>
      <c r="H53" s="2187"/>
      <c r="I53" s="2252"/>
      <c r="J53" s="1879">
        <v>2</v>
      </c>
      <c r="K53" s="2833" t="s">
        <v>1855</v>
      </c>
      <c r="L53" s="2833"/>
      <c r="M53" s="778">
        <f t="shared" ref="M53:O54" ca="1" si="1">D55</f>
        <v>7352</v>
      </c>
      <c r="N53" s="1879" t="str">
        <f t="shared" si="1"/>
        <v>销售额×税（费）率</v>
      </c>
      <c r="O53" s="779">
        <f t="shared" si="1"/>
        <v>5.0000000000000001E-4</v>
      </c>
      <c r="P53" s="1841"/>
    </row>
    <row r="54" spans="1:16" ht="12" customHeight="1">
      <c r="A54" s="99" t="s">
        <v>1856</v>
      </c>
      <c r="B54" s="2909" t="s">
        <v>1857</v>
      </c>
      <c r="C54" s="2803"/>
      <c r="D54" s="98">
        <f ca="1">C68</f>
        <v>770236</v>
      </c>
      <c r="E54" s="20" t="s">
        <v>1858</v>
      </c>
      <c r="F54" s="100">
        <f>'数据-取费表'!E29</f>
        <v>5.5000000000000007E-2</v>
      </c>
      <c r="G54" s="2254"/>
      <c r="H54" s="2255"/>
      <c r="I54" s="2252"/>
      <c r="J54" s="1879">
        <v>3</v>
      </c>
      <c r="K54" s="2833" t="s">
        <v>1859</v>
      </c>
      <c r="L54" s="2833"/>
      <c r="M54" s="778">
        <f t="shared" ca="1" si="1"/>
        <v>8336050</v>
      </c>
      <c r="N54" s="1879" t="str">
        <f t="shared" si="1"/>
        <v>增值额×税（费）率</v>
      </c>
      <c r="O54" s="780" t="str">
        <f t="shared" si="1"/>
        <v>——</v>
      </c>
      <c r="P54" s="1841"/>
    </row>
    <row r="55" spans="1:16" ht="24" customHeight="1">
      <c r="A55" s="2795" t="s">
        <v>1860</v>
      </c>
      <c r="B55" s="2930"/>
      <c r="C55" s="2930"/>
      <c r="D55" s="101">
        <f ca="1">IF(H55="个人住宅",0,ROUND(D45*I55,0))</f>
        <v>7352</v>
      </c>
      <c r="E55" s="10" t="s">
        <v>1861</v>
      </c>
      <c r="F55" s="100">
        <f>IF(H55="正常",I55,"免征")</f>
        <v>5.0000000000000001E-4</v>
      </c>
      <c r="G55" s="2254"/>
      <c r="H55" s="2251" t="s">
        <v>1862</v>
      </c>
      <c r="I55" s="102">
        <f>'数据-取费表'!E37</f>
        <v>5.0000000000000001E-4</v>
      </c>
      <c r="J55" s="1879">
        <f>IF(H59="非个人房产","",4)</f>
        <v>4</v>
      </c>
      <c r="K55" s="2833" t="str">
        <f>IF(H59="非个人房产","——","个人所得税")</f>
        <v>个人所得税</v>
      </c>
      <c r="L55" s="2833"/>
      <c r="M55" s="781">
        <f ca="1">D59</f>
        <v>147045</v>
      </c>
      <c r="N55" s="1882" t="str">
        <f>E59</f>
        <v>销售额×税（费）率</v>
      </c>
      <c r="O55" s="782">
        <f>F59</f>
        <v>0.01</v>
      </c>
      <c r="P55" s="1841"/>
    </row>
    <row r="56" spans="1:16" ht="24.75">
      <c r="A56" s="2795" t="s">
        <v>1863</v>
      </c>
      <c r="B56" s="2930"/>
      <c r="C56" s="2930"/>
      <c r="D56" s="101">
        <f ca="1">IF(H56="个人住宅",D57,D58)</f>
        <v>8336050</v>
      </c>
      <c r="E56" s="10" t="s">
        <v>1864</v>
      </c>
      <c r="F56" s="100" t="str">
        <f>IF(H56="正常",F58,"免征")</f>
        <v>——</v>
      </c>
      <c r="G56" s="2256" t="s">
        <v>1865</v>
      </c>
      <c r="H56" s="2257" t="s">
        <v>1862</v>
      </c>
      <c r="I56" s="1018"/>
      <c r="J56" s="1879" t="str">
        <f>IF(项目基本情况!I6="上海银行",IF(J55="",4,J55+1),"")</f>
        <v/>
      </c>
      <c r="K56" s="2850" t="str">
        <f>IF(项目基本情况!I6="上海银行","其他处置费用","")</f>
        <v/>
      </c>
      <c r="L56" s="2851"/>
      <c r="M56" s="778" t="str">
        <f>IF(项目基本情况!I6="上海银行",M69,"")</f>
        <v/>
      </c>
      <c r="N56" s="2831" t="str">
        <f>IF(项目基本情况!I6="上海银行","包含处置中涉及的律师、诉讼、拍卖、评估等费用","")</f>
        <v/>
      </c>
      <c r="O56" s="2832"/>
      <c r="P56" s="1841"/>
    </row>
    <row r="57" spans="1:16" ht="12.75">
      <c r="A57" s="99" t="s">
        <v>1838</v>
      </c>
      <c r="B57" s="2918" t="s">
        <v>1866</v>
      </c>
      <c r="C57" s="2920"/>
      <c r="D57" s="103">
        <v>0</v>
      </c>
      <c r="E57" s="13" t="s">
        <v>1840</v>
      </c>
      <c r="F57" s="70"/>
      <c r="G57" s="2254"/>
      <c r="H57" s="1018"/>
      <c r="I57" s="1018"/>
      <c r="J57" s="2833">
        <f>IF(AND(J55="",J56=""),4,IF(项目基本情况!I6="上海银行",J56+1,J55+1))</f>
        <v>5</v>
      </c>
      <c r="K57" s="2833" t="s">
        <v>1867</v>
      </c>
      <c r="L57" s="2258" t="s">
        <v>1868</v>
      </c>
      <c r="M57" s="783"/>
      <c r="N57" s="784">
        <f ca="1">SUMIF(M52:M56,"&lt;9e307")</f>
        <v>9260683</v>
      </c>
      <c r="O57" s="2259"/>
      <c r="P57" s="1837">
        <f ca="1">N57/M49</f>
        <v>0.62978572950943312</v>
      </c>
    </row>
    <row r="58" spans="1:16" ht="24.75">
      <c r="A58" s="99" t="s">
        <v>1849</v>
      </c>
      <c r="B58" s="2918" t="s">
        <v>1869</v>
      </c>
      <c r="C58" s="2919"/>
      <c r="D58" s="101">
        <f ca="1">IF(H58="转让取得",C81,C97)</f>
        <v>8336050</v>
      </c>
      <c r="E58" s="10" t="s">
        <v>1864</v>
      </c>
      <c r="F58" s="14" t="s">
        <v>48</v>
      </c>
      <c r="G58" s="2254"/>
      <c r="H58" s="2257" t="s">
        <v>1870</v>
      </c>
      <c r="I58" s="1018"/>
      <c r="J58" s="2833"/>
      <c r="K58" s="2833"/>
      <c r="L58" s="2258" t="s">
        <v>1871</v>
      </c>
      <c r="M58" s="785"/>
      <c r="N58" s="2260" t="str">
        <f ca="1">IF(H19="元",NUMBERSTRING(INT(N57),2)&amp;"元整",NUMBERSTRING(INT(N57*10000),2)&amp;"元整")</f>
        <v>玖佰贰拾陆万零陆佰捌拾叁元整</v>
      </c>
      <c r="O58" s="2261"/>
      <c r="P58" s="1841"/>
    </row>
    <row r="59" spans="1:16" ht="26.25" thickBot="1">
      <c r="A59" s="2796" t="s">
        <v>1872</v>
      </c>
      <c r="B59" s="2799"/>
      <c r="C59" s="2799"/>
      <c r="D59" s="104">
        <f ca="1">IF(H59="非个人房产","——",IF(H59="个人住宅",0,ROUND(D45*I59,0)))</f>
        <v>147045</v>
      </c>
      <c r="E59" s="105" t="str">
        <f>IF(H59="非个人房产","——","销售额×税（费）率")</f>
        <v>销售额×税（费）率</v>
      </c>
      <c r="F59" s="106">
        <f>IF(H59="非个人房产","——",IF(H59="个人住宅","免征",I59))</f>
        <v>0.01</v>
      </c>
      <c r="G59" s="2262" t="s">
        <v>1865</v>
      </c>
      <c r="H59" s="2257" t="s">
        <v>1873</v>
      </c>
      <c r="I59" s="107">
        <v>0.01</v>
      </c>
      <c r="J59" s="2887">
        <f>J57+1</f>
        <v>6</v>
      </c>
      <c r="K59" s="2833" t="s">
        <v>1874</v>
      </c>
      <c r="L59" s="1879" t="s">
        <v>1868</v>
      </c>
      <c r="M59" s="786"/>
      <c r="N59" s="787">
        <f ca="1">M49-N57</f>
        <v>5443815</v>
      </c>
      <c r="O59" s="2263"/>
      <c r="P59" s="1841"/>
    </row>
    <row r="60" spans="1:16" ht="12" customHeight="1">
      <c r="A60" s="2063"/>
      <c r="B60" s="2187"/>
      <c r="C60" s="2187"/>
      <c r="D60" s="2187"/>
      <c r="E60" s="1018"/>
      <c r="F60" s="1018"/>
      <c r="G60" s="1018"/>
      <c r="H60" s="2240"/>
      <c r="I60" s="2187"/>
      <c r="J60" s="2888"/>
      <c r="K60" s="2833"/>
      <c r="L60" s="2258" t="s">
        <v>1871</v>
      </c>
      <c r="M60" s="785"/>
      <c r="N60" s="2260" t="str">
        <f ca="1">IF(H19="元",NUMBERSTRING(INT(N59),2)&amp;"元整",NUMBERSTRING(INT(N59*10000),2)&amp;"元整")</f>
        <v>伍佰肆拾肆万叁仟捌佰壹拾伍元整</v>
      </c>
      <c r="O60" s="2261"/>
      <c r="P60" s="1841"/>
    </row>
    <row r="61" spans="1:16" ht="13.5" thickBot="1">
      <c r="A61" s="2934" t="s">
        <v>1875</v>
      </c>
      <c r="B61" s="2934"/>
      <c r="C61" s="2934"/>
      <c r="D61" s="2934"/>
      <c r="E61" s="2934"/>
      <c r="F61" s="1018"/>
      <c r="G61" s="1018"/>
      <c r="H61" s="2240"/>
      <c r="I61" s="2187"/>
      <c r="J61" s="1879">
        <f>J59+1</f>
        <v>7</v>
      </c>
      <c r="K61" s="2833" t="s">
        <v>1876</v>
      </c>
      <c r="L61" s="2833"/>
      <c r="M61" s="788"/>
      <c r="N61" s="789">
        <f ca="1">IF(H19="元",ROUND(N59/项目基本情况!C12,0),ROUND(N59*10000/项目基本情况!C12,0))</f>
        <v>9486</v>
      </c>
      <c r="O61" s="2264"/>
      <c r="P61" s="1841"/>
    </row>
    <row r="62" spans="1:16" ht="12.75">
      <c r="A62" s="2871" t="s">
        <v>1877</v>
      </c>
      <c r="B62" s="2872"/>
      <c r="C62" s="1881"/>
      <c r="D62" s="1881" t="s">
        <v>1878</v>
      </c>
      <c r="E62" s="108" t="s">
        <v>1879</v>
      </c>
      <c r="F62" s="1018"/>
      <c r="G62" s="1018"/>
      <c r="H62" s="2240"/>
      <c r="I62" s="2187"/>
      <c r="J62" s="1841"/>
      <c r="K62" s="1841"/>
      <c r="L62" s="1841"/>
      <c r="M62" s="1841"/>
      <c r="N62" s="1841"/>
      <c r="O62" s="1841"/>
      <c r="P62" s="1841"/>
    </row>
    <row r="63" spans="1:16" ht="12.75">
      <c r="A63" s="109">
        <v>1</v>
      </c>
      <c r="B63" s="110" t="s">
        <v>1880</v>
      </c>
      <c r="C63" s="111">
        <f ca="1">ROUND((C64+C65)/(1+'数据-取费表'!F30),0)</f>
        <v>14004284</v>
      </c>
      <c r="D63" s="112"/>
      <c r="E63" s="113"/>
      <c r="F63" s="1018"/>
      <c r="G63" s="1018"/>
      <c r="H63" s="2240"/>
      <c r="I63" s="2187"/>
      <c r="J63" s="2852" t="s">
        <v>1881</v>
      </c>
      <c r="K63" s="2265" t="s">
        <v>1882</v>
      </c>
      <c r="L63" s="1840">
        <f ca="1">IF(M49&gt;10000,M49*0.5%,IF(AND(M49&gt;1000,M49&lt;=10000),M49*1%,IF(AND(M49&gt;100,M49&lt;=1000),M49*3%,IF(AND(M49&gt;10,M49&lt;=100),M49*5%,M49*8%))))</f>
        <v>73522.490000000005</v>
      </c>
      <c r="M63" s="14">
        <f ca="1">ROUND(L63,1)</f>
        <v>73522.5</v>
      </c>
      <c r="N63" s="1841"/>
      <c r="O63" s="1841"/>
      <c r="P63" s="1841"/>
    </row>
    <row r="64" spans="1:16" ht="12.75">
      <c r="A64" s="114" t="s">
        <v>71</v>
      </c>
      <c r="B64" s="115" t="s">
        <v>1883</v>
      </c>
      <c r="C64" s="116">
        <f ca="1">D45</f>
        <v>14704498</v>
      </c>
      <c r="D64" s="117" t="s">
        <v>41</v>
      </c>
      <c r="E64" s="118"/>
      <c r="F64" s="1018"/>
      <c r="G64" s="1018"/>
      <c r="H64" s="2240"/>
      <c r="I64" s="2187"/>
      <c r="J64" s="2852"/>
      <c r="K64" s="2265" t="s">
        <v>1884</v>
      </c>
      <c r="L64" s="1840">
        <f ca="1">IF(M49&gt;2000,M49*0.5%,IF(AND(M49&gt;1000,M49&lt;=2000),M49*0.6%,IF(AND(M49&gt;500,M49&lt;=1000),M49*0.7%,IF(AND(M49&gt;200,M49&lt;=500),M49*0.8%,IF(AND(M49&gt;100,M49&lt;=200),M49*0.9%,IF(AND(M49&gt;50,M49&lt;=100),M49*1%,IF(AND(M49&gt;20,M49&lt;=50),M49*1.5%,IF(AND(M49&gt;10,M49&lt;=20),M49*2%,IF(AND(M49&gt;1,M49&lt;=10),M49*2.5%)))))))))</f>
        <v>73522.490000000005</v>
      </c>
      <c r="M64" s="14">
        <f t="shared" ref="M64:M65" ca="1" si="2">ROUND(L64,1)</f>
        <v>73522.5</v>
      </c>
      <c r="N64" s="1841" t="s">
        <v>1885</v>
      </c>
      <c r="O64" s="1841"/>
      <c r="P64" s="1841"/>
    </row>
    <row r="65" spans="1:35" ht="12.75">
      <c r="A65" s="114" t="s">
        <v>72</v>
      </c>
      <c r="B65" s="115" t="s">
        <v>1886</v>
      </c>
      <c r="C65" s="119"/>
      <c r="D65" s="117"/>
      <c r="E65" s="118"/>
      <c r="F65" s="1018"/>
      <c r="G65" s="1018"/>
      <c r="H65" s="2240"/>
      <c r="I65" s="2187"/>
      <c r="J65" s="2852"/>
      <c r="K65" s="2265" t="s">
        <v>1887</v>
      </c>
      <c r="L65" s="1840">
        <f ca="1">IF(M49&gt;1000,M49*0.1%,IF(AND(M49&gt;500,M49&lt;=1000),M49*0.5%,IF(AND(M49&gt;50,M49&lt;=500),M49*1%,IF(AND(M49&gt;1,M49&lt;=50),M49*1.5%))))</f>
        <v>14704.498</v>
      </c>
      <c r="M65" s="14">
        <f t="shared" ca="1" si="2"/>
        <v>14704.5</v>
      </c>
      <c r="N65" s="1841" t="s">
        <v>1885</v>
      </c>
      <c r="O65" s="1841"/>
      <c r="P65" s="1841"/>
    </row>
    <row r="66" spans="1:35" ht="12.75">
      <c r="A66" s="120" t="s">
        <v>47</v>
      </c>
      <c r="B66" s="121" t="s">
        <v>1888</v>
      </c>
      <c r="C66" s="122"/>
      <c r="D66" s="123" t="s">
        <v>41</v>
      </c>
      <c r="E66" s="1857" t="s">
        <v>1889</v>
      </c>
      <c r="F66" s="1018"/>
      <c r="G66" s="1018"/>
      <c r="H66" s="2240"/>
      <c r="I66" s="2187"/>
      <c r="J66" s="2852"/>
      <c r="K66" s="2265" t="s">
        <v>1890</v>
      </c>
      <c r="L66" s="1840">
        <f ca="1">M49*0.5%</f>
        <v>73522.490000000005</v>
      </c>
      <c r="M66" s="14">
        <f ca="1">IF(L66&gt;0.5,0.5,ROUND(L66,0))</f>
        <v>0.5</v>
      </c>
      <c r="N66" s="1841" t="s">
        <v>1891</v>
      </c>
      <c r="O66" s="1841"/>
      <c r="P66" s="1841"/>
    </row>
    <row r="67" spans="1:35" ht="12.75">
      <c r="A67" s="120" t="s">
        <v>42</v>
      </c>
      <c r="B67" s="121" t="s">
        <v>1892</v>
      </c>
      <c r="C67" s="124">
        <f ca="1">C63-C66</f>
        <v>14004284</v>
      </c>
      <c r="D67" s="117" t="s">
        <v>41</v>
      </c>
      <c r="E67" s="118"/>
      <c r="F67" s="1018"/>
      <c r="G67" s="1018"/>
      <c r="H67" s="2240"/>
      <c r="I67" s="2187"/>
      <c r="J67" s="2852"/>
      <c r="K67" s="2265" t="s">
        <v>1893</v>
      </c>
      <c r="L67" s="1840">
        <f ca="1">IF(M49&gt;=10000,(8.25+(M49-10000)*0.01%),IF(AND(M49&gt;=8000,M49&lt;10000),(7.85+(M49-8000)*0.02%),IF(AND(M49&gt;=5000,M49&lt;8000),(6.65+(M49-5000)*0.04%),IF(AND(M49&gt;=2000,M49&lt;5000),(4.25+(PM49-2000)*0.08%),IF(AND(M49&gt;=1000,M49&lt;2000),(2.75+(M49-1000)*0.15%),IF(AND(M49&gt;=100,M49&lt;1000),(0.5+(M49-100)*0.25%),IF(AND(M49&gt;0,M49&lt;100),M49*0.5%)))))))</f>
        <v>1477.6998000000001</v>
      </c>
      <c r="M67" s="14">
        <f ca="1">ROUND(L67*0.9,1)</f>
        <v>1329.9</v>
      </c>
      <c r="N67" s="1841"/>
      <c r="O67" s="1841"/>
      <c r="P67" s="1841"/>
    </row>
    <row r="68" spans="1:35" ht="13.5" thickBot="1">
      <c r="A68" s="125" t="s">
        <v>46</v>
      </c>
      <c r="B68" s="126" t="s">
        <v>1894</v>
      </c>
      <c r="C68" s="127">
        <f ca="1">IF(C67&lt;=0,0,ROUND(C67*D68,0))</f>
        <v>770236</v>
      </c>
      <c r="D68" s="128">
        <f>'数据-取费表'!E29</f>
        <v>5.5000000000000007E-2</v>
      </c>
      <c r="E68" s="129"/>
      <c r="F68" s="1018"/>
      <c r="G68" s="1018"/>
      <c r="H68" s="2240"/>
      <c r="I68" s="2187"/>
      <c r="J68" s="2852"/>
      <c r="K68" s="2265" t="s">
        <v>1895</v>
      </c>
      <c r="L68" s="1840">
        <f ca="1">IF(M49&gt;10000,M49*0.5%,IF(AND(M49&gt;5000,M49&lt;=10000),M49*1%,IF(AND(M49&gt;1000,M49&lt;=5000),M49*2%,IF(AND(M49&gt;200,M49&lt;=1000),M49*3%,M49*5%))))</f>
        <v>73522.490000000005</v>
      </c>
      <c r="M68" s="14">
        <f ca="1">ROUND(L68,1)</f>
        <v>73522.5</v>
      </c>
      <c r="N68" s="1841"/>
      <c r="O68" s="1841"/>
      <c r="P68" s="1841"/>
    </row>
    <row r="69" spans="1:35" s="2214" customFormat="1" ht="7.5" customHeight="1">
      <c r="A69" s="2266"/>
      <c r="B69" s="2267"/>
      <c r="C69" s="2268"/>
      <c r="D69" s="2269"/>
      <c r="E69" s="2270"/>
      <c r="F69" s="1018"/>
      <c r="G69" s="1018"/>
      <c r="H69" s="2240"/>
      <c r="I69" s="2187"/>
      <c r="J69" s="2852"/>
      <c r="K69" s="2265" t="s">
        <v>1896</v>
      </c>
      <c r="L69" s="2271"/>
      <c r="M69" s="14">
        <f ca="1">ROUND(SUM(M63:M68),0)</f>
        <v>236602</v>
      </c>
      <c r="N69" s="1837">
        <f ca="1">M69/M49</f>
        <v>1.6090450690666218E-2</v>
      </c>
      <c r="O69" s="1841"/>
      <c r="P69" s="1841"/>
      <c r="Q69" s="798"/>
      <c r="R69" s="798"/>
      <c r="S69" s="798"/>
      <c r="T69" s="798"/>
      <c r="U69" s="798"/>
      <c r="V69" s="798"/>
      <c r="W69" s="798"/>
      <c r="X69" s="798"/>
      <c r="Y69" s="798"/>
      <c r="Z69" s="798"/>
      <c r="AA69" s="1841"/>
      <c r="AB69" s="1841"/>
      <c r="AC69" s="1841"/>
      <c r="AD69" s="1841"/>
      <c r="AE69" s="1841"/>
      <c r="AF69" s="1841"/>
      <c r="AG69" s="1841"/>
      <c r="AH69" s="1841"/>
      <c r="AI69" s="1841"/>
    </row>
    <row r="70" spans="1:35" s="2273" customFormat="1" ht="15" thickBot="1">
      <c r="A70" s="2873" t="s">
        <v>1897</v>
      </c>
      <c r="B70" s="2874"/>
      <c r="C70" s="2874"/>
      <c r="D70" s="2874"/>
      <c r="E70" s="2874"/>
      <c r="F70" s="2874"/>
      <c r="G70" s="2874"/>
      <c r="H70" s="2874"/>
      <c r="I70" s="2272"/>
      <c r="O70" s="1282"/>
      <c r="P70" s="1282"/>
      <c r="Q70" s="1282"/>
      <c r="R70" s="1282"/>
      <c r="S70" s="1282"/>
      <c r="T70" s="1282"/>
      <c r="U70" s="1282"/>
      <c r="V70" s="1282"/>
      <c r="W70" s="1282"/>
      <c r="X70" s="1282"/>
      <c r="Y70" s="1282"/>
      <c r="Z70" s="1282"/>
      <c r="AA70" s="2274"/>
      <c r="AB70" s="2274"/>
      <c r="AC70" s="2274"/>
      <c r="AD70" s="2274"/>
      <c r="AE70" s="2274"/>
      <c r="AF70" s="2274"/>
      <c r="AG70" s="2274"/>
      <c r="AH70" s="2274"/>
      <c r="AI70" s="2274"/>
    </row>
    <row r="71" spans="1:35" s="2273" customFormat="1" ht="14.25">
      <c r="A71" s="2871" t="s">
        <v>1877</v>
      </c>
      <c r="B71" s="2872"/>
      <c r="C71" s="1881"/>
      <c r="D71" s="1881" t="s">
        <v>1878</v>
      </c>
      <c r="E71" s="130" t="s">
        <v>1879</v>
      </c>
      <c r="F71" s="131"/>
      <c r="G71" s="131"/>
      <c r="H71" s="132"/>
      <c r="I71" s="2275"/>
      <c r="O71" s="1282"/>
      <c r="P71" s="1282"/>
      <c r="Q71" s="1282"/>
      <c r="R71" s="1282"/>
      <c r="S71" s="1282"/>
      <c r="T71" s="1282"/>
      <c r="U71" s="1282"/>
      <c r="V71" s="1282"/>
      <c r="W71" s="1282"/>
      <c r="X71" s="1282"/>
      <c r="Y71" s="1282"/>
      <c r="Z71" s="1282"/>
      <c r="AA71" s="2274"/>
      <c r="AB71" s="2274"/>
      <c r="AC71" s="2274"/>
      <c r="AD71" s="2274"/>
      <c r="AE71" s="2274"/>
      <c r="AF71" s="2274"/>
      <c r="AG71" s="2274"/>
      <c r="AH71" s="2274"/>
      <c r="AI71" s="2274"/>
    </row>
    <row r="72" spans="1:35" s="2273" customFormat="1" ht="14.25">
      <c r="A72" s="133">
        <v>1</v>
      </c>
      <c r="B72" s="121" t="s">
        <v>1898</v>
      </c>
      <c r="C72" s="124">
        <f ca="1">ROUND(D45/(1+'数据-取费表'!F30),0)</f>
        <v>14004284</v>
      </c>
      <c r="D72" s="117" t="s">
        <v>41</v>
      </c>
      <c r="E72" s="12" t="s">
        <v>1899</v>
      </c>
      <c r="F72" s="1885"/>
      <c r="G72" s="1885"/>
      <c r="H72" s="134"/>
      <c r="I72" s="2275"/>
      <c r="O72" s="1282"/>
      <c r="P72" s="1282"/>
      <c r="Q72" s="1282"/>
      <c r="R72" s="1282"/>
      <c r="S72" s="1282"/>
      <c r="T72" s="1282"/>
      <c r="U72" s="1282"/>
      <c r="V72" s="1282"/>
      <c r="W72" s="1282"/>
      <c r="X72" s="1282"/>
      <c r="Y72" s="1282"/>
      <c r="Z72" s="1282"/>
      <c r="AA72" s="2274"/>
      <c r="AB72" s="2274"/>
      <c r="AC72" s="2274"/>
      <c r="AD72" s="2274"/>
      <c r="AE72" s="2274"/>
      <c r="AF72" s="2274"/>
      <c r="AG72" s="2274"/>
      <c r="AH72" s="2274"/>
      <c r="AI72" s="2274"/>
    </row>
    <row r="73" spans="1:35" s="2273" customFormat="1" ht="14.25">
      <c r="A73" s="135">
        <v>2</v>
      </c>
      <c r="B73" s="89" t="s">
        <v>1900</v>
      </c>
      <c r="C73" s="124">
        <f ca="1">C74+C78</f>
        <v>70021</v>
      </c>
      <c r="D73" s="117" t="s">
        <v>41</v>
      </c>
      <c r="E73" s="1884"/>
      <c r="F73" s="1885"/>
      <c r="G73" s="1885"/>
      <c r="H73" s="134"/>
      <c r="I73" s="2275"/>
      <c r="O73" s="1282"/>
      <c r="P73" s="1282"/>
      <c r="Q73" s="1282"/>
      <c r="R73" s="1282"/>
      <c r="S73" s="1282"/>
      <c r="T73" s="1282"/>
      <c r="U73" s="1282"/>
      <c r="V73" s="1282"/>
      <c r="W73" s="1282"/>
      <c r="X73" s="1282"/>
      <c r="Y73" s="1282"/>
      <c r="Z73" s="1282"/>
      <c r="AA73" s="2274"/>
      <c r="AB73" s="2274"/>
      <c r="AC73" s="2274"/>
      <c r="AD73" s="2274"/>
      <c r="AE73" s="2274"/>
      <c r="AF73" s="2274"/>
      <c r="AG73" s="2274"/>
      <c r="AH73" s="2274"/>
      <c r="AI73" s="2274"/>
    </row>
    <row r="74" spans="1:35" s="2273" customFormat="1" ht="24">
      <c r="A74" s="136" t="s">
        <v>73</v>
      </c>
      <c r="B74" s="115" t="s">
        <v>1901</v>
      </c>
      <c r="C74" s="117">
        <f>ROUND(IF(G77="2016年5月1日后购买",C75/(1+'数据-取费表'!F30)+C76+C77,C75+C76+C77),0)</f>
        <v>0</v>
      </c>
      <c r="D74" s="117" t="s">
        <v>41</v>
      </c>
      <c r="E74" s="1884"/>
      <c r="F74" s="1885"/>
      <c r="G74" s="1885"/>
      <c r="H74" s="134"/>
      <c r="I74" s="2275"/>
      <c r="O74" s="1282"/>
      <c r="P74" s="1282"/>
      <c r="Q74" s="1282"/>
      <c r="R74" s="1282"/>
      <c r="S74" s="1282"/>
      <c r="T74" s="1282"/>
      <c r="U74" s="1282"/>
      <c r="V74" s="1282"/>
      <c r="W74" s="1282"/>
      <c r="X74" s="1282"/>
      <c r="Y74" s="1282"/>
      <c r="Z74" s="1282"/>
      <c r="AA74" s="2274"/>
      <c r="AB74" s="2274"/>
      <c r="AC74" s="2274"/>
      <c r="AD74" s="2274"/>
      <c r="AE74" s="2274"/>
      <c r="AF74" s="2274"/>
      <c r="AG74" s="2274"/>
      <c r="AH74" s="2274"/>
      <c r="AI74" s="2274"/>
    </row>
    <row r="75" spans="1:35" s="2273" customFormat="1" ht="14.25">
      <c r="A75" s="136" t="s">
        <v>74</v>
      </c>
      <c r="B75" s="115" t="s">
        <v>1902</v>
      </c>
      <c r="C75" s="137"/>
      <c r="D75" s="117" t="s">
        <v>41</v>
      </c>
      <c r="E75" s="138" t="s">
        <v>1903</v>
      </c>
      <c r="F75" s="2276" t="s">
        <v>1904</v>
      </c>
      <c r="G75" s="138" t="s">
        <v>1905</v>
      </c>
      <c r="H75" s="139"/>
      <c r="I75" s="9"/>
      <c r="O75" s="1282"/>
      <c r="P75" s="1282"/>
      <c r="Q75" s="1282"/>
      <c r="R75" s="1282"/>
      <c r="S75" s="1282"/>
      <c r="T75" s="1282"/>
      <c r="U75" s="1282"/>
      <c r="V75" s="1282"/>
      <c r="W75" s="1282"/>
      <c r="X75" s="1282"/>
      <c r="Y75" s="1282"/>
      <c r="Z75" s="1282"/>
      <c r="AA75" s="2274"/>
      <c r="AB75" s="2274"/>
      <c r="AC75" s="2274"/>
      <c r="AD75" s="2274"/>
      <c r="AE75" s="2274"/>
      <c r="AF75" s="2274"/>
      <c r="AG75" s="2274"/>
      <c r="AH75" s="2274"/>
      <c r="AI75" s="2274"/>
    </row>
    <row r="76" spans="1:35" s="2273" customFormat="1" ht="24.75" customHeight="1">
      <c r="A76" s="136" t="s">
        <v>75</v>
      </c>
      <c r="B76" s="140" t="s">
        <v>1906</v>
      </c>
      <c r="C76" s="117">
        <f>IF(F75="购房发票",ROUND(C75*H75*D76,0),0)</f>
        <v>0</v>
      </c>
      <c r="D76" s="141">
        <v>0.05</v>
      </c>
      <c r="E76" s="2909" t="s">
        <v>1907</v>
      </c>
      <c r="F76" s="2910"/>
      <c r="G76" s="2910"/>
      <c r="H76" s="2911"/>
      <c r="I76" s="2275"/>
      <c r="O76" s="1282"/>
      <c r="P76" s="1282"/>
      <c r="Q76" s="1282"/>
      <c r="R76" s="1282"/>
      <c r="S76" s="1282"/>
      <c r="T76" s="1282"/>
      <c r="U76" s="1282"/>
      <c r="V76" s="1282"/>
      <c r="W76" s="1282"/>
      <c r="X76" s="1282"/>
      <c r="Y76" s="1282"/>
      <c r="Z76" s="1282"/>
      <c r="AA76" s="2274"/>
      <c r="AB76" s="2274"/>
      <c r="AC76" s="2274"/>
      <c r="AD76" s="2274"/>
      <c r="AE76" s="2274"/>
      <c r="AF76" s="2274"/>
      <c r="AG76" s="2274"/>
      <c r="AH76" s="2274"/>
      <c r="AI76" s="2274"/>
    </row>
    <row r="77" spans="1:35" s="2273" customFormat="1" ht="24.75" customHeight="1">
      <c r="A77" s="136" t="s">
        <v>76</v>
      </c>
      <c r="B77" s="115" t="s">
        <v>1908</v>
      </c>
      <c r="C77" s="117">
        <f>ROUND(IF(G77="个人住宅",0,IF(G77="2016年5月1日前购买",C75*D77,C75*D77/(1+'数据-取费表'!F30))),0)</f>
        <v>0</v>
      </c>
      <c r="D77" s="142">
        <f>'数据-取费表'!E36+'数据-取费表'!E37</f>
        <v>3.0499999999999999E-2</v>
      </c>
      <c r="E77" s="12" t="s">
        <v>1909</v>
      </c>
      <c r="F77" s="143"/>
      <c r="G77" s="2277" t="s">
        <v>1910</v>
      </c>
      <c r="H77" s="1886" t="str">
        <f>IF(G77="个人买卖住房","免征印花税"," ")</f>
        <v xml:space="preserve"> </v>
      </c>
      <c r="I77" s="2275"/>
      <c r="J77" s="1282"/>
      <c r="K77" s="1282"/>
      <c r="L77" s="1282"/>
      <c r="M77" s="1282"/>
      <c r="N77" s="1282"/>
      <c r="O77" s="1282"/>
      <c r="P77" s="1282"/>
      <c r="Q77" s="1282"/>
      <c r="R77" s="1282"/>
      <c r="S77" s="1282"/>
      <c r="T77" s="1282"/>
      <c r="U77" s="1282"/>
      <c r="V77" s="1282"/>
      <c r="W77" s="1282"/>
      <c r="X77" s="1282"/>
      <c r="Y77" s="1282"/>
      <c r="Z77" s="1282"/>
      <c r="AA77" s="2274"/>
      <c r="AB77" s="2274"/>
      <c r="AC77" s="2274"/>
      <c r="AD77" s="2274"/>
      <c r="AE77" s="2274"/>
      <c r="AF77" s="2274"/>
      <c r="AG77" s="2274"/>
      <c r="AH77" s="2274"/>
      <c r="AI77" s="2274"/>
    </row>
    <row r="78" spans="1:35" s="2273" customFormat="1" ht="24.75" customHeight="1">
      <c r="A78" s="136" t="s">
        <v>77</v>
      </c>
      <c r="B78" s="115" t="s">
        <v>1911</v>
      </c>
      <c r="C78" s="144">
        <f ca="1">ROUND(D45*D78/(1+'数据-取费表'!F30),0)</f>
        <v>70021</v>
      </c>
      <c r="D78" s="145">
        <f>'数据-取费表'!E31</f>
        <v>5.000000000000001E-3</v>
      </c>
      <c r="E78" s="2840" t="s">
        <v>1912</v>
      </c>
      <c r="F78" s="2841"/>
      <c r="G78" s="2841"/>
      <c r="H78" s="2861"/>
      <c r="I78" s="2278"/>
      <c r="J78" s="1282"/>
      <c r="K78" s="1282"/>
      <c r="L78" s="1282"/>
      <c r="M78" s="1282"/>
      <c r="N78" s="1282"/>
      <c r="O78" s="1282"/>
      <c r="P78" s="1282"/>
      <c r="Q78" s="1282"/>
      <c r="R78" s="1282"/>
      <c r="S78" s="1282"/>
      <c r="T78" s="1282"/>
      <c r="U78" s="1282"/>
      <c r="V78" s="1282"/>
      <c r="W78" s="1282"/>
      <c r="X78" s="1282"/>
      <c r="Y78" s="1282"/>
      <c r="Z78" s="1282"/>
      <c r="AA78" s="2274"/>
      <c r="AB78" s="2274"/>
      <c r="AC78" s="2274"/>
      <c r="AD78" s="2274"/>
      <c r="AE78" s="2274"/>
      <c r="AF78" s="2274"/>
      <c r="AG78" s="2274"/>
      <c r="AH78" s="2274"/>
      <c r="AI78" s="2274"/>
    </row>
    <row r="79" spans="1:35" s="2273" customFormat="1" ht="14.25">
      <c r="A79" s="146" t="s">
        <v>42</v>
      </c>
      <c r="B79" s="121" t="s">
        <v>1913</v>
      </c>
      <c r="C79" s="124">
        <f ca="1">C72-C73</f>
        <v>13934263</v>
      </c>
      <c r="D79" s="117" t="s">
        <v>41</v>
      </c>
      <c r="E79" s="1884"/>
      <c r="F79" s="1885"/>
      <c r="G79" s="1885"/>
      <c r="H79" s="134"/>
      <c r="I79" s="2275"/>
      <c r="J79" s="1282"/>
      <c r="K79" s="1282"/>
      <c r="L79" s="1282"/>
      <c r="M79" s="1282"/>
      <c r="N79" s="1282"/>
      <c r="O79" s="1282"/>
      <c r="P79" s="1282"/>
      <c r="Q79" s="1282"/>
      <c r="R79" s="1282"/>
      <c r="S79" s="1282"/>
      <c r="T79" s="1282"/>
      <c r="U79" s="1282"/>
      <c r="V79" s="1282"/>
      <c r="W79" s="1282"/>
      <c r="X79" s="1282"/>
      <c r="Y79" s="1282"/>
      <c r="Z79" s="1282"/>
      <c r="AA79" s="2274"/>
      <c r="AB79" s="2274"/>
      <c r="AC79" s="2274"/>
      <c r="AD79" s="2274"/>
      <c r="AE79" s="2274"/>
      <c r="AF79" s="2274"/>
      <c r="AG79" s="2274"/>
      <c r="AH79" s="2274"/>
      <c r="AI79" s="2274"/>
    </row>
    <row r="80" spans="1:35" s="2273" customFormat="1" ht="24">
      <c r="A80" s="146" t="s">
        <v>43</v>
      </c>
      <c r="B80" s="121" t="s">
        <v>1914</v>
      </c>
      <c r="C80" s="147">
        <f ca="1">IF(C79&lt;=0,0,C79/C73)</f>
        <v>199.00119964010796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5"/>
      <c r="G80" s="1885"/>
      <c r="H80" s="134"/>
      <c r="I80" s="2275"/>
      <c r="J80" s="1282"/>
      <c r="K80" s="1282"/>
      <c r="L80" s="1282"/>
      <c r="M80" s="1282"/>
      <c r="N80" s="1282"/>
      <c r="O80" s="1282"/>
      <c r="P80" s="1282"/>
      <c r="Q80" s="1282"/>
      <c r="R80" s="1282"/>
      <c r="S80" s="1282"/>
      <c r="T80" s="1282"/>
      <c r="U80" s="1282"/>
      <c r="V80" s="1282"/>
      <c r="W80" s="1282"/>
      <c r="X80" s="1282"/>
      <c r="Y80" s="1282"/>
      <c r="Z80" s="1282"/>
      <c r="AA80" s="2274"/>
      <c r="AB80" s="2274"/>
      <c r="AC80" s="2274"/>
      <c r="AD80" s="2274"/>
      <c r="AE80" s="2274"/>
      <c r="AF80" s="2274"/>
      <c r="AG80" s="2274"/>
      <c r="AH80" s="2274"/>
      <c r="AI80" s="2274"/>
    </row>
    <row r="81" spans="1:35" s="2273" customFormat="1" ht="24.75" thickBot="1">
      <c r="A81" s="148" t="s">
        <v>44</v>
      </c>
      <c r="B81" s="126" t="s">
        <v>1915</v>
      </c>
      <c r="C81" s="149">
        <f ca="1">ROUND(IF(C79&lt;=0,0,IF(C80&gt;=200%,C79*60%-C73*35%,IF(C80&gt;=100%,C79*50%-C73*15%,IF(C80&gt;=50%,C79*40%-C73*5%,IF(C80&lt;50%,C79*30%,0))))),0)</f>
        <v>8336050</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5"/>
      <c r="J81" s="1282"/>
      <c r="K81" s="1282"/>
      <c r="L81" s="1282"/>
      <c r="M81" s="1282"/>
      <c r="N81" s="1282"/>
      <c r="O81" s="1282"/>
      <c r="P81" s="1282"/>
      <c r="Q81" s="1282"/>
      <c r="R81" s="1282"/>
      <c r="S81" s="1282"/>
      <c r="T81" s="1282"/>
      <c r="U81" s="1282"/>
      <c r="V81" s="1282"/>
      <c r="W81" s="1282"/>
      <c r="X81" s="1282"/>
      <c r="Y81" s="1282"/>
      <c r="Z81" s="1282"/>
      <c r="AA81" s="2274"/>
      <c r="AB81" s="2274"/>
      <c r="AC81" s="2274"/>
      <c r="AD81" s="2274"/>
      <c r="AE81" s="2274"/>
      <c r="AF81" s="2274"/>
      <c r="AG81" s="2274"/>
      <c r="AH81" s="2274"/>
      <c r="AI81" s="2274"/>
    </row>
    <row r="82" spans="1:35" s="2273" customFormat="1" ht="7.5" customHeight="1">
      <c r="A82" s="717"/>
      <c r="B82" s="718"/>
      <c r="C82" s="9"/>
      <c r="D82" s="9"/>
      <c r="E82" s="718"/>
      <c r="F82" s="718"/>
      <c r="G82" s="718"/>
      <c r="H82" s="719"/>
      <c r="I82" s="2278"/>
      <c r="J82" s="1282"/>
      <c r="K82" s="1282"/>
      <c r="L82" s="1282"/>
      <c r="M82" s="1282"/>
      <c r="N82" s="1282"/>
      <c r="O82" s="1282"/>
      <c r="P82" s="1282"/>
      <c r="Q82" s="1282"/>
      <c r="R82" s="1282"/>
      <c r="S82" s="1282"/>
      <c r="T82" s="1282"/>
      <c r="U82" s="1282"/>
      <c r="V82" s="1282"/>
      <c r="W82" s="1282"/>
      <c r="X82" s="1282"/>
      <c r="Y82" s="1282"/>
      <c r="Z82" s="1282"/>
      <c r="AA82" s="2274"/>
      <c r="AB82" s="2274"/>
      <c r="AC82" s="2274"/>
      <c r="AD82" s="2274"/>
      <c r="AE82" s="2274"/>
      <c r="AF82" s="2274"/>
      <c r="AG82" s="2274"/>
      <c r="AH82" s="2274"/>
      <c r="AI82" s="2274"/>
    </row>
    <row r="83" spans="1:35" s="2273" customFormat="1" ht="15" thickBot="1">
      <c r="A83" s="2873" t="s">
        <v>1916</v>
      </c>
      <c r="B83" s="2874"/>
      <c r="C83" s="2874"/>
      <c r="D83" s="2874"/>
      <c r="E83" s="2874"/>
      <c r="F83" s="2874"/>
      <c r="G83" s="2874"/>
      <c r="H83" s="2874"/>
      <c r="I83" s="9"/>
      <c r="J83" s="1282"/>
      <c r="K83" s="1282"/>
      <c r="L83" s="1282"/>
      <c r="M83" s="1282"/>
      <c r="N83" s="1282"/>
      <c r="O83" s="1282"/>
      <c r="P83" s="1282"/>
      <c r="Q83" s="1282"/>
      <c r="R83" s="1282"/>
      <c r="S83" s="1282"/>
      <c r="T83" s="1282"/>
      <c r="U83" s="1282"/>
      <c r="V83" s="1282"/>
      <c r="W83" s="1282"/>
      <c r="X83" s="1282"/>
      <c r="Y83" s="1282"/>
      <c r="Z83" s="1282"/>
      <c r="AA83" s="2274"/>
      <c r="AB83" s="2274"/>
      <c r="AC83" s="2274"/>
      <c r="AD83" s="2274"/>
      <c r="AE83" s="2274"/>
      <c r="AF83" s="2274"/>
      <c r="AG83" s="2274"/>
      <c r="AH83" s="2274"/>
      <c r="AI83" s="2274"/>
    </row>
    <row r="84" spans="1:35" s="2273" customFormat="1" ht="14.25">
      <c r="A84" s="2871" t="s">
        <v>1877</v>
      </c>
      <c r="B84" s="2872"/>
      <c r="C84" s="1881"/>
      <c r="D84" s="1881" t="s">
        <v>1878</v>
      </c>
      <c r="E84" s="130" t="s">
        <v>1879</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4"/>
      <c r="AB84" s="2274"/>
      <c r="AC84" s="2274"/>
      <c r="AD84" s="2274"/>
      <c r="AE84" s="2274"/>
      <c r="AF84" s="2274"/>
      <c r="AG84" s="2274"/>
      <c r="AH84" s="2274"/>
      <c r="AI84" s="2274"/>
    </row>
    <row r="85" spans="1:35" s="2273" customFormat="1" ht="24">
      <c r="A85" s="133">
        <v>1</v>
      </c>
      <c r="B85" s="121" t="s">
        <v>1898</v>
      </c>
      <c r="C85" s="124">
        <f ca="1">ROUND(D45/(1+'数据-取费表'!F30),0)</f>
        <v>14004284</v>
      </c>
      <c r="D85" s="117" t="s">
        <v>41</v>
      </c>
      <c r="E85" s="1884" t="s">
        <v>1899</v>
      </c>
      <c r="F85" s="1885"/>
      <c r="G85" s="1885"/>
      <c r="H85" s="155"/>
      <c r="I85" s="9"/>
      <c r="J85" s="1282"/>
      <c r="K85" s="1282"/>
      <c r="L85" s="1282"/>
      <c r="M85" s="1282"/>
      <c r="N85" s="1282"/>
      <c r="O85" s="1282"/>
      <c r="P85" s="1282"/>
      <c r="Q85" s="1282"/>
      <c r="R85" s="1282"/>
      <c r="S85" s="1282"/>
      <c r="T85" s="1282"/>
      <c r="U85" s="1282"/>
      <c r="V85" s="1282"/>
      <c r="W85" s="1282"/>
      <c r="X85" s="1282"/>
      <c r="Y85" s="1282"/>
      <c r="Z85" s="1282"/>
      <c r="AA85" s="2274"/>
      <c r="AB85" s="2274"/>
      <c r="AC85" s="2274"/>
      <c r="AD85" s="2274"/>
      <c r="AE85" s="2274"/>
      <c r="AF85" s="2274"/>
      <c r="AG85" s="2274"/>
      <c r="AH85" s="2274"/>
      <c r="AI85" s="2274"/>
    </row>
    <row r="86" spans="1:35" s="2273" customFormat="1" ht="14.25">
      <c r="A86" s="135">
        <v>2</v>
      </c>
      <c r="B86" s="89" t="s">
        <v>1900</v>
      </c>
      <c r="C86" s="124">
        <f ca="1">IF(H88="仅含出让金",C87+C90+C91+C92+C93+C94,C87+C91+C92+C93+C94)</f>
        <v>70021</v>
      </c>
      <c r="D86" s="156"/>
      <c r="E86" s="1884"/>
      <c r="F86" s="1885"/>
      <c r="G86" s="1885"/>
      <c r="H86" s="155"/>
      <c r="I86" s="9"/>
      <c r="J86" s="1282"/>
      <c r="K86" s="1282"/>
      <c r="L86" s="1282"/>
      <c r="M86" s="1282"/>
      <c r="N86" s="1282"/>
      <c r="O86" s="1282"/>
      <c r="P86" s="1282"/>
      <c r="Q86" s="1282"/>
      <c r="R86" s="1282"/>
      <c r="S86" s="1282"/>
      <c r="T86" s="1282"/>
      <c r="U86" s="1282"/>
      <c r="V86" s="1282"/>
      <c r="W86" s="1282"/>
      <c r="X86" s="1282"/>
      <c r="Y86" s="1282"/>
      <c r="Z86" s="1282"/>
      <c r="AA86" s="2274"/>
      <c r="AB86" s="2274"/>
      <c r="AC86" s="2274"/>
      <c r="AD86" s="2274"/>
      <c r="AE86" s="2274"/>
      <c r="AF86" s="2274"/>
      <c r="AG86" s="2274"/>
      <c r="AH86" s="2274"/>
      <c r="AI86" s="2274"/>
    </row>
    <row r="87" spans="1:35" s="2273" customFormat="1" ht="14.25">
      <c r="A87" s="136" t="s">
        <v>73</v>
      </c>
      <c r="B87" s="115" t="s">
        <v>1917</v>
      </c>
      <c r="C87" s="144">
        <f>C88+C89</f>
        <v>0</v>
      </c>
      <c r="D87" s="145"/>
      <c r="E87" s="1877"/>
      <c r="F87" s="1878"/>
      <c r="G87" s="1878"/>
      <c r="H87" s="1880"/>
      <c r="I87" s="9"/>
      <c r="J87" s="1282"/>
      <c r="K87" s="1282"/>
      <c r="L87" s="1282"/>
      <c r="M87" s="1282"/>
      <c r="N87" s="1282"/>
      <c r="O87" s="1282"/>
      <c r="P87" s="1282"/>
      <c r="Q87" s="1282"/>
      <c r="R87" s="1282"/>
      <c r="S87" s="1282"/>
      <c r="T87" s="1282"/>
      <c r="U87" s="1282"/>
      <c r="V87" s="1282"/>
      <c r="W87" s="1282"/>
      <c r="X87" s="1282"/>
      <c r="Y87" s="1282"/>
      <c r="Z87" s="1282"/>
      <c r="AA87" s="2274"/>
      <c r="AB87" s="2274"/>
      <c r="AC87" s="2274"/>
      <c r="AD87" s="2274"/>
      <c r="AE87" s="2274"/>
      <c r="AF87" s="2274"/>
      <c r="AG87" s="2274"/>
      <c r="AH87" s="2274"/>
      <c r="AI87" s="2274"/>
    </row>
    <row r="88" spans="1:35" s="2273" customFormat="1" ht="14.25">
      <c r="A88" s="136" t="s">
        <v>74</v>
      </c>
      <c r="B88" s="115" t="s">
        <v>1918</v>
      </c>
      <c r="C88" s="157"/>
      <c r="D88" s="145"/>
      <c r="E88" s="158" t="s">
        <v>1919</v>
      </c>
      <c r="F88" s="1878"/>
      <c r="G88" s="159" t="s">
        <v>1920</v>
      </c>
      <c r="H88" s="2279"/>
      <c r="I88" s="9"/>
      <c r="J88" s="1282"/>
      <c r="K88" s="1282"/>
      <c r="L88" s="1282"/>
      <c r="M88" s="1282"/>
      <c r="N88" s="1282"/>
      <c r="O88" s="1282"/>
      <c r="P88" s="1282"/>
      <c r="Q88" s="1282"/>
      <c r="R88" s="1282"/>
      <c r="S88" s="1282"/>
      <c r="T88" s="1282"/>
      <c r="U88" s="1282"/>
      <c r="V88" s="1282"/>
      <c r="W88" s="1282"/>
      <c r="X88" s="1282"/>
      <c r="Y88" s="1282"/>
      <c r="Z88" s="1282"/>
      <c r="AA88" s="2274"/>
      <c r="AB88" s="2274"/>
      <c r="AC88" s="2274"/>
      <c r="AD88" s="2274"/>
      <c r="AE88" s="2274"/>
      <c r="AF88" s="2274"/>
      <c r="AG88" s="2274"/>
      <c r="AH88" s="2274"/>
      <c r="AI88" s="2274"/>
    </row>
    <row r="89" spans="1:35" s="2273" customFormat="1" ht="14.25">
      <c r="A89" s="136" t="s">
        <v>75</v>
      </c>
      <c r="B89" s="115" t="s">
        <v>1908</v>
      </c>
      <c r="C89" s="144">
        <f>ROUND(C88*D89,0)</f>
        <v>0</v>
      </c>
      <c r="D89" s="145">
        <f>'数据-取费表'!E36+'数据-取费表'!E37</f>
        <v>3.0499999999999999E-2</v>
      </c>
      <c r="E89" s="158" t="s">
        <v>1921</v>
      </c>
      <c r="F89" s="1878"/>
      <c r="G89" s="1878"/>
      <c r="H89" s="1880"/>
      <c r="I89" s="9"/>
      <c r="J89" s="1282"/>
      <c r="K89" s="1282"/>
      <c r="L89" s="1282"/>
      <c r="M89" s="1282"/>
      <c r="N89" s="1282"/>
      <c r="O89" s="1282"/>
      <c r="P89" s="1282"/>
      <c r="Q89" s="1282"/>
      <c r="R89" s="1282"/>
      <c r="S89" s="1282"/>
      <c r="T89" s="1282"/>
      <c r="U89" s="1282"/>
      <c r="V89" s="1282"/>
      <c r="W89" s="1282"/>
      <c r="X89" s="1282"/>
      <c r="Y89" s="1282"/>
      <c r="Z89" s="1282"/>
      <c r="AA89" s="2274"/>
      <c r="AB89" s="2274"/>
      <c r="AC89" s="2274"/>
      <c r="AD89" s="2274"/>
      <c r="AE89" s="2274"/>
      <c r="AF89" s="2274"/>
      <c r="AG89" s="2274"/>
      <c r="AH89" s="2274"/>
      <c r="AI89" s="2274"/>
    </row>
    <row r="90" spans="1:35" s="2273" customFormat="1" ht="14.25">
      <c r="A90" s="136" t="s">
        <v>77</v>
      </c>
      <c r="B90" s="115" t="s">
        <v>1922</v>
      </c>
      <c r="C90" s="157"/>
      <c r="D90" s="145"/>
      <c r="E90" s="158" t="str">
        <f>IF(H88="-","土地取得成本中已包含该笔费用"," ")</f>
        <v xml:space="preserve"> </v>
      </c>
      <c r="F90" s="1878"/>
      <c r="G90" s="1878"/>
      <c r="H90" s="1880"/>
      <c r="I90" s="9"/>
      <c r="J90" s="1282"/>
      <c r="K90" s="1282"/>
      <c r="L90" s="1282"/>
      <c r="M90" s="1282"/>
      <c r="N90" s="1282"/>
      <c r="O90" s="1282"/>
      <c r="P90" s="1282"/>
      <c r="Q90" s="1282"/>
      <c r="R90" s="1282"/>
      <c r="S90" s="1282"/>
      <c r="T90" s="1282"/>
      <c r="U90" s="1282"/>
      <c r="V90" s="1282"/>
      <c r="W90" s="1282"/>
      <c r="X90" s="1282"/>
      <c r="Y90" s="1282"/>
      <c r="Z90" s="1282"/>
      <c r="AA90" s="2274"/>
      <c r="AB90" s="2274"/>
      <c r="AC90" s="2274"/>
      <c r="AD90" s="2274"/>
      <c r="AE90" s="2274"/>
      <c r="AF90" s="2274"/>
      <c r="AG90" s="2274"/>
      <c r="AH90" s="2274"/>
      <c r="AI90" s="2274"/>
    </row>
    <row r="91" spans="1:35" s="2273" customFormat="1" ht="30.75" customHeight="1">
      <c r="A91" s="136" t="s">
        <v>78</v>
      </c>
      <c r="B91" s="115" t="s">
        <v>1923</v>
      </c>
      <c r="C91" s="144">
        <f>IF(H91="——",成本法!C33,I91)</f>
        <v>0</v>
      </c>
      <c r="D91" s="145"/>
      <c r="E91" s="2840" t="s">
        <v>1924</v>
      </c>
      <c r="F91" s="2841"/>
      <c r="G91" s="2841"/>
      <c r="H91" s="2280" t="s">
        <v>1925</v>
      </c>
      <c r="I91" s="2281"/>
      <c r="J91" s="1282"/>
      <c r="K91" s="1282"/>
      <c r="L91" s="1282"/>
      <c r="M91" s="1282"/>
      <c r="N91" s="1282"/>
      <c r="O91" s="1282"/>
      <c r="P91" s="1282"/>
      <c r="Q91" s="1282"/>
      <c r="R91" s="1282"/>
      <c r="S91" s="1282"/>
      <c r="T91" s="1282"/>
      <c r="U91" s="1282"/>
      <c r="V91" s="1282"/>
      <c r="W91" s="1282"/>
      <c r="X91" s="1282"/>
      <c r="Y91" s="1282"/>
      <c r="Z91" s="1282"/>
      <c r="AA91" s="2274"/>
      <c r="AB91" s="2274"/>
      <c r="AC91" s="2274"/>
      <c r="AD91" s="2274"/>
      <c r="AE91" s="2274"/>
      <c r="AF91" s="2274"/>
      <c r="AG91" s="2274"/>
      <c r="AH91" s="2274"/>
      <c r="AI91" s="2274"/>
    </row>
    <row r="92" spans="1:35" s="2273" customFormat="1" ht="25.5" customHeight="1">
      <c r="A92" s="136" t="s">
        <v>79</v>
      </c>
      <c r="B92" s="115" t="s">
        <v>1926</v>
      </c>
      <c r="C92" s="144">
        <f>ROUND((C87+C90+C91)*D92,0)</f>
        <v>0</v>
      </c>
      <c r="D92" s="145">
        <v>0.1</v>
      </c>
      <c r="E92" s="2840" t="s">
        <v>1927</v>
      </c>
      <c r="F92" s="2841"/>
      <c r="G92" s="2841"/>
      <c r="H92" s="2861"/>
      <c r="I92" s="9"/>
      <c r="J92" s="1282"/>
      <c r="K92" s="1282"/>
      <c r="L92" s="1282"/>
      <c r="M92" s="1282"/>
      <c r="N92" s="1282"/>
      <c r="O92" s="1282"/>
      <c r="P92" s="1282"/>
      <c r="Q92" s="1282"/>
      <c r="R92" s="1282"/>
      <c r="S92" s="1282"/>
      <c r="T92" s="1282"/>
      <c r="U92" s="1282"/>
      <c r="V92" s="1282"/>
      <c r="W92" s="1282"/>
      <c r="X92" s="1282"/>
      <c r="Y92" s="1282"/>
      <c r="Z92" s="1282"/>
      <c r="AA92" s="2274"/>
      <c r="AB92" s="2274"/>
      <c r="AC92" s="2274"/>
      <c r="AD92" s="2274"/>
      <c r="AE92" s="2274"/>
      <c r="AF92" s="2274"/>
      <c r="AG92" s="2274"/>
      <c r="AH92" s="2274"/>
      <c r="AI92" s="2274"/>
    </row>
    <row r="93" spans="1:35" s="2273" customFormat="1" ht="25.5" customHeight="1">
      <c r="A93" s="136" t="s">
        <v>80</v>
      </c>
      <c r="B93" s="115" t="s">
        <v>1911</v>
      </c>
      <c r="C93" s="144">
        <f ca="1">ROUND(D45*D93/(1+'数据-取费表'!F30),0)</f>
        <v>70021</v>
      </c>
      <c r="D93" s="145">
        <f>'数据-取费表'!E31</f>
        <v>5.000000000000001E-3</v>
      </c>
      <c r="E93" s="2840" t="s">
        <v>1912</v>
      </c>
      <c r="F93" s="2841"/>
      <c r="G93" s="2841"/>
      <c r="H93" s="2861"/>
      <c r="I93" s="9"/>
      <c r="J93" s="1282"/>
      <c r="K93" s="1282"/>
      <c r="L93" s="1282"/>
      <c r="M93" s="1282"/>
      <c r="N93" s="1282"/>
      <c r="O93" s="1282"/>
      <c r="P93" s="1282"/>
      <c r="Q93" s="1282"/>
      <c r="R93" s="1282"/>
      <c r="S93" s="1282"/>
      <c r="T93" s="1282"/>
      <c r="U93" s="1282"/>
      <c r="V93" s="1282"/>
      <c r="W93" s="1282"/>
      <c r="X93" s="1282"/>
      <c r="Y93" s="1282"/>
      <c r="Z93" s="1282"/>
      <c r="AA93" s="2274"/>
      <c r="AB93" s="2274"/>
      <c r="AC93" s="2274"/>
      <c r="AD93" s="2274"/>
      <c r="AE93" s="2274"/>
      <c r="AF93" s="2274"/>
      <c r="AG93" s="2274"/>
      <c r="AH93" s="2274"/>
      <c r="AI93" s="2274"/>
    </row>
    <row r="94" spans="1:35" s="2273" customFormat="1" ht="25.5" customHeight="1">
      <c r="A94" s="136" t="s">
        <v>81</v>
      </c>
      <c r="B94" s="115" t="s">
        <v>1928</v>
      </c>
      <c r="C94" s="144">
        <f>ROUND((C87+C90+C91)*D94,0)</f>
        <v>0</v>
      </c>
      <c r="D94" s="145">
        <v>0.2</v>
      </c>
      <c r="E94" s="2840" t="s">
        <v>1929</v>
      </c>
      <c r="F94" s="2841"/>
      <c r="G94" s="2841"/>
      <c r="H94" s="2861"/>
      <c r="I94" s="9"/>
      <c r="J94" s="1282"/>
      <c r="K94" s="1282"/>
      <c r="L94" s="1282"/>
      <c r="M94" s="1282"/>
      <c r="N94" s="1282"/>
      <c r="O94" s="1282"/>
      <c r="P94" s="1282"/>
      <c r="Q94" s="1282"/>
      <c r="R94" s="1282"/>
      <c r="S94" s="1282"/>
      <c r="T94" s="1282"/>
      <c r="U94" s="1282"/>
      <c r="V94" s="1282"/>
      <c r="W94" s="1282"/>
      <c r="X94" s="1282"/>
      <c r="Y94" s="1282"/>
      <c r="Z94" s="1282"/>
      <c r="AA94" s="2274"/>
      <c r="AB94" s="2274"/>
      <c r="AC94" s="2274"/>
      <c r="AD94" s="2274"/>
      <c r="AE94" s="2274"/>
      <c r="AF94" s="2274"/>
      <c r="AG94" s="2274"/>
      <c r="AH94" s="2274"/>
      <c r="AI94" s="2274"/>
    </row>
    <row r="95" spans="1:35" s="2273" customFormat="1" ht="14.25">
      <c r="A95" s="146" t="s">
        <v>42</v>
      </c>
      <c r="B95" s="121" t="s">
        <v>1913</v>
      </c>
      <c r="C95" s="124">
        <f ca="1">ROUND(C85-C86,0)</f>
        <v>13934263</v>
      </c>
      <c r="D95" s="117" t="s">
        <v>41</v>
      </c>
      <c r="E95" s="1884"/>
      <c r="F95" s="1885"/>
      <c r="G95" s="1885"/>
      <c r="H95" s="155"/>
      <c r="I95" s="9"/>
      <c r="J95" s="1282"/>
      <c r="K95" s="1282"/>
      <c r="L95" s="1282"/>
      <c r="M95" s="1282"/>
      <c r="N95" s="1282"/>
      <c r="O95" s="1282"/>
      <c r="P95" s="1282"/>
      <c r="Q95" s="1282"/>
      <c r="R95" s="1282"/>
      <c r="S95" s="1282"/>
      <c r="T95" s="1282"/>
      <c r="U95" s="1282"/>
      <c r="V95" s="1282"/>
      <c r="W95" s="1282"/>
      <c r="X95" s="1282"/>
      <c r="Y95" s="1282"/>
      <c r="Z95" s="1282"/>
      <c r="AA95" s="2274"/>
      <c r="AB95" s="2274"/>
      <c r="AC95" s="2274"/>
      <c r="AD95" s="2274"/>
      <c r="AE95" s="2274"/>
      <c r="AF95" s="2274"/>
      <c r="AG95" s="2274"/>
      <c r="AH95" s="2274"/>
      <c r="AI95" s="2274"/>
    </row>
    <row r="96" spans="1:35" s="2273" customFormat="1" ht="24">
      <c r="A96" s="146" t="s">
        <v>43</v>
      </c>
      <c r="B96" s="121" t="s">
        <v>1914</v>
      </c>
      <c r="C96" s="147">
        <f ca="1">IF(C95&lt;=0,0,C95/C86)</f>
        <v>199.00119964010796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5"/>
      <c r="G96" s="1885"/>
      <c r="H96" s="155"/>
      <c r="I96" s="9"/>
      <c r="J96" s="1282"/>
      <c r="K96" s="1282"/>
      <c r="L96" s="1282"/>
      <c r="M96" s="1282"/>
      <c r="N96" s="1282"/>
      <c r="O96" s="1282"/>
      <c r="P96" s="1282"/>
      <c r="Q96" s="1282"/>
      <c r="R96" s="1282"/>
      <c r="S96" s="1282"/>
      <c r="T96" s="1282"/>
      <c r="U96" s="1282"/>
      <c r="V96" s="1282"/>
      <c r="W96" s="1282"/>
      <c r="X96" s="1282"/>
      <c r="Y96" s="1282"/>
      <c r="Z96" s="1282"/>
      <c r="AA96" s="2274"/>
      <c r="AB96" s="2274"/>
      <c r="AC96" s="2274"/>
      <c r="AD96" s="2274"/>
      <c r="AE96" s="2274"/>
      <c r="AF96" s="2274"/>
      <c r="AG96" s="2274"/>
      <c r="AH96" s="2274"/>
      <c r="AI96" s="2274"/>
    </row>
    <row r="97" spans="1:35" s="2273" customFormat="1" ht="24.75" thickBot="1">
      <c r="A97" s="148" t="s">
        <v>44</v>
      </c>
      <c r="B97" s="126" t="s">
        <v>1915</v>
      </c>
      <c r="C97" s="149">
        <f ca="1">ROUND(IF(C95&lt;=0,0,IF(C96&gt;=200%,C95*60%-C86*35%,IF(C96&gt;=100%,C95*50%-C86*15%,IF(C96&gt;=50%,C95*40%-C86*5%,IF(C96&lt;50%,C95*30%,0))))),0)</f>
        <v>8336050</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4"/>
      <c r="AB97" s="2274"/>
      <c r="AC97" s="2274"/>
      <c r="AD97" s="2274"/>
      <c r="AE97" s="2274"/>
      <c r="AF97" s="2274"/>
      <c r="AG97" s="2274"/>
      <c r="AH97" s="2274"/>
      <c r="AI97" s="2274"/>
    </row>
    <row r="98" spans="1:35" ht="21.75" customHeight="1" thickBot="1">
      <c r="A98" s="2243" t="s">
        <v>1930</v>
      </c>
      <c r="B98" s="2187"/>
      <c r="C98" s="2187"/>
      <c r="D98" s="2187"/>
      <c r="E98" s="1018"/>
      <c r="F98" s="1018"/>
      <c r="G98" s="1018"/>
      <c r="H98" s="2240"/>
      <c r="I98" s="2187"/>
    </row>
    <row r="99" spans="1:35" ht="15.75">
      <c r="A99" s="2858" t="s">
        <v>1931</v>
      </c>
      <c r="B99" s="2859"/>
      <c r="C99" s="2859"/>
      <c r="D99" s="2860"/>
      <c r="E99" s="2187"/>
      <c r="F99" s="2868" t="s">
        <v>1932</v>
      </c>
      <c r="G99" s="2869"/>
      <c r="H99" s="2869"/>
      <c r="I99" s="2870"/>
    </row>
    <row r="100" spans="1:35" ht="15.75">
      <c r="A100" s="2875" t="s">
        <v>1933</v>
      </c>
      <c r="B100" s="2876"/>
      <c r="C100" s="720" t="str">
        <f>C4</f>
        <v>收益法</v>
      </c>
      <c r="D100" s="721" t="str">
        <f>D4</f>
        <v>比较法-办公</v>
      </c>
      <c r="E100" s="2187"/>
      <c r="F100" s="2877" t="s">
        <v>1934</v>
      </c>
      <c r="G100" s="2879"/>
      <c r="H100" s="2877" t="s">
        <v>1935</v>
      </c>
      <c r="I100" s="2878"/>
    </row>
    <row r="101" spans="1:35" ht="15.75">
      <c r="A101" s="2897" t="s">
        <v>1936</v>
      </c>
      <c r="B101" s="2282" t="str">
        <f>IF(H19="元","总价（元）","总价（万元）")</f>
        <v>总价（元）</v>
      </c>
      <c r="C101" s="720">
        <f ca="1">C19</f>
        <v>6494436</v>
      </c>
      <c r="D101" s="721">
        <f ca="1">D19</f>
        <v>16757014</v>
      </c>
      <c r="E101" s="2187"/>
      <c r="F101" s="2877" t="str">
        <f>项目基本情况!I1</f>
        <v>北京市房地产</v>
      </c>
      <c r="G101" s="2879"/>
      <c r="H101" s="2938">
        <f>项目基本情况!C12</f>
        <v>573.89</v>
      </c>
      <c r="I101" s="2878"/>
    </row>
    <row r="102" spans="1:35" ht="15.75">
      <c r="A102" s="2897"/>
      <c r="B102" s="2282" t="s">
        <v>1937</v>
      </c>
      <c r="C102" s="722">
        <f ca="1">C20</f>
        <v>11317</v>
      </c>
      <c r="D102" s="723">
        <f ca="1">D20</f>
        <v>29199</v>
      </c>
      <c r="E102" s="2187"/>
      <c r="F102" s="2952" t="s">
        <v>1938</v>
      </c>
      <c r="G102" s="2953"/>
      <c r="H102" s="2283" t="str">
        <f>C106</f>
        <v>总价（元）</v>
      </c>
      <c r="I102" s="1858">
        <f ca="1">H121</f>
        <v>14704498</v>
      </c>
    </row>
    <row r="103" spans="1:35" ht="15">
      <c r="A103" s="2897" t="s">
        <v>1939</v>
      </c>
      <c r="B103" s="2284" t="str">
        <f>B101</f>
        <v>总价（元）</v>
      </c>
      <c r="C103" s="724">
        <f ca="1">H121</f>
        <v>14704498</v>
      </c>
      <c r="D103" s="725"/>
      <c r="E103" s="2187"/>
      <c r="F103" s="2952"/>
      <c r="G103" s="2953"/>
      <c r="H103" s="2283" t="s">
        <v>1937</v>
      </c>
      <c r="I103" s="1046">
        <f ca="1">I121</f>
        <v>25623</v>
      </c>
    </row>
    <row r="104" spans="1:35" ht="16.5" thickBot="1">
      <c r="A104" s="2898"/>
      <c r="B104" s="2285" t="s">
        <v>1937</v>
      </c>
      <c r="C104" s="726">
        <f ca="1">I121</f>
        <v>25623</v>
      </c>
      <c r="D104" s="727"/>
      <c r="E104" s="2187"/>
      <c r="F104" s="2864"/>
      <c r="G104" s="2865"/>
      <c r="H104" s="2899"/>
      <c r="I104" s="2900"/>
    </row>
    <row r="105" spans="1:35" ht="15.75">
      <c r="A105" s="2858" t="s">
        <v>1940</v>
      </c>
      <c r="B105" s="2859"/>
      <c r="C105" s="2859"/>
      <c r="D105" s="2860"/>
      <c r="E105" s="2187"/>
      <c r="F105" s="2903" t="s">
        <v>1941</v>
      </c>
      <c r="G105" s="2904"/>
      <c r="H105" s="2286" t="str">
        <f>C108</f>
        <v>总额（元）</v>
      </c>
      <c r="I105" s="1858">
        <f>SUMIF(I106:I108,"&lt;9E307")</f>
        <v>0</v>
      </c>
    </row>
    <row r="106" spans="1:35" ht="15">
      <c r="A106" s="2905" t="s">
        <v>1942</v>
      </c>
      <c r="B106" s="2906"/>
      <c r="C106" s="2283" t="str">
        <f>B101</f>
        <v>总价（元）</v>
      </c>
      <c r="D106" s="1047">
        <f ca="1">H121</f>
        <v>14704498</v>
      </c>
      <c r="E106" s="2187"/>
      <c r="F106" s="2866" t="s">
        <v>1943</v>
      </c>
      <c r="G106" s="2867"/>
      <c r="H106" s="2286" t="str">
        <f>C109</f>
        <v>总额（元）</v>
      </c>
      <c r="I106" s="1046">
        <f>IF(D36="同一抵押权人同一抵押物续贷",C36&amp;"（未扣减，详见特别提示）",C36)</f>
        <v>0</v>
      </c>
      <c r="K106" s="2197" t="str">
        <f>IF(D123=0,"本次评估不存在"&amp;A123&amp;"。","本次评估"&amp;A123&amp;"为"&amp;D123&amp;"元人民币。")</f>
        <v>本次评估不存在估价师所知悉的法定优先受偿款。</v>
      </c>
    </row>
    <row r="107" spans="1:35" ht="15">
      <c r="A107" s="2905"/>
      <c r="B107" s="2906"/>
      <c r="C107" s="2283" t="s">
        <v>1937</v>
      </c>
      <c r="D107" s="1048">
        <f ca="1">I121</f>
        <v>25623</v>
      </c>
      <c r="E107" s="2187"/>
      <c r="F107" s="2866" t="s">
        <v>1944</v>
      </c>
      <c r="G107" s="2867"/>
      <c r="H107" s="2286" t="str">
        <f>C110</f>
        <v>总额（元）</v>
      </c>
      <c r="I107" s="1046">
        <f>C37</f>
        <v>0</v>
      </c>
      <c r="K107" s="2287"/>
    </row>
    <row r="108" spans="1:35" ht="15">
      <c r="A108" s="2948" t="s">
        <v>1945</v>
      </c>
      <c r="B108" s="2949"/>
      <c r="C108" s="2286" t="str">
        <f>IF(H19="元","总额（元）","总额（万元）")</f>
        <v>总额（元）</v>
      </c>
      <c r="D108" s="1047">
        <f>IF(D36="正常操作",I106+I107+I108,I107+I108)</f>
        <v>0</v>
      </c>
      <c r="E108" s="2187"/>
      <c r="F108" s="2866" t="s">
        <v>1946</v>
      </c>
      <c r="G108" s="2867"/>
      <c r="H108" s="2286" t="str">
        <f>C111</f>
        <v>总额（元）</v>
      </c>
      <c r="I108" s="1046">
        <f>C38</f>
        <v>0</v>
      </c>
    </row>
    <row r="109" spans="1:35" ht="15.75">
      <c r="A109" s="2866" t="s">
        <v>1943</v>
      </c>
      <c r="B109" s="2867"/>
      <c r="C109" s="2286" t="str">
        <f>C108</f>
        <v>总额（元）</v>
      </c>
      <c r="D109" s="637">
        <f>IF(D36="同一抵押权人同一抵押物续贷",C36&amp;"（未扣减，详见特别提示）",C36)</f>
        <v>0</v>
      </c>
      <c r="E109" s="2187"/>
      <c r="F109" s="2864"/>
      <c r="G109" s="2865"/>
      <c r="H109" s="2901"/>
      <c r="I109" s="2902"/>
    </row>
    <row r="110" spans="1:35" ht="28.5" customHeight="1">
      <c r="A110" s="2866" t="s">
        <v>1944</v>
      </c>
      <c r="B110" s="2867"/>
      <c r="C110" s="2286" t="str">
        <f>C108</f>
        <v>总额（元）</v>
      </c>
      <c r="D110" s="637">
        <f>C37</f>
        <v>0</v>
      </c>
      <c r="E110" s="2187"/>
      <c r="F110" s="2846" t="str">
        <f>IF(项目基本情况!F5="已注销","——","3.房地产抵押价值")</f>
        <v>3.房地产抵押价值</v>
      </c>
      <c r="G110" s="2847"/>
      <c r="H110" s="2288" t="str">
        <f>C112</f>
        <v>总价（元）</v>
      </c>
      <c r="I110" s="1859">
        <f ca="1">IF(F110="——","——",I102-I105)</f>
        <v>14704498</v>
      </c>
    </row>
    <row r="111" spans="1:35" ht="15">
      <c r="A111" s="2866" t="s">
        <v>1946</v>
      </c>
      <c r="B111" s="2867"/>
      <c r="C111" s="2286" t="str">
        <f>C108</f>
        <v>总额（元）</v>
      </c>
      <c r="D111" s="637">
        <f>C38</f>
        <v>0</v>
      </c>
      <c r="E111" s="2187"/>
      <c r="F111" s="2848"/>
      <c r="G111" s="2849"/>
      <c r="H111" s="2283" t="s">
        <v>1937</v>
      </c>
      <c r="I111" s="2289">
        <f ca="1">D113</f>
        <v>25623</v>
      </c>
    </row>
    <row r="112" spans="1:35" ht="26.25" customHeight="1">
      <c r="A112" s="2905" t="str">
        <f>IF(项目基本情况!F5="已注销","——","3.房地产抵押价值")</f>
        <v>3.房地产抵押价值</v>
      </c>
      <c r="B112" s="2906"/>
      <c r="C112" s="2283" t="str">
        <f>B101</f>
        <v>总价（元）</v>
      </c>
      <c r="D112" s="1047">
        <f ca="1">IF(A112="——","——",D106-D108)</f>
        <v>14704498</v>
      </c>
      <c r="E112" s="2187"/>
      <c r="F112" s="2846" t="str">
        <f>IF(项目基本情况!F5="已注销及未注销","4.抵押担保权已注销时的房地产抵押价值",IF(项目基本情况!F5="已注销","3.抵押担保权已注销时的房地产抵押价值","——"))</f>
        <v>——</v>
      </c>
      <c r="G112" s="2847"/>
      <c r="H112" s="2288" t="str">
        <f>C114</f>
        <v>总价（元）</v>
      </c>
      <c r="I112" s="1859" t="str">
        <f>IF(F112="——","——",I102-I107-I108)</f>
        <v>——</v>
      </c>
    </row>
    <row r="113" spans="1:15" ht="15">
      <c r="A113" s="2905"/>
      <c r="B113" s="2906"/>
      <c r="C113" s="2283" t="s">
        <v>1937</v>
      </c>
      <c r="D113" s="1048">
        <f ca="1">ROUND(IF(D112=D106,D107,IF(H19="元",D112/项目基本情况!C12,D112*10000/项目基本情况!C12)),0)</f>
        <v>25623</v>
      </c>
      <c r="E113" s="2187"/>
      <c r="F113" s="2848"/>
      <c r="G113" s="2849"/>
      <c r="H113" s="2283" t="s">
        <v>1937</v>
      </c>
      <c r="I113" s="2290" t="str">
        <f>D115</f>
        <v>——</v>
      </c>
    </row>
    <row r="114" spans="1:15" ht="15.75">
      <c r="A114" s="2905" t="str">
        <f>IF(项目基本情况!F5="已注销及未注销","4.抵押担保权已注销时的房地产抵押价值",IF(项目基本情况!F5="已注销","3.抵押担保权已注销时的房地产抵押价值","——"))</f>
        <v>——</v>
      </c>
      <c r="B114" s="2906"/>
      <c r="C114" s="2283" t="str">
        <f>B101</f>
        <v>总价（元）</v>
      </c>
      <c r="D114" s="1047" t="str">
        <f>IF(A114="——","——",D106-D110-D111)</f>
        <v>——</v>
      </c>
      <c r="E114" s="2187"/>
      <c r="F114" s="2846" t="str">
        <f>IF(项目基本情况!G5="抵押净值",IF(OR(项目基本情况!F5="已注销",项目基本情况!F5="房地产抵押价值"),"4.抵押净值","5.抵押净值"),"——")</f>
        <v>——</v>
      </c>
      <c r="G114" s="2847"/>
      <c r="H114" s="2283" t="str">
        <f>C116</f>
        <v>总价（元）</v>
      </c>
      <c r="I114" s="1858" t="str">
        <f>IF(F114="——","——",N59)</f>
        <v>——</v>
      </c>
    </row>
    <row r="115" spans="1:15" ht="15.75" thickBot="1">
      <c r="A115" s="2905"/>
      <c r="B115" s="2906"/>
      <c r="C115" s="2283" t="s">
        <v>1937</v>
      </c>
      <c r="D115" s="1048" t="str">
        <f>IF(A114="——","——",ROUND(IF(D114=D106,D107,IF(H19="元",D114/项目基本情况!C12,D114*10000/项目基本情况!C12)),0))</f>
        <v>——</v>
      </c>
      <c r="E115" s="2187"/>
      <c r="F115" s="2939"/>
      <c r="G115" s="2940"/>
      <c r="H115" s="2291" t="s">
        <v>1937</v>
      </c>
      <c r="I115" s="1860" t="str">
        <f ca="1">D117</f>
        <v>——</v>
      </c>
    </row>
    <row r="116" spans="1:15" ht="15.75">
      <c r="A116" s="2905" t="str">
        <f>IF(项目基本情况!G5="抵押净值",IF(OR(项目基本情况!F5="已注销",项目基本情况!F5="房地产抵押价值"),"4.抵押净值","5.抵押净值"),"——")</f>
        <v>——</v>
      </c>
      <c r="B116" s="2906"/>
      <c r="C116" s="2283" t="str">
        <f>B101</f>
        <v>总价（元）</v>
      </c>
      <c r="D116" s="1047" t="str">
        <f>IF(A116="——","——",N59)</f>
        <v>——</v>
      </c>
      <c r="E116" s="2187"/>
      <c r="F116" s="2842"/>
      <c r="G116" s="2842"/>
      <c r="H116" s="2884"/>
      <c r="I116" s="2884"/>
      <c r="N116" s="55"/>
      <c r="O116" s="55"/>
    </row>
    <row r="117" spans="1:15" ht="15.75" thickBot="1">
      <c r="A117" s="2946"/>
      <c r="B117" s="2947"/>
      <c r="C117" s="2291" t="s">
        <v>1937</v>
      </c>
      <c r="D117" s="1049" t="str">
        <f ca="1">IF(D116=D112,D113,IF(A116="——","——",N61))</f>
        <v>——</v>
      </c>
      <c r="E117" s="2187"/>
      <c r="F117" s="2936" t="str">
        <f>IF(B32="总价","（以上估价结果中单价为总价除以建筑面积得出）","（以上估价结果中总价为楼面单价乘以建筑面积得出）")</f>
        <v>（以上估价结果中单价为总价除以建筑面积得出）</v>
      </c>
      <c r="G117" s="2936"/>
      <c r="H117" s="2936"/>
      <c r="I117" s="2936"/>
      <c r="N117" s="55"/>
      <c r="O117" s="55"/>
    </row>
    <row r="118" spans="1:15" ht="15">
      <c r="A118" s="2885" t="s">
        <v>1947</v>
      </c>
      <c r="B118" s="2886"/>
      <c r="C118" s="2886"/>
      <c r="D118" s="2886"/>
      <c r="E118" s="2886"/>
      <c r="F118" s="2886"/>
      <c r="G118" s="2886"/>
      <c r="H118" s="2886"/>
      <c r="I118" s="2886"/>
    </row>
    <row r="119" spans="1:15" ht="14.25">
      <c r="A119" s="2857" t="s">
        <v>1948</v>
      </c>
      <c r="B119" s="2855" t="s">
        <v>1949</v>
      </c>
      <c r="C119" s="2855" t="s">
        <v>1950</v>
      </c>
      <c r="D119" s="2862" t="s">
        <v>1951</v>
      </c>
      <c r="E119" s="2863"/>
      <c r="F119" s="2853" t="s">
        <v>1809</v>
      </c>
      <c r="G119" s="2853"/>
      <c r="H119" s="2853" t="s">
        <v>1952</v>
      </c>
      <c r="I119" s="2854"/>
    </row>
    <row r="120" spans="1:15" ht="14.25">
      <c r="A120" s="2857"/>
      <c r="B120" s="2856"/>
      <c r="C120" s="2856"/>
      <c r="D120" s="1883" t="s">
        <v>1953</v>
      </c>
      <c r="E120" s="1883" t="s">
        <v>1954</v>
      </c>
      <c r="F120" s="1883" t="s">
        <v>1953</v>
      </c>
      <c r="G120" s="1883" t="s">
        <v>1955</v>
      </c>
      <c r="H120" s="1883" t="s">
        <v>1953</v>
      </c>
      <c r="I120" s="637" t="s">
        <v>1955</v>
      </c>
    </row>
    <row r="121" spans="1:15" ht="14.25">
      <c r="A121" s="2173" t="str">
        <f>项目基本情况!I1</f>
        <v>北京市房地产</v>
      </c>
      <c r="B121" s="1883">
        <f>项目基本情况!C12</f>
        <v>573.89</v>
      </c>
      <c r="C121" s="1883">
        <f>项目基本情况!C13</f>
        <v>0</v>
      </c>
      <c r="D121" s="1883">
        <f ca="1">ROUND(IF(B32="总价",C34,IF('数据-取费表'!B3="万元",E121*B121/10000,E121*B121)),0)</f>
        <v>7661043</v>
      </c>
      <c r="E121" s="1883">
        <f ca="1">ROUND(IF(B32="楼面单价",C34,IF(H19="元",D121/B121,D121*10000/B121)),0)</f>
        <v>13349</v>
      </c>
      <c r="F121" s="1883">
        <f ca="1">ROUND(IF(B32="总价",C35,IF('数据-取费表'!B3="万元",G121*B121/10000,G121*B121)),0)</f>
        <v>7043455</v>
      </c>
      <c r="G121" s="1883">
        <f ca="1">ROUND(IF(B32="楼面单价",C35,IF(H19="元",F121/B121,F121*10000/B121)),0)</f>
        <v>12273</v>
      </c>
      <c r="H121" s="1883">
        <f ca="1">ROUND(IF(B32="总价",C32,IF('数据-取费表'!B3="万元",I121*B121/10000,I121*B121)),0)</f>
        <v>14704498</v>
      </c>
      <c r="I121" s="637">
        <f ca="1">ROUND(IF(B32="楼面单价",C32,IF(H19="元",H121/B121,H121*10000/B121)),0)</f>
        <v>25623</v>
      </c>
    </row>
    <row r="122" spans="1:15" ht="14.25">
      <c r="A122" s="2857" t="s">
        <v>1956</v>
      </c>
      <c r="B122" s="2853"/>
      <c r="C122" s="2853"/>
      <c r="D122" s="2889" t="str">
        <f ca="1">IF(H19="元",NUMBERSTRING(INT(D121),2)&amp;"元整",NUMBERSTRING(INT(D121*10000),2)&amp;"元整")</f>
        <v>柒佰陆拾陆万壹仟零肆拾叁元整</v>
      </c>
      <c r="E122" s="2890"/>
      <c r="F122" s="2889" t="str">
        <f ca="1">IF(H19="元",NUMBERSTRING(INT(F121),2)&amp;"元整",NUMBERSTRING(INT(F121*10000),2)&amp;"元整")</f>
        <v>柒佰零肆万叁仟肆佰伍拾伍元整</v>
      </c>
      <c r="G122" s="2890"/>
      <c r="H122" s="2889" t="str">
        <f ca="1">IF(H19="元",NUMBERSTRING(INT(H121),2)&amp;"元整",NUMBERSTRING(INT(H121*10000),2)&amp;"元整")</f>
        <v>壹仟肆佰柒拾万肆仟肆佰玖拾捌元整</v>
      </c>
      <c r="I122" s="2954"/>
    </row>
    <row r="123" spans="1:15" ht="15">
      <c r="A123" s="2891" t="str">
        <f>IF(项目基本情况!D5="房地产市场价值","——",MID(A108,3,LEN(A108)-2))</f>
        <v>估价师所知悉的法定优先受偿款</v>
      </c>
      <c r="B123" s="2892"/>
      <c r="C123" s="2893"/>
      <c r="D123" s="2882">
        <f>I105</f>
        <v>0</v>
      </c>
      <c r="E123" s="2892"/>
      <c r="F123" s="2892"/>
      <c r="G123" s="2892"/>
      <c r="H123" s="2892"/>
      <c r="I123" s="2941"/>
    </row>
    <row r="124" spans="1:15" ht="14.25">
      <c r="A124" s="2894" t="s">
        <v>1956</v>
      </c>
      <c r="B124" s="2895"/>
      <c r="C124" s="2896"/>
      <c r="D124" s="2942">
        <f>H109</f>
        <v>0</v>
      </c>
      <c r="E124" s="2943"/>
      <c r="F124" s="2943"/>
      <c r="G124" s="2943"/>
      <c r="H124" s="2943"/>
      <c r="I124" s="2944"/>
    </row>
    <row r="125" spans="1:15" ht="15">
      <c r="A125" s="2880" t="str">
        <f>IF(项目基本情况!D5="房地产市场价值","——",MID(A112,3,LEN(A112)-2))</f>
        <v>房地产抵押价值</v>
      </c>
      <c r="B125" s="2881"/>
      <c r="C125" s="2881"/>
      <c r="D125" s="2882">
        <f ca="1">I110</f>
        <v>14704498</v>
      </c>
      <c r="E125" s="2892"/>
      <c r="F125" s="2892"/>
      <c r="G125" s="2892"/>
      <c r="H125" s="2892"/>
      <c r="I125" s="2941"/>
    </row>
    <row r="126" spans="1:15" ht="14.25">
      <c r="A126" s="2857" t="s">
        <v>1956</v>
      </c>
      <c r="B126" s="2853"/>
      <c r="C126" s="2853"/>
      <c r="D126" s="2942">
        <f ca="1">I111</f>
        <v>25623</v>
      </c>
      <c r="E126" s="2943"/>
      <c r="F126" s="2943"/>
      <c r="G126" s="2943"/>
      <c r="H126" s="2943"/>
      <c r="I126" s="2944"/>
    </row>
    <row r="127" spans="1:15" ht="15.75" thickBot="1">
      <c r="A127" s="2880" t="str">
        <f>IF(项目基本情况!D5="房地产市场价值","——",MID(A114,3,LEN(A114)-2))</f>
        <v/>
      </c>
      <c r="B127" s="2881"/>
      <c r="C127" s="2881"/>
      <c r="D127" s="2837" t="str">
        <f>I112</f>
        <v>——</v>
      </c>
      <c r="E127" s="2838"/>
      <c r="F127" s="2838"/>
      <c r="G127" s="2838"/>
      <c r="H127" s="2838"/>
      <c r="I127" s="2839"/>
    </row>
    <row r="128" spans="1:15" ht="15.75" thickTop="1" thickBot="1">
      <c r="A128" s="2857" t="s">
        <v>1956</v>
      </c>
      <c r="B128" s="2853"/>
      <c r="C128" s="2937"/>
      <c r="D128" s="2883" t="str">
        <f>I113</f>
        <v>——</v>
      </c>
      <c r="E128" s="2883"/>
      <c r="F128" s="2883"/>
      <c r="G128" s="2883"/>
      <c r="H128" s="2883"/>
      <c r="I128" s="2883"/>
    </row>
    <row r="129" spans="1:9" ht="16.5" thickTop="1" thickBot="1">
      <c r="A129" s="2880" t="str">
        <f>IF(项目基本情况!D5="房地产市场价值","——",MID(F114,3,LEN(F114)-2))</f>
        <v/>
      </c>
      <c r="B129" s="2881"/>
      <c r="C129" s="2882"/>
      <c r="D129" s="2945" t="str">
        <f>I114</f>
        <v>——</v>
      </c>
      <c r="E129" s="2945"/>
      <c r="F129" s="2945"/>
      <c r="G129" s="2945"/>
      <c r="H129" s="2945"/>
      <c r="I129" s="2945"/>
    </row>
    <row r="130" spans="1:9" ht="15.75" thickTop="1" thickBot="1">
      <c r="A130" s="2950" t="s">
        <v>1956</v>
      </c>
      <c r="B130" s="2951"/>
      <c r="C130" s="2951"/>
      <c r="D130" s="2955">
        <f>H116</f>
        <v>0</v>
      </c>
      <c r="E130" s="2956"/>
      <c r="F130" s="2956"/>
      <c r="G130" s="2956"/>
      <c r="H130" s="2956"/>
      <c r="I130" s="2957"/>
    </row>
    <row r="131" spans="1:9" ht="12.75">
      <c r="A131" s="2270" t="str">
        <f>IF(H19="元","单位：平方米、元、元/平方米（币种：人民币）","单位：平方米、万元、元/平方米（币种：人民币）")</f>
        <v>单位：平方米、元、元/平方米（币种：人民币）</v>
      </c>
      <c r="B131" s="2270"/>
      <c r="C131" s="2270"/>
      <c r="D131" s="2270"/>
      <c r="E131" s="2270"/>
      <c r="F131" s="2270"/>
      <c r="G131" s="2270"/>
      <c r="H131" s="2270"/>
      <c r="I131" s="2270"/>
    </row>
    <row r="132" spans="1:9" ht="13.5" thickBot="1">
      <c r="A132" s="2935" t="str">
        <f>IF(B32="总价","（以上估价结果中楼面单价为总价除以建筑面积得出）","（以上估价结果中总价为楼面单价乘以建筑面积得出）")</f>
        <v>（以上估价结果中楼面单价为总价除以建筑面积得出）</v>
      </c>
      <c r="B132" s="2935"/>
      <c r="C132" s="2935"/>
      <c r="D132" s="2935"/>
      <c r="E132" s="2935"/>
      <c r="F132" s="2935"/>
      <c r="G132" s="2935"/>
      <c r="H132" s="2935"/>
      <c r="I132" s="2935"/>
    </row>
    <row r="133" spans="1:9" ht="21.75" customHeight="1">
      <c r="A133" s="2292" t="s">
        <v>1957</v>
      </c>
      <c r="B133" s="2293"/>
      <c r="C133" s="2294" t="s">
        <v>1958</v>
      </c>
      <c r="D133" s="2295"/>
      <c r="E133" s="2295"/>
      <c r="F133" s="2295"/>
      <c r="G133" s="2295"/>
      <c r="H133" s="2296"/>
      <c r="I133" s="2297"/>
    </row>
    <row r="134" spans="1:9" ht="21.75" customHeight="1">
      <c r="A134" s="2298">
        <v>1</v>
      </c>
      <c r="B134" s="2299"/>
      <c r="C134" s="2299"/>
      <c r="D134" s="2295"/>
      <c r="E134" s="2295"/>
      <c r="F134" s="2295"/>
      <c r="G134" s="2295"/>
      <c r="H134" s="2296"/>
      <c r="I134" s="2297"/>
    </row>
    <row r="135" spans="1:9" ht="21.75" customHeight="1">
      <c r="A135" s="2298">
        <v>2</v>
      </c>
      <c r="B135" s="2299"/>
      <c r="C135" s="2299"/>
      <c r="D135" s="2295"/>
      <c r="E135" s="2295"/>
      <c r="F135" s="2295"/>
      <c r="G135" s="2295"/>
      <c r="H135" s="2296"/>
      <c r="I135" s="2297"/>
    </row>
    <row r="136" spans="1:9" ht="21.75" customHeight="1">
      <c r="A136" s="2298">
        <v>3</v>
      </c>
      <c r="B136" s="2299"/>
      <c r="C136" s="2299"/>
      <c r="D136" s="2295"/>
      <c r="E136" s="2295"/>
      <c r="F136" s="55"/>
      <c r="G136" s="55"/>
      <c r="H136" s="55"/>
      <c r="I136" s="55"/>
    </row>
    <row r="137" spans="1:9" ht="21.75" customHeight="1">
      <c r="A137" s="2300"/>
      <c r="B137" s="2301"/>
      <c r="C137" s="2301"/>
      <c r="D137" s="2302"/>
      <c r="E137" s="2302"/>
      <c r="F137" s="2302"/>
      <c r="G137" s="2302"/>
      <c r="H137" s="2303"/>
      <c r="I137" s="2304"/>
    </row>
    <row r="138" spans="1:9" ht="21.75" customHeight="1">
      <c r="A138" s="2299"/>
      <c r="B138" s="2299"/>
      <c r="C138" s="2299"/>
      <c r="D138" s="2295"/>
      <c r="E138" s="2295"/>
      <c r="F138" s="2295"/>
      <c r="G138" s="2295"/>
      <c r="H138" s="2296"/>
      <c r="I138" s="798"/>
    </row>
    <row r="139" spans="1:9" ht="21.75" customHeight="1">
      <c r="A139" s="798"/>
      <c r="B139" s="798"/>
      <c r="C139" s="798"/>
      <c r="D139" s="798"/>
      <c r="E139" s="798"/>
      <c r="F139" s="2305" t="s">
        <v>1959</v>
      </c>
      <c r="G139" s="2306"/>
      <c r="H139" s="2306"/>
      <c r="I139" s="2307" t="s">
        <v>1960</v>
      </c>
    </row>
    <row r="140" spans="1:9" ht="21.75" customHeight="1">
      <c r="A140" s="798"/>
      <c r="B140" s="2308" t="s">
        <v>1961</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6"/>
      <c r="C142" s="2306"/>
      <c r="D142" s="2306"/>
      <c r="E142" s="2306"/>
      <c r="F142" s="2306"/>
      <c r="G142" s="2306"/>
      <c r="H142" s="2306"/>
      <c r="I142" s="2307" t="s">
        <v>1962</v>
      </c>
    </row>
    <row r="143" spans="1:9" ht="21.75" customHeight="1">
      <c r="A143" s="798"/>
      <c r="B143" s="2308" t="s">
        <v>1963</v>
      </c>
      <c r="C143" s="798"/>
      <c r="D143" s="798"/>
      <c r="E143" s="798"/>
      <c r="F143" s="798"/>
      <c r="G143" s="798"/>
      <c r="H143" s="798"/>
      <c r="I143" s="798"/>
    </row>
    <row r="144" spans="1:9" ht="21.75" customHeight="1">
      <c r="A144" s="798"/>
      <c r="B144" s="2308"/>
      <c r="C144" s="798"/>
      <c r="D144" s="798"/>
      <c r="E144" s="798"/>
      <c r="F144" s="798"/>
      <c r="G144" s="798"/>
      <c r="H144" s="798"/>
      <c r="I144" s="798"/>
    </row>
    <row r="145" spans="1:35" ht="21.75" customHeight="1">
      <c r="A145" s="798"/>
      <c r="B145" s="2306"/>
      <c r="C145" s="2306"/>
      <c r="D145" s="2306"/>
      <c r="E145" s="2306"/>
      <c r="F145" s="2306"/>
      <c r="G145" s="2306"/>
      <c r="H145" s="2306"/>
      <c r="I145" s="2307" t="s">
        <v>1962</v>
      </c>
    </row>
    <row r="146" spans="1:35" ht="21.75" customHeight="1">
      <c r="A146" s="798"/>
      <c r="B146" s="2308"/>
      <c r="C146" s="2309"/>
      <c r="D146" s="2310"/>
      <c r="E146" s="2310"/>
      <c r="F146" s="2311"/>
      <c r="G146" s="798"/>
      <c r="H146" s="798"/>
      <c r="I146" s="798"/>
    </row>
    <row r="147" spans="1:35" s="55" customFormat="1" ht="21.75" customHeight="1">
      <c r="A147" s="798"/>
      <c r="B147" s="2308"/>
      <c r="C147" s="2309"/>
      <c r="D147" s="2310"/>
      <c r="E147" s="2310"/>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F516" s="2188"/>
      <c r="G516" s="2188"/>
      <c r="H516" s="2188"/>
      <c r="I516" s="2188"/>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88"/>
    <col min="2" max="2" width="17.625" style="2188" customWidth="1"/>
    <col min="3" max="4" width="12.625" style="2188" customWidth="1"/>
    <col min="5" max="9" width="12.625" style="2188"/>
    <col min="10" max="11" width="12.625" style="798" customWidth="1"/>
    <col min="12" max="12" width="12.625" style="798"/>
    <col min="13" max="13" width="14.125" style="798" bestFit="1" customWidth="1"/>
    <col min="14" max="26" width="12.625" style="798"/>
    <col min="27" max="35" width="12.625" style="1841"/>
    <col min="36" max="16384" width="12.625" style="2188"/>
  </cols>
  <sheetData>
    <row r="1" spans="1:12" ht="21.75" customHeight="1">
      <c r="A1" s="2186" t="s">
        <v>1964</v>
      </c>
      <c r="B1" s="2187"/>
      <c r="C1" s="2187"/>
      <c r="D1" s="2187"/>
      <c r="E1" s="2187"/>
      <c r="F1" s="2187"/>
      <c r="G1" s="2187"/>
      <c r="H1" s="2187"/>
      <c r="I1" s="2187"/>
    </row>
    <row r="2" spans="1:12" ht="21.75" customHeight="1">
      <c r="A2" s="2959" t="s">
        <v>1965</v>
      </c>
      <c r="B2" s="2959"/>
      <c r="C2" s="2959"/>
      <c r="D2" s="2959"/>
      <c r="E2" s="2959"/>
      <c r="F2" s="2959"/>
      <c r="G2" s="2959"/>
      <c r="H2" s="2959"/>
      <c r="I2" s="2959"/>
    </row>
    <row r="3" spans="1:12" ht="12.75">
      <c r="A3" s="2913" t="s">
        <v>1769</v>
      </c>
      <c r="B3" s="2914"/>
      <c r="C3" s="2914"/>
      <c r="D3" s="2914"/>
      <c r="E3" s="2914"/>
      <c r="F3" s="2914"/>
      <c r="G3" s="2914"/>
      <c r="H3" s="2914"/>
      <c r="I3" s="2914"/>
    </row>
    <row r="4" spans="1:12" ht="14.25">
      <c r="A4" s="2189" t="s">
        <v>1770</v>
      </c>
      <c r="B4" s="2190" t="s">
        <v>1771</v>
      </c>
      <c r="C4" s="2191"/>
      <c r="D4" s="2191"/>
      <c r="E4" s="2918" t="s">
        <v>1966</v>
      </c>
      <c r="F4" s="2919"/>
      <c r="G4" s="2919"/>
      <c r="H4" s="2919"/>
      <c r="I4" s="2920"/>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8" t="s">
        <v>1773</v>
      </c>
      <c r="B5" s="2853">
        <v>25</v>
      </c>
      <c r="C5" s="2915"/>
      <c r="D5" s="2912"/>
      <c r="E5" s="56" t="s">
        <v>1774</v>
      </c>
      <c r="F5" s="2192"/>
      <c r="G5" s="2192"/>
      <c r="H5" s="2192"/>
      <c r="I5" s="2193"/>
    </row>
    <row r="6" spans="1:12" ht="12.75">
      <c r="A6" s="2908"/>
      <c r="B6" s="2853"/>
      <c r="C6" s="2916"/>
      <c r="D6" s="2912"/>
      <c r="E6" s="56" t="s">
        <v>1775</v>
      </c>
      <c r="F6" s="2192"/>
      <c r="G6" s="2192"/>
      <c r="H6" s="2192"/>
      <c r="I6" s="2193"/>
    </row>
    <row r="7" spans="1:12" ht="12.75">
      <c r="A7" s="2908"/>
      <c r="B7" s="2853"/>
      <c r="C7" s="2917"/>
      <c r="D7" s="2912"/>
      <c r="E7" s="56" t="s">
        <v>1776</v>
      </c>
      <c r="F7" s="2192"/>
      <c r="G7" s="2192"/>
      <c r="H7" s="2192"/>
      <c r="I7" s="2193"/>
    </row>
    <row r="8" spans="1:12" ht="12.75">
      <c r="A8" s="2908" t="s">
        <v>1777</v>
      </c>
      <c r="B8" s="2853">
        <v>15</v>
      </c>
      <c r="C8" s="2915"/>
      <c r="D8" s="2912"/>
      <c r="E8" s="56" t="s">
        <v>1778</v>
      </c>
      <c r="F8" s="2192"/>
      <c r="G8" s="2192"/>
      <c r="H8" s="2192"/>
      <c r="I8" s="2193"/>
    </row>
    <row r="9" spans="1:12" ht="12.75">
      <c r="A9" s="2908"/>
      <c r="B9" s="2853"/>
      <c r="C9" s="2917"/>
      <c r="D9" s="2912"/>
      <c r="E9" s="56" t="s">
        <v>1779</v>
      </c>
      <c r="F9" s="2192"/>
      <c r="G9" s="2192"/>
      <c r="H9" s="2192"/>
      <c r="I9" s="2193"/>
    </row>
    <row r="10" spans="1:12" ht="12.75">
      <c r="A10" s="2908" t="s">
        <v>1780</v>
      </c>
      <c r="B10" s="2853">
        <v>15</v>
      </c>
      <c r="C10" s="2915"/>
      <c r="D10" s="2912"/>
      <c r="E10" s="56" t="s">
        <v>1781</v>
      </c>
      <c r="F10" s="2192"/>
      <c r="G10" s="2192"/>
      <c r="H10" s="2192"/>
      <c r="I10" s="2193"/>
    </row>
    <row r="11" spans="1:12" ht="12.75">
      <c r="A11" s="2908"/>
      <c r="B11" s="2853"/>
      <c r="C11" s="2917"/>
      <c r="D11" s="2912"/>
      <c r="E11" s="56" t="s">
        <v>1782</v>
      </c>
      <c r="F11" s="2192"/>
      <c r="G11" s="2192"/>
      <c r="H11" s="2192"/>
      <c r="I11" s="2193"/>
    </row>
    <row r="12" spans="1:12" ht="12.75">
      <c r="A12" s="2908" t="s">
        <v>1783</v>
      </c>
      <c r="B12" s="2853">
        <v>15</v>
      </c>
      <c r="C12" s="2915"/>
      <c r="D12" s="2912"/>
      <c r="E12" s="56" t="s">
        <v>1784</v>
      </c>
      <c r="F12" s="2192"/>
      <c r="G12" s="2192"/>
      <c r="H12" s="2192"/>
      <c r="I12" s="2193"/>
    </row>
    <row r="13" spans="1:12" ht="12.75">
      <c r="A13" s="2908"/>
      <c r="B13" s="2853"/>
      <c r="C13" s="2917"/>
      <c r="D13" s="2912"/>
      <c r="E13" s="56" t="s">
        <v>1785</v>
      </c>
      <c r="F13" s="2192"/>
      <c r="G13" s="2192"/>
      <c r="H13" s="2192"/>
      <c r="I13" s="2193"/>
    </row>
    <row r="14" spans="1:12" ht="12.75">
      <c r="A14" s="2908" t="s">
        <v>1786</v>
      </c>
      <c r="B14" s="2853">
        <v>30</v>
      </c>
      <c r="C14" s="2915"/>
      <c r="D14" s="2912"/>
      <c r="E14" s="56" t="s">
        <v>1787</v>
      </c>
      <c r="F14" s="2192"/>
      <c r="G14" s="2192"/>
      <c r="H14" s="2192"/>
      <c r="I14" s="2193"/>
    </row>
    <row r="15" spans="1:12" ht="12.75">
      <c r="A15" s="2908"/>
      <c r="B15" s="2853"/>
      <c r="C15" s="2916"/>
      <c r="D15" s="2912"/>
      <c r="E15" s="56" t="s">
        <v>1788</v>
      </c>
      <c r="F15" s="2192"/>
      <c r="G15" s="2192"/>
      <c r="H15" s="2192"/>
      <c r="I15" s="2193"/>
    </row>
    <row r="16" spans="1:12" ht="12.75">
      <c r="A16" s="2908"/>
      <c r="B16" s="2853"/>
      <c r="C16" s="2917"/>
      <c r="D16" s="2912"/>
      <c r="E16" s="56" t="s">
        <v>1789</v>
      </c>
      <c r="F16" s="2192"/>
      <c r="G16" s="2192"/>
      <c r="H16" s="2192"/>
      <c r="I16" s="2193"/>
    </row>
    <row r="17" spans="1:35" ht="15">
      <c r="A17" s="2194" t="s">
        <v>1790</v>
      </c>
      <c r="B17" s="2195"/>
      <c r="C17" s="57">
        <f>SUM(C5:C16)</f>
        <v>0</v>
      </c>
      <c r="D17" s="57">
        <f>SUM(D5:D16)</f>
        <v>0</v>
      </c>
      <c r="E17" s="2187"/>
      <c r="F17" s="2187"/>
      <c r="G17" s="2187"/>
      <c r="H17" s="2187"/>
      <c r="I17" s="2187"/>
    </row>
    <row r="18" spans="1:35" ht="15.75" thickBot="1">
      <c r="A18" s="2196" t="s">
        <v>1791</v>
      </c>
      <c r="B18" s="2197"/>
      <c r="C18" s="58" t="e">
        <f>ROUND(C17/SUM(C17:D17),2)</f>
        <v>#DIV/0!</v>
      </c>
      <c r="D18" s="58" t="e">
        <f>1-C18</f>
        <v>#DIV/0!</v>
      </c>
      <c r="E18" s="2187"/>
      <c r="F18" s="2187"/>
      <c r="G18" s="2187"/>
      <c r="H18" s="2187"/>
      <c r="I18" s="2187"/>
    </row>
    <row r="19" spans="1:35" ht="15">
      <c r="A19" s="2198" t="s">
        <v>1792</v>
      </c>
      <c r="B19" s="2199" t="s">
        <v>1793</v>
      </c>
      <c r="C19" s="59" t="e">
        <f ca="1">SUMIF(INDIRECT("'"&amp;C4&amp;"'"&amp;"!A:A"),'结果表 (1修多)'!B19,INDIRECT("'"&amp;C4&amp;"'"&amp;"!B:B"))</f>
        <v>#REF!</v>
      </c>
      <c r="D19" s="60" t="e">
        <f ca="1">SUMIF(INDIRECT("'"&amp;D4&amp;"'"&amp;"!A:A"),'结果表 (1修多)'!B19,INDIRECT("'"&amp;D4&amp;"'"&amp;"!B:B"))</f>
        <v>#REF!</v>
      </c>
      <c r="E19" s="2198" t="s">
        <v>1794</v>
      </c>
      <c r="F19" s="2199" t="s">
        <v>1793</v>
      </c>
      <c r="G19" s="61" t="e">
        <f ca="1">ROUND(C19*$C$18+D19*$D$18,0)</f>
        <v>#REF!</v>
      </c>
      <c r="H19" s="2200" t="str">
        <f>'数据-取费表'!B3</f>
        <v>元</v>
      </c>
      <c r="I19" s="2187"/>
    </row>
    <row r="20" spans="1:35" ht="15">
      <c r="A20" s="2201"/>
      <c r="B20" s="2202" t="s">
        <v>1795</v>
      </c>
      <c r="C20" s="62" t="e">
        <f ca="1">SUMIF(INDIRECT("'"&amp;C4&amp;"'"&amp;"!A:A"),'结果表 (1修多)'!B20,INDIRECT("'"&amp;C4&amp;"'"&amp;"!B:B"))</f>
        <v>#REF!</v>
      </c>
      <c r="D20" s="63" t="e">
        <f ca="1">SUMIF(INDIRECT("'"&amp;D4&amp;"'"&amp;"!A:A"),'结果表 (1修多)'!B20,INDIRECT("'"&amp;D4&amp;"'"&amp;"!B:B"))</f>
        <v>#REF!</v>
      </c>
      <c r="E20" s="2201"/>
      <c r="F20" s="2202" t="s">
        <v>1795</v>
      </c>
      <c r="G20" s="64" t="e">
        <f ca="1">ROUND(C20*$C$18+D20*$D$18,0)</f>
        <v>#REF!</v>
      </c>
      <c r="H20" s="2203" t="s">
        <v>1796</v>
      </c>
      <c r="I20" s="2187"/>
    </row>
    <row r="21" spans="1:35" ht="15" customHeight="1" thickBot="1">
      <c r="A21" s="2204"/>
      <c r="B21" s="2205"/>
      <c r="C21" s="770"/>
      <c r="D21" s="771"/>
      <c r="E21" s="2204"/>
      <c r="F21" s="2205"/>
      <c r="G21" s="65"/>
      <c r="H21" s="2206"/>
      <c r="I21" s="2187"/>
    </row>
    <row r="22" spans="1:35" ht="15" thickBot="1">
      <c r="A22" s="2207" t="s">
        <v>1797</v>
      </c>
      <c r="B22" s="2208"/>
      <c r="C22" s="2209"/>
      <c r="D22" s="772" t="e">
        <f ca="1">IF(C19&lt;D19,D19/C19-1,C19/D19-1)</f>
        <v>#REF!</v>
      </c>
      <c r="E22" s="2187"/>
      <c r="F22" s="2187"/>
      <c r="G22" s="2187"/>
      <c r="H22" s="2187"/>
      <c r="I22" s="2187"/>
    </row>
    <row r="23" spans="1:35" ht="13.5" thickBot="1">
      <c r="A23" s="2187"/>
      <c r="B23" s="2187"/>
      <c r="C23" s="2187"/>
      <c r="D23" s="2187"/>
      <c r="E23" s="2187"/>
      <c r="F23" s="2187"/>
      <c r="G23" s="2187"/>
      <c r="H23" s="2187"/>
      <c r="I23" s="2187"/>
    </row>
    <row r="24" spans="1:35" ht="21.75" customHeight="1">
      <c r="A24" s="2921" t="s">
        <v>1798</v>
      </c>
      <c r="B24" s="2199" t="s">
        <v>1793</v>
      </c>
      <c r="C24" s="61">
        <f>D30</f>
        <v>0</v>
      </c>
      <c r="D24" s="993"/>
      <c r="E24" s="2187"/>
      <c r="F24" s="2187"/>
      <c r="G24" s="2187"/>
      <c r="H24" s="2187"/>
      <c r="I24" s="2187"/>
    </row>
    <row r="25" spans="1:35" ht="21.75" customHeight="1">
      <c r="A25" s="2922"/>
      <c r="B25" s="2202" t="s">
        <v>1795</v>
      </c>
      <c r="C25" s="66">
        <f>IF(B30=0,0,C30)</f>
        <v>0</v>
      </c>
      <c r="D25" s="2210"/>
      <c r="E25" s="2187"/>
      <c r="F25" s="2187"/>
      <c r="G25" s="2187"/>
      <c r="H25" s="2187"/>
      <c r="I25" s="2187"/>
    </row>
    <row r="26" spans="1:35" ht="13.5" customHeight="1">
      <c r="A26" s="2211" t="s">
        <v>1799</v>
      </c>
      <c r="B26" s="67" t="s">
        <v>1800</v>
      </c>
      <c r="C26" s="67" t="s">
        <v>1801</v>
      </c>
      <c r="D26" s="68" t="s">
        <v>1802</v>
      </c>
      <c r="E26" s="2187"/>
      <c r="F26" s="2187"/>
      <c r="G26" s="2187"/>
      <c r="H26" s="2187"/>
      <c r="I26" s="2187"/>
    </row>
    <row r="27" spans="1:35" ht="14.25">
      <c r="A27" s="2212" t="s">
        <v>1967</v>
      </c>
      <c r="B27" s="67">
        <v>0</v>
      </c>
      <c r="C27" s="67">
        <v>0</v>
      </c>
      <c r="D27" s="68">
        <f>ROUND(C27*B27/10000,0)</f>
        <v>0</v>
      </c>
      <c r="E27" s="2187"/>
      <c r="F27" s="2187"/>
      <c r="G27" s="2187"/>
      <c r="H27" s="2187"/>
      <c r="I27" s="2187"/>
    </row>
    <row r="28" spans="1:35" ht="14.25">
      <c r="A28" s="2211"/>
      <c r="B28" s="67"/>
      <c r="C28" s="67"/>
      <c r="D28" s="68">
        <f>ROUND(C28*B28/10000,0)</f>
        <v>0</v>
      </c>
      <c r="E28" s="2187"/>
      <c r="F28" s="2187"/>
      <c r="G28" s="2187"/>
      <c r="H28" s="2187"/>
      <c r="I28" s="2187"/>
    </row>
    <row r="29" spans="1:35" ht="14.25">
      <c r="A29" s="2211"/>
      <c r="B29" s="67"/>
      <c r="C29" s="67"/>
      <c r="D29" s="68">
        <f t="shared" ref="D29" si="0">ROUND(C29*B29/10000,0)</f>
        <v>0</v>
      </c>
      <c r="E29" s="2187"/>
      <c r="F29" s="2187"/>
      <c r="G29" s="2187"/>
      <c r="H29" s="2187"/>
      <c r="I29" s="2187"/>
    </row>
    <row r="30" spans="1:35" ht="15" thickBot="1">
      <c r="A30" s="2709" t="s">
        <v>1968</v>
      </c>
      <c r="B30" s="2710"/>
      <c r="C30" s="2710"/>
      <c r="D30" s="2710"/>
      <c r="E30" s="2708" t="s">
        <v>2807</v>
      </c>
      <c r="F30" s="2187"/>
      <c r="G30" s="2187"/>
      <c r="H30" s="2187"/>
      <c r="I30" s="2187"/>
    </row>
    <row r="31" spans="1:35" s="2214" customFormat="1" ht="15.75" thickBot="1">
      <c r="A31" s="2969" t="s">
        <v>1969</v>
      </c>
      <c r="B31" s="2969"/>
      <c r="C31" s="2969"/>
      <c r="D31" s="2969"/>
      <c r="E31" s="2969"/>
      <c r="F31" s="2969"/>
      <c r="G31" s="2969"/>
      <c r="H31" s="2969"/>
      <c r="I31" s="2969"/>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
      <c r="A32" s="2312"/>
      <c r="B32" s="2313" t="s">
        <v>1970</v>
      </c>
      <c r="C32" s="1304">
        <f>典型户型修正!R27</f>
        <v>0</v>
      </c>
      <c r="D32" s="2187" t="s">
        <v>1971</v>
      </c>
      <c r="E32" s="2187"/>
      <c r="F32" s="2187"/>
      <c r="G32" s="2187"/>
      <c r="H32" s="2187"/>
      <c r="I32" s="2187"/>
    </row>
    <row r="33" spans="1:16" ht="15">
      <c r="A33" s="2314" t="s">
        <v>1972</v>
      </c>
      <c r="B33" s="2315" t="s">
        <v>1973</v>
      </c>
      <c r="C33" s="1305">
        <f>典型户型修正!B2</f>
        <v>0</v>
      </c>
      <c r="D33" s="2316" t="str">
        <f>IF('数据-取费表'!B3="万元","万元","元")</f>
        <v>元</v>
      </c>
      <c r="E33" s="2187"/>
      <c r="F33" s="2187"/>
      <c r="G33" s="2187"/>
      <c r="H33" s="2187"/>
      <c r="I33" s="2187"/>
    </row>
    <row r="34" spans="1:16" ht="15.75" thickBot="1">
      <c r="A34" s="2317"/>
      <c r="B34" s="2318" t="s">
        <v>1974</v>
      </c>
      <c r="C34" s="771">
        <f>典型户型修正!B3</f>
        <v>0</v>
      </c>
      <c r="D34" s="2187" t="s">
        <v>1975</v>
      </c>
      <c r="E34" s="2187"/>
      <c r="F34" s="2187"/>
      <c r="G34" s="2187"/>
      <c r="H34" s="2187"/>
      <c r="I34" s="2187"/>
    </row>
    <row r="35" spans="1:16" ht="15">
      <c r="A35" s="2319"/>
      <c r="B35" s="2320" t="s">
        <v>1976</v>
      </c>
      <c r="C35" s="1312">
        <f>IF('数据-取费表'!B3="万元",典型户型修正!V25,典型户型修正!U25)</f>
        <v>0</v>
      </c>
      <c r="D35" s="2187" t="str">
        <f>D33</f>
        <v>元</v>
      </c>
      <c r="E35" s="2187"/>
      <c r="F35" s="2187"/>
      <c r="G35" s="2187"/>
      <c r="H35" s="2187"/>
      <c r="I35" s="2187"/>
    </row>
    <row r="36" spans="1:16" ht="15.75" thickBot="1">
      <c r="A36" s="2226"/>
      <c r="B36" s="2321" t="s">
        <v>1977</v>
      </c>
      <c r="C36" s="1313">
        <f>IF('数据-取费表'!B3="万元",典型户型修正!Y25,典型户型修正!X25)</f>
        <v>0</v>
      </c>
      <c r="D36" s="2187" t="str">
        <f>D33</f>
        <v>元</v>
      </c>
      <c r="E36" s="2187"/>
      <c r="F36" s="2187"/>
      <c r="G36" s="2187"/>
      <c r="H36" s="2187"/>
      <c r="I36" s="2187"/>
    </row>
    <row r="37" spans="1:16" ht="15.75" thickBot="1">
      <c r="A37" s="2926" t="s">
        <v>1978</v>
      </c>
      <c r="B37" s="2229" t="s">
        <v>1979</v>
      </c>
      <c r="C37" s="69"/>
      <c r="D37" s="2230"/>
      <c r="E37" s="2231"/>
      <c r="F37" s="2231"/>
      <c r="G37" s="2187"/>
      <c r="H37" s="2187"/>
      <c r="I37" s="2187"/>
    </row>
    <row r="38" spans="1:16" ht="15.75" thickBot="1">
      <c r="A38" s="2927"/>
      <c r="B38" s="2232" t="s">
        <v>1980</v>
      </c>
      <c r="C38" s="71"/>
      <c r="D38" s="2197"/>
      <c r="E38" s="2197"/>
      <c r="F38" s="2231"/>
      <c r="G38" s="2197"/>
      <c r="H38" s="2197"/>
      <c r="I38" s="2197"/>
    </row>
    <row r="39" spans="1:16" ht="15.75" thickBot="1">
      <c r="A39" s="2928"/>
      <c r="B39" s="2233" t="s">
        <v>1981</v>
      </c>
      <c r="C39" s="712"/>
      <c r="D39" s="2234" t="s">
        <v>1982</v>
      </c>
      <c r="E39" s="2197"/>
      <c r="F39" s="2231"/>
      <c r="G39" s="2197"/>
      <c r="H39" s="2197"/>
      <c r="I39" s="2197"/>
    </row>
    <row r="40" spans="1:16" ht="15">
      <c r="A40" s="2201" t="s">
        <v>1983</v>
      </c>
      <c r="B40" s="2235" t="s">
        <v>1984</v>
      </c>
      <c r="C40" s="2236" t="s">
        <v>1985</v>
      </c>
      <c r="D40" s="2236" t="s">
        <v>1986</v>
      </c>
      <c r="E40" s="2237" t="s">
        <v>1987</v>
      </c>
      <c r="F40" s="2231"/>
      <c r="G40" s="2197"/>
      <c r="H40" s="2197"/>
      <c r="I40" s="2197"/>
    </row>
    <row r="41" spans="1:16" ht="14.25">
      <c r="A41" s="2238" t="s">
        <v>1988</v>
      </c>
      <c r="B41" s="74"/>
      <c r="C41" s="75"/>
      <c r="D41" s="75"/>
      <c r="E41" s="76"/>
      <c r="F41" s="2231"/>
      <c r="G41" s="2197"/>
      <c r="H41" s="2197"/>
      <c r="I41" s="2197"/>
    </row>
    <row r="42" spans="1:16" ht="14.25">
      <c r="A42" s="2238" t="s">
        <v>1989</v>
      </c>
      <c r="B42" s="74"/>
      <c r="C42" s="75"/>
      <c r="D42" s="75"/>
      <c r="E42" s="76"/>
      <c r="F42" s="2231"/>
      <c r="G42" s="2197"/>
      <c r="H42" s="2197"/>
      <c r="I42" s="2197"/>
    </row>
    <row r="43" spans="1:16" ht="15" thickBot="1">
      <c r="A43" s="2239"/>
      <c r="B43" s="77"/>
      <c r="C43" s="78"/>
      <c r="D43" s="78"/>
      <c r="E43" s="79"/>
      <c r="F43" s="2231"/>
      <c r="G43" s="2197"/>
      <c r="H43" s="2197"/>
      <c r="I43" s="2197"/>
    </row>
    <row r="44" spans="1:16" ht="12.75">
      <c r="A44" s="2240"/>
      <c r="B44" s="2240"/>
      <c r="C44" s="2240"/>
      <c r="D44" s="2240"/>
      <c r="E44" s="2240"/>
      <c r="F44" s="2241"/>
      <c r="G44" s="2241"/>
      <c r="H44" s="2241"/>
      <c r="I44" s="2242"/>
    </row>
    <row r="45" spans="1:16" ht="18.75">
      <c r="A45" s="2243" t="s">
        <v>1990</v>
      </c>
      <c r="B45" s="2244"/>
      <c r="C45" s="2244"/>
      <c r="D45" s="2245"/>
      <c r="E45" s="2245"/>
      <c r="F45" s="2246"/>
      <c r="G45" s="2246"/>
      <c r="H45" s="2246"/>
      <c r="I45" s="2246"/>
      <c r="J45" s="2247" t="s">
        <v>1821</v>
      </c>
      <c r="K45" s="2248"/>
      <c r="L45" s="2248"/>
      <c r="M45" s="2248"/>
      <c r="N45" s="2248"/>
      <c r="O45" s="2248"/>
      <c r="P45" s="1841"/>
    </row>
    <row r="46" spans="1:16" ht="14.25" customHeight="1" thickBot="1">
      <c r="A46" s="2931" t="s">
        <v>1991</v>
      </c>
      <c r="B46" s="2932"/>
      <c r="C46" s="2933"/>
      <c r="D46" s="80">
        <f>ROUND(I103*F46,0)</f>
        <v>0</v>
      </c>
      <c r="E46" s="81" t="s">
        <v>1992</v>
      </c>
      <c r="F46" s="82">
        <v>1</v>
      </c>
      <c r="G46" s="83" t="s">
        <v>1993</v>
      </c>
      <c r="H46" s="2187"/>
      <c r="I46" s="2187"/>
      <c r="J46" s="2843" t="s">
        <v>1825</v>
      </c>
      <c r="K46" s="2843"/>
      <c r="L46" s="2843"/>
      <c r="M46" s="2843"/>
      <c r="N46" s="2843"/>
      <c r="O46" s="2843"/>
      <c r="P46" s="1841"/>
    </row>
    <row r="47" spans="1:16" ht="14.25" customHeight="1">
      <c r="A47" s="2923" t="s">
        <v>1826</v>
      </c>
      <c r="B47" s="2924"/>
      <c r="C47" s="2924"/>
      <c r="D47" s="2924"/>
      <c r="E47" s="2924"/>
      <c r="F47" s="2924"/>
      <c r="G47" s="2925"/>
      <c r="H47" s="2249"/>
      <c r="I47" s="1140"/>
      <c r="J47" s="1879">
        <v>1</v>
      </c>
      <c r="K47" s="2843" t="s">
        <v>1827</v>
      </c>
      <c r="L47" s="2843"/>
      <c r="M47" s="2958"/>
      <c r="N47" s="2958"/>
      <c r="O47" s="2958"/>
      <c r="P47" s="1841"/>
    </row>
    <row r="48" spans="1:16" ht="12" customHeight="1">
      <c r="A48" s="85" t="s">
        <v>1828</v>
      </c>
      <c r="B48" s="86"/>
      <c r="C48" s="87"/>
      <c r="D48" s="88" t="s">
        <v>1829</v>
      </c>
      <c r="E48" s="14" t="s">
        <v>1830</v>
      </c>
      <c r="F48" s="89" t="s">
        <v>1831</v>
      </c>
      <c r="G48" s="90" t="s">
        <v>1832</v>
      </c>
      <c r="H48" s="2249"/>
      <c r="I48" s="1140"/>
      <c r="J48" s="1879">
        <v>2</v>
      </c>
      <c r="K48" s="2843" t="s">
        <v>1833</v>
      </c>
      <c r="L48" s="2843"/>
      <c r="M48" s="2845">
        <f>'数据-取费表'!B2</f>
        <v>43257</v>
      </c>
      <c r="N48" s="2845"/>
      <c r="O48" s="2845"/>
      <c r="P48" s="1841"/>
    </row>
    <row r="49" spans="1:16" ht="25.5">
      <c r="A49" s="2929" t="s">
        <v>1834</v>
      </c>
      <c r="B49" s="2930"/>
      <c r="C49" s="2930"/>
      <c r="D49" s="56">
        <f>IF(H49="情况1",0,IF(H49="情况2",D53,IF(H49="情况3",D54,IF(H49="情况4",D55))))</f>
        <v>0</v>
      </c>
      <c r="E49" s="1889" t="str">
        <f>IF(H49="情况4","(销售额-原购置价)×税（费）率","销售额×税（费）率")</f>
        <v>销售额×税（费）率</v>
      </c>
      <c r="F49" s="91">
        <f>IF(H49="情况1","免征",'数据-取费表'!E29)</f>
        <v>5.5000000000000007E-2</v>
      </c>
      <c r="G49" s="2250" t="s">
        <v>1835</v>
      </c>
      <c r="H49" s="2251" t="s">
        <v>1836</v>
      </c>
      <c r="I49" s="2249"/>
      <c r="J49" s="1879">
        <v>3</v>
      </c>
      <c r="K49" s="2843" t="s">
        <v>1837</v>
      </c>
      <c r="L49" s="2843"/>
      <c r="M49" s="2844">
        <f>I103</f>
        <v>0</v>
      </c>
      <c r="N49" s="2844"/>
      <c r="O49" s="2844"/>
      <c r="P49" s="1841"/>
    </row>
    <row r="50" spans="1:16" ht="25.5" customHeight="1">
      <c r="A50" s="92" t="s">
        <v>1838</v>
      </c>
      <c r="B50" s="2910" t="s">
        <v>1839</v>
      </c>
      <c r="C50" s="2910"/>
      <c r="D50" s="93">
        <v>0</v>
      </c>
      <c r="E50" s="13" t="s">
        <v>1840</v>
      </c>
      <c r="F50" s="18" t="s">
        <v>48</v>
      </c>
      <c r="G50" s="2834"/>
      <c r="H50" s="2187"/>
      <c r="I50" s="2252"/>
      <c r="J50" s="1879">
        <v>4</v>
      </c>
      <c r="K50" s="2843" t="str">
        <f>IF(项目基本情况!F5="房地产抵押价值","房地产抵押价值","抵押担保权已注销时的房地产抵押价值")</f>
        <v>房地产抵押价值</v>
      </c>
      <c r="L50" s="2843"/>
      <c r="M50" s="2844">
        <f>IF(项目基本情况!F5="房地产抵押价值",I111,I113)</f>
        <v>0</v>
      </c>
      <c r="N50" s="2844"/>
      <c r="O50" s="2844"/>
      <c r="P50" s="1841"/>
    </row>
    <row r="51" spans="1:16" ht="25.5" customHeight="1">
      <c r="A51" s="94"/>
      <c r="B51" s="2910" t="s">
        <v>1841</v>
      </c>
      <c r="C51" s="2910"/>
      <c r="D51" s="95"/>
      <c r="E51" s="21"/>
      <c r="F51" s="96"/>
      <c r="G51" s="2835"/>
      <c r="H51" s="2187"/>
      <c r="I51" s="2252"/>
      <c r="J51" s="2843" t="s">
        <v>1842</v>
      </c>
      <c r="K51" s="2843"/>
      <c r="L51" s="2843"/>
      <c r="M51" s="2843"/>
      <c r="N51" s="2843"/>
      <c r="O51" s="2843"/>
      <c r="P51" s="1841"/>
    </row>
    <row r="52" spans="1:16" ht="12" customHeight="1">
      <c r="A52" s="97"/>
      <c r="B52" s="2910" t="s">
        <v>1843</v>
      </c>
      <c r="C52" s="2910"/>
      <c r="D52" s="98"/>
      <c r="E52" s="20"/>
      <c r="F52" s="96"/>
      <c r="G52" s="2836"/>
      <c r="H52" s="2187"/>
      <c r="I52" s="2252"/>
      <c r="J52" s="2253" t="s">
        <v>1844</v>
      </c>
      <c r="K52" s="2843" t="s">
        <v>1845</v>
      </c>
      <c r="L52" s="2843"/>
      <c r="M52" s="2253" t="s">
        <v>1846</v>
      </c>
      <c r="N52" s="2253" t="s">
        <v>1847</v>
      </c>
      <c r="O52" s="2253" t="s">
        <v>1848</v>
      </c>
      <c r="P52" s="1841"/>
    </row>
    <row r="53" spans="1:16" ht="24" customHeight="1">
      <c r="A53" s="99" t="s">
        <v>1849</v>
      </c>
      <c r="B53" s="2910" t="s">
        <v>1850</v>
      </c>
      <c r="C53" s="2910"/>
      <c r="D53" s="98">
        <f>ROUND(D46*'数据-取费表'!E29/(1+'数据-取费表'!F30),0)</f>
        <v>0</v>
      </c>
      <c r="E53" s="10" t="s">
        <v>1851</v>
      </c>
      <c r="F53" s="100">
        <f>'数据-取费表'!E29</f>
        <v>5.5000000000000007E-2</v>
      </c>
      <c r="G53" s="2254"/>
      <c r="H53" s="2187"/>
      <c r="I53" s="2252"/>
      <c r="J53" s="1879">
        <v>1</v>
      </c>
      <c r="K53" s="2833" t="s">
        <v>1852</v>
      </c>
      <c r="L53" s="2833"/>
      <c r="M53" s="778">
        <f>D49</f>
        <v>0</v>
      </c>
      <c r="N53" s="1879" t="str">
        <f>E49</f>
        <v>销售额×税（费）率</v>
      </c>
      <c r="O53" s="779">
        <f>F49</f>
        <v>5.5000000000000007E-2</v>
      </c>
      <c r="P53" s="1841"/>
    </row>
    <row r="54" spans="1:16" ht="12" customHeight="1">
      <c r="A54" s="99" t="s">
        <v>1853</v>
      </c>
      <c r="B54" s="2909" t="s">
        <v>1854</v>
      </c>
      <c r="C54" s="2803"/>
      <c r="D54" s="98">
        <f>ROUND(D46*'数据-取费表'!E29/(1+'数据-取费表'!F30),0)</f>
        <v>0</v>
      </c>
      <c r="E54" s="10" t="s">
        <v>1851</v>
      </c>
      <c r="F54" s="100">
        <f>'数据-取费表'!E29</f>
        <v>5.5000000000000007E-2</v>
      </c>
      <c r="G54" s="2254"/>
      <c r="H54" s="2187"/>
      <c r="I54" s="2252"/>
      <c r="J54" s="1879">
        <v>2</v>
      </c>
      <c r="K54" s="2833" t="s">
        <v>1855</v>
      </c>
      <c r="L54" s="2833"/>
      <c r="M54" s="778">
        <f t="shared" ref="M54:O55" si="1">D56</f>
        <v>0</v>
      </c>
      <c r="N54" s="1879" t="str">
        <f t="shared" si="1"/>
        <v>销售额×税（费）率</v>
      </c>
      <c r="O54" s="779">
        <f t="shared" si="1"/>
        <v>5.0000000000000001E-4</v>
      </c>
      <c r="P54" s="1841"/>
    </row>
    <row r="55" spans="1:16" ht="12" customHeight="1">
      <c r="A55" s="99" t="s">
        <v>1856</v>
      </c>
      <c r="B55" s="2909" t="s">
        <v>1857</v>
      </c>
      <c r="C55" s="2803"/>
      <c r="D55" s="98">
        <f>C69</f>
        <v>0</v>
      </c>
      <c r="E55" s="20" t="s">
        <v>1858</v>
      </c>
      <c r="F55" s="100">
        <f>'数据-取费表'!E29</f>
        <v>5.5000000000000007E-2</v>
      </c>
      <c r="G55" s="2254"/>
      <c r="H55" s="2255"/>
      <c r="I55" s="2252"/>
      <c r="J55" s="1879">
        <v>3</v>
      </c>
      <c r="K55" s="2833" t="s">
        <v>1859</v>
      </c>
      <c r="L55" s="2833"/>
      <c r="M55" s="778">
        <f t="shared" si="1"/>
        <v>0</v>
      </c>
      <c r="N55" s="1879" t="str">
        <f t="shared" si="1"/>
        <v>增值额×税（费）率</v>
      </c>
      <c r="O55" s="780" t="str">
        <f t="shared" si="1"/>
        <v>——</v>
      </c>
      <c r="P55" s="1841"/>
    </row>
    <row r="56" spans="1:16" ht="24" customHeight="1">
      <c r="A56" s="2795" t="s">
        <v>1860</v>
      </c>
      <c r="B56" s="2930"/>
      <c r="C56" s="2930"/>
      <c r="D56" s="101">
        <f>IF(H56="个人住宅",0,ROUND(D46*I56,0))</f>
        <v>0</v>
      </c>
      <c r="E56" s="10" t="s">
        <v>1861</v>
      </c>
      <c r="F56" s="100">
        <f>IF(H56="正常",I56,"免征")</f>
        <v>5.0000000000000001E-4</v>
      </c>
      <c r="G56" s="2254"/>
      <c r="H56" s="2251" t="s">
        <v>1862</v>
      </c>
      <c r="I56" s="102">
        <f>'数据-取费表'!E37</f>
        <v>5.0000000000000001E-4</v>
      </c>
      <c r="J56" s="1879" t="str">
        <f>IF(H60="非个人房产","",4)</f>
        <v/>
      </c>
      <c r="K56" s="2833" t="str">
        <f>IF(H60="非个人房产","——","个人所得税")</f>
        <v>——</v>
      </c>
      <c r="L56" s="2833"/>
      <c r="M56" s="781" t="str">
        <f>D60</f>
        <v>——</v>
      </c>
      <c r="N56" s="1882" t="str">
        <f>E60</f>
        <v>——</v>
      </c>
      <c r="O56" s="782" t="str">
        <f>F60</f>
        <v>——</v>
      </c>
      <c r="P56" s="1841"/>
    </row>
    <row r="57" spans="1:16" ht="24.75">
      <c r="A57" s="2795" t="s">
        <v>1863</v>
      </c>
      <c r="B57" s="2930"/>
      <c r="C57" s="2930"/>
      <c r="D57" s="101">
        <f>IF(H57="个人住宅",D58,D59)</f>
        <v>0</v>
      </c>
      <c r="E57" s="10" t="s">
        <v>1864</v>
      </c>
      <c r="F57" s="100" t="str">
        <f>IF(H57="正常",F59,"免征")</f>
        <v>——</v>
      </c>
      <c r="G57" s="2256" t="s">
        <v>1865</v>
      </c>
      <c r="H57" s="2257" t="s">
        <v>1862</v>
      </c>
      <c r="I57" s="1018"/>
      <c r="J57" s="1879" t="str">
        <f>IF(项目基本情况!I6="上海银行",IF(J56="",4,J56+1),"")</f>
        <v/>
      </c>
      <c r="K57" s="2850" t="str">
        <f>IF(项目基本情况!I6="上海银行","其他处置费用","")</f>
        <v/>
      </c>
      <c r="L57" s="2851"/>
      <c r="M57" s="778" t="str">
        <f>IF(项目基本情况!I6="上海银行",M70,"")</f>
        <v/>
      </c>
      <c r="N57" s="2831" t="str">
        <f>IF(项目基本情况!I6="上海银行","包含处置中涉及的律师、诉讼、拍卖、评估等费用","")</f>
        <v/>
      </c>
      <c r="O57" s="2832"/>
      <c r="P57" s="1841"/>
    </row>
    <row r="58" spans="1:16" ht="12.75">
      <c r="A58" s="99" t="s">
        <v>1838</v>
      </c>
      <c r="B58" s="2918" t="s">
        <v>1866</v>
      </c>
      <c r="C58" s="2920"/>
      <c r="D58" s="103">
        <v>0</v>
      </c>
      <c r="E58" s="13" t="s">
        <v>1840</v>
      </c>
      <c r="F58" s="70"/>
      <c r="G58" s="2254"/>
      <c r="H58" s="1018"/>
      <c r="I58" s="1018"/>
      <c r="J58" s="2833">
        <f>IF(AND(J56="",J57=""),4,IF(项目基本情况!I6="上海银行",J57+1,J56+1))</f>
        <v>4</v>
      </c>
      <c r="K58" s="2833" t="s">
        <v>1867</v>
      </c>
      <c r="L58" s="2258" t="s">
        <v>1868</v>
      </c>
      <c r="M58" s="783"/>
      <c r="N58" s="784">
        <f>SUMIF(M53:M57,"&lt;9e307")</f>
        <v>0</v>
      </c>
      <c r="O58" s="2259"/>
      <c r="P58" s="1837" t="e">
        <f>N58/M50</f>
        <v>#DIV/0!</v>
      </c>
    </row>
    <row r="59" spans="1:16" ht="24.75">
      <c r="A59" s="99" t="s">
        <v>1849</v>
      </c>
      <c r="B59" s="2918" t="s">
        <v>1869</v>
      </c>
      <c r="C59" s="2919"/>
      <c r="D59" s="101">
        <f>IF(H59="转让取得",C82,C98)</f>
        <v>0</v>
      </c>
      <c r="E59" s="10" t="s">
        <v>1864</v>
      </c>
      <c r="F59" s="14" t="s">
        <v>48</v>
      </c>
      <c r="G59" s="2254"/>
      <c r="H59" s="2257" t="s">
        <v>1870</v>
      </c>
      <c r="I59" s="1018"/>
      <c r="J59" s="2833"/>
      <c r="K59" s="2833"/>
      <c r="L59" s="2258" t="s">
        <v>1871</v>
      </c>
      <c r="M59" s="785"/>
      <c r="N59" s="2260" t="str">
        <f>IF(H19="元",NUMBERSTRING(INT(N58),2)&amp;"元整",NUMBERSTRING(INT(N58*10000),2)&amp;"元整")</f>
        <v>零元整</v>
      </c>
      <c r="O59" s="2261"/>
      <c r="P59" s="1841"/>
    </row>
    <row r="60" spans="1:16" ht="24.75" thickBot="1">
      <c r="A60" s="2796" t="s">
        <v>1872</v>
      </c>
      <c r="B60" s="2799"/>
      <c r="C60" s="2799"/>
      <c r="D60" s="104" t="str">
        <f>IF(H60="非个人房产","——",IF(H60="个人住宅",0,ROUND(D46*I60,0)))</f>
        <v>——</v>
      </c>
      <c r="E60" s="105" t="str">
        <f>IF(H60="非个人房产","——","销售额×税（费）率")</f>
        <v>——</v>
      </c>
      <c r="F60" s="106" t="str">
        <f>IF(H60="非个人房产","——",IF(H60="个人住宅","免征",I60))</f>
        <v>——</v>
      </c>
      <c r="G60" s="2262" t="s">
        <v>1865</v>
      </c>
      <c r="H60" s="2257" t="s">
        <v>1994</v>
      </c>
      <c r="I60" s="107">
        <v>0.01</v>
      </c>
      <c r="J60" s="2887">
        <f>J58+1</f>
        <v>5</v>
      </c>
      <c r="K60" s="2833" t="s">
        <v>1874</v>
      </c>
      <c r="L60" s="1879" t="s">
        <v>1868</v>
      </c>
      <c r="M60" s="786"/>
      <c r="N60" s="787">
        <f>M50-N58</f>
        <v>0</v>
      </c>
      <c r="O60" s="2263"/>
      <c r="P60" s="1841"/>
    </row>
    <row r="61" spans="1:16" ht="12" customHeight="1">
      <c r="A61" s="2063"/>
      <c r="B61" s="2187"/>
      <c r="C61" s="2187"/>
      <c r="D61" s="2187"/>
      <c r="E61" s="1018"/>
      <c r="F61" s="1018"/>
      <c r="G61" s="1018"/>
      <c r="H61" s="2240"/>
      <c r="I61" s="2187"/>
      <c r="J61" s="2888"/>
      <c r="K61" s="2833"/>
      <c r="L61" s="2258" t="s">
        <v>1871</v>
      </c>
      <c r="M61" s="785"/>
      <c r="N61" s="2260" t="str">
        <f>IF(H19="元",NUMBERSTRING(INT(N60),2)&amp;"元整",NUMBERSTRING(INT(N60*10000),2)&amp;"元整")</f>
        <v>零元整</v>
      </c>
      <c r="O61" s="2261"/>
      <c r="P61" s="1841"/>
    </row>
    <row r="62" spans="1:16" ht="13.5" thickBot="1">
      <c r="A62" s="2934" t="s">
        <v>1875</v>
      </c>
      <c r="B62" s="2934"/>
      <c r="C62" s="2934"/>
      <c r="D62" s="2934"/>
      <c r="E62" s="2934"/>
      <c r="F62" s="1018"/>
      <c r="G62" s="1018"/>
      <c r="H62" s="2240"/>
      <c r="I62" s="2187"/>
      <c r="J62" s="1879">
        <f>J60+1</f>
        <v>6</v>
      </c>
      <c r="K62" s="2833" t="s">
        <v>1876</v>
      </c>
      <c r="L62" s="2833"/>
      <c r="M62" s="788"/>
      <c r="N62" s="789">
        <f>IF(H19="元",ROUND(N60/项目基本情况!C12,0),ROUND(N60*10000/项目基本情况!C12,0))</f>
        <v>0</v>
      </c>
      <c r="O62" s="2264"/>
      <c r="P62" s="1841"/>
    </row>
    <row r="63" spans="1:16" ht="12.75">
      <c r="A63" s="2871" t="s">
        <v>1877</v>
      </c>
      <c r="B63" s="2872"/>
      <c r="C63" s="1881"/>
      <c r="D63" s="1881" t="s">
        <v>1878</v>
      </c>
      <c r="E63" s="108" t="s">
        <v>1879</v>
      </c>
      <c r="F63" s="1018"/>
      <c r="G63" s="1018"/>
      <c r="H63" s="2240"/>
      <c r="I63" s="2187"/>
      <c r="J63" s="1841"/>
      <c r="K63" s="1841"/>
      <c r="L63" s="1841"/>
      <c r="M63" s="1841"/>
      <c r="N63" s="1841"/>
      <c r="O63" s="1841"/>
      <c r="P63" s="1841"/>
    </row>
    <row r="64" spans="1:16" ht="12.75">
      <c r="A64" s="109">
        <v>1</v>
      </c>
      <c r="B64" s="110" t="s">
        <v>1880</v>
      </c>
      <c r="C64" s="111">
        <f>ROUND((C65+C66)/(1+'数据-取费表'!F30),0)</f>
        <v>0</v>
      </c>
      <c r="D64" s="112"/>
      <c r="E64" s="113"/>
      <c r="F64" s="1018"/>
      <c r="G64" s="1018"/>
      <c r="H64" s="2240"/>
      <c r="I64" s="2187"/>
      <c r="J64" s="2852" t="s">
        <v>1881</v>
      </c>
      <c r="K64" s="2265" t="s">
        <v>1882</v>
      </c>
      <c r="L64" s="1840">
        <f>IF(M50&gt;10000,M50*0.5%,IF(AND(M50&gt;1000,M50&lt;=10000),M50*1%,IF(AND(M50&gt;100,M50&lt;=1000),M50*3%,IF(AND(M50&gt;10,M50&lt;=100),M50*5%,M50*8%))))</f>
        <v>0</v>
      </c>
      <c r="M64" s="14">
        <f>ROUND(L64,1)</f>
        <v>0</v>
      </c>
      <c r="N64" s="1841"/>
      <c r="O64" s="1841"/>
      <c r="P64" s="1841"/>
    </row>
    <row r="65" spans="1:35" ht="12.75">
      <c r="A65" s="114" t="s">
        <v>71</v>
      </c>
      <c r="B65" s="115" t="s">
        <v>1883</v>
      </c>
      <c r="C65" s="116">
        <f>D46</f>
        <v>0</v>
      </c>
      <c r="D65" s="117" t="s">
        <v>41</v>
      </c>
      <c r="E65" s="118"/>
      <c r="F65" s="1018"/>
      <c r="G65" s="1018"/>
      <c r="H65" s="2240"/>
      <c r="I65" s="2187"/>
      <c r="J65" s="2852"/>
      <c r="K65" s="2265" t="s">
        <v>1884</v>
      </c>
      <c r="L65" s="1840"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1" t="s">
        <v>1885</v>
      </c>
      <c r="O65" s="1841"/>
      <c r="P65" s="1841"/>
    </row>
    <row r="66" spans="1:35" ht="12.75">
      <c r="A66" s="114" t="s">
        <v>72</v>
      </c>
      <c r="B66" s="115" t="s">
        <v>1886</v>
      </c>
      <c r="C66" s="119"/>
      <c r="D66" s="117"/>
      <c r="E66" s="118"/>
      <c r="F66" s="1018"/>
      <c r="G66" s="1018"/>
      <c r="H66" s="2240"/>
      <c r="I66" s="2187"/>
      <c r="J66" s="2852"/>
      <c r="K66" s="2265" t="s">
        <v>1887</v>
      </c>
      <c r="L66" s="1840" t="b">
        <f>IF(M50&gt;1000,M50*0.1%,IF(AND(M50&gt;500,M50&lt;=1000),M50*0.5%,IF(AND(M50&gt;50,M50&lt;=500),M50*1%,IF(AND(M50&gt;1,M50&lt;=50),M50*1.5%))))</f>
        <v>0</v>
      </c>
      <c r="M66" s="14">
        <f t="shared" si="2"/>
        <v>0</v>
      </c>
      <c r="N66" s="1841" t="s">
        <v>1885</v>
      </c>
      <c r="O66" s="1841"/>
      <c r="P66" s="1841"/>
    </row>
    <row r="67" spans="1:35" ht="12.75">
      <c r="A67" s="120" t="s">
        <v>47</v>
      </c>
      <c r="B67" s="121" t="s">
        <v>1888</v>
      </c>
      <c r="C67" s="122"/>
      <c r="D67" s="123" t="s">
        <v>41</v>
      </c>
      <c r="E67" s="1857" t="s">
        <v>1889</v>
      </c>
      <c r="F67" s="1018"/>
      <c r="G67" s="1018"/>
      <c r="H67" s="2240"/>
      <c r="I67" s="2187"/>
      <c r="J67" s="2852"/>
      <c r="K67" s="2265" t="s">
        <v>1890</v>
      </c>
      <c r="L67" s="1840">
        <f>M50*0.5%</f>
        <v>0</v>
      </c>
      <c r="M67" s="14">
        <f>IF(L67&gt;0.5,0.5,ROUND(L67,0))</f>
        <v>0</v>
      </c>
      <c r="N67" s="1841" t="s">
        <v>1891</v>
      </c>
      <c r="O67" s="1841"/>
      <c r="P67" s="1841"/>
    </row>
    <row r="68" spans="1:35" ht="12.75">
      <c r="A68" s="120" t="s">
        <v>42</v>
      </c>
      <c r="B68" s="121" t="s">
        <v>1892</v>
      </c>
      <c r="C68" s="124">
        <f>C64-C67</f>
        <v>0</v>
      </c>
      <c r="D68" s="117" t="s">
        <v>41</v>
      </c>
      <c r="E68" s="118"/>
      <c r="F68" s="1018"/>
      <c r="G68" s="1018"/>
      <c r="H68" s="2240"/>
      <c r="I68" s="2187"/>
      <c r="J68" s="2852"/>
      <c r="K68" s="2265" t="s">
        <v>1893</v>
      </c>
      <c r="L68" s="1840"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1"/>
      <c r="O68" s="1841"/>
      <c r="P68" s="1841"/>
    </row>
    <row r="69" spans="1:35" ht="13.5" thickBot="1">
      <c r="A69" s="125" t="s">
        <v>46</v>
      </c>
      <c r="B69" s="126" t="s">
        <v>1894</v>
      </c>
      <c r="C69" s="127">
        <f>IF(C68&lt;=0,0,ROUND(C68*D69,0))</f>
        <v>0</v>
      </c>
      <c r="D69" s="128">
        <f>'数据-取费表'!E29</f>
        <v>5.5000000000000007E-2</v>
      </c>
      <c r="E69" s="129"/>
      <c r="F69" s="1018"/>
      <c r="G69" s="1018"/>
      <c r="H69" s="2240"/>
      <c r="I69" s="2187"/>
      <c r="J69" s="2852"/>
      <c r="K69" s="2265" t="s">
        <v>1895</v>
      </c>
      <c r="L69" s="1840">
        <f>IF(M50&gt;10000,M50*0.5%,IF(AND(M50&gt;5000,M50&lt;=10000),M50*1%,IF(AND(M50&gt;1000,M50&lt;=5000),M50*2%,IF(AND(M50&gt;200,M50&lt;=1000),M50*3%,M50*5%))))</f>
        <v>0</v>
      </c>
      <c r="M69" s="14">
        <f>ROUND(L69,1)</f>
        <v>0</v>
      </c>
      <c r="N69" s="1841"/>
      <c r="O69" s="1841"/>
      <c r="P69" s="1841"/>
    </row>
    <row r="70" spans="1:35" s="2214" customFormat="1" ht="7.5" customHeight="1">
      <c r="A70" s="2266"/>
      <c r="B70" s="2267"/>
      <c r="C70" s="2268"/>
      <c r="D70" s="2269"/>
      <c r="E70" s="2270"/>
      <c r="F70" s="1018"/>
      <c r="G70" s="1018"/>
      <c r="H70" s="2240"/>
      <c r="I70" s="2187"/>
      <c r="J70" s="2852"/>
      <c r="K70" s="2265" t="s">
        <v>1896</v>
      </c>
      <c r="L70" s="2271"/>
      <c r="M70" s="14">
        <f>ROUND(SUM(M64:M69),0)</f>
        <v>0</v>
      </c>
      <c r="N70" s="1837" t="e">
        <f>M70/M50</f>
        <v>#DIV/0!</v>
      </c>
      <c r="O70" s="1841"/>
      <c r="P70" s="1841"/>
      <c r="Q70" s="798"/>
      <c r="R70" s="798"/>
      <c r="S70" s="798"/>
      <c r="T70" s="798"/>
      <c r="U70" s="798"/>
      <c r="V70" s="798"/>
      <c r="W70" s="798"/>
      <c r="X70" s="798"/>
      <c r="Y70" s="798"/>
      <c r="Z70" s="798"/>
      <c r="AA70" s="1841"/>
      <c r="AB70" s="1841"/>
      <c r="AC70" s="1841"/>
      <c r="AD70" s="1841"/>
      <c r="AE70" s="1841"/>
      <c r="AF70" s="1841"/>
      <c r="AG70" s="1841"/>
      <c r="AH70" s="1841"/>
      <c r="AI70" s="1841"/>
    </row>
    <row r="71" spans="1:35" s="2273" customFormat="1" ht="15" thickBot="1">
      <c r="A71" s="2873" t="s">
        <v>1897</v>
      </c>
      <c r="B71" s="2874"/>
      <c r="C71" s="2874"/>
      <c r="D71" s="2874"/>
      <c r="E71" s="2874"/>
      <c r="F71" s="2874"/>
      <c r="G71" s="2874"/>
      <c r="H71" s="2874"/>
      <c r="I71" s="2272"/>
      <c r="J71" s="1282"/>
      <c r="K71" s="1282"/>
      <c r="L71" s="1282"/>
      <c r="M71" s="1282"/>
      <c r="N71" s="1282"/>
      <c r="O71" s="1282"/>
      <c r="P71" s="1282"/>
      <c r="Q71" s="1282"/>
      <c r="R71" s="1282"/>
      <c r="S71" s="1282"/>
      <c r="T71" s="1282"/>
      <c r="U71" s="1282"/>
      <c r="V71" s="1282"/>
      <c r="W71" s="1282"/>
      <c r="X71" s="1282"/>
      <c r="Y71" s="1282"/>
      <c r="Z71" s="1282"/>
      <c r="AA71" s="2274"/>
      <c r="AB71" s="2274"/>
      <c r="AC71" s="2274"/>
      <c r="AD71" s="2274"/>
      <c r="AE71" s="2274"/>
      <c r="AF71" s="2274"/>
      <c r="AG71" s="2274"/>
      <c r="AH71" s="2274"/>
      <c r="AI71" s="2274"/>
    </row>
    <row r="72" spans="1:35" s="2273" customFormat="1" ht="14.25">
      <c r="A72" s="2871" t="s">
        <v>1877</v>
      </c>
      <c r="B72" s="2872"/>
      <c r="C72" s="1881"/>
      <c r="D72" s="1881" t="s">
        <v>1878</v>
      </c>
      <c r="E72" s="130" t="s">
        <v>1879</v>
      </c>
      <c r="F72" s="131"/>
      <c r="G72" s="131"/>
      <c r="H72" s="132"/>
      <c r="I72" s="2275"/>
      <c r="J72" s="1282"/>
      <c r="K72" s="1282"/>
      <c r="L72" s="1282"/>
      <c r="M72" s="1282"/>
      <c r="N72" s="1282"/>
      <c r="O72" s="1282"/>
      <c r="P72" s="1282"/>
      <c r="Q72" s="1282"/>
      <c r="R72" s="1282"/>
      <c r="S72" s="1282"/>
      <c r="T72" s="1282"/>
      <c r="U72" s="1282"/>
      <c r="V72" s="1282"/>
      <c r="W72" s="1282"/>
      <c r="X72" s="1282"/>
      <c r="Y72" s="1282"/>
      <c r="Z72" s="1282"/>
      <c r="AA72" s="2274"/>
      <c r="AB72" s="2274"/>
      <c r="AC72" s="2274"/>
      <c r="AD72" s="2274"/>
      <c r="AE72" s="2274"/>
      <c r="AF72" s="2274"/>
      <c r="AG72" s="2274"/>
      <c r="AH72" s="2274"/>
      <c r="AI72" s="2274"/>
    </row>
    <row r="73" spans="1:35" s="2273" customFormat="1" ht="14.25">
      <c r="A73" s="133">
        <v>1</v>
      </c>
      <c r="B73" s="121" t="s">
        <v>1898</v>
      </c>
      <c r="C73" s="124">
        <f>ROUND(D46/(1+'数据-取费表'!F30),0)</f>
        <v>0</v>
      </c>
      <c r="D73" s="117" t="s">
        <v>41</v>
      </c>
      <c r="E73" s="1884"/>
      <c r="F73" s="1885"/>
      <c r="G73" s="1885"/>
      <c r="H73" s="134"/>
      <c r="I73" s="2275"/>
      <c r="J73" s="1282"/>
      <c r="K73" s="1282"/>
      <c r="L73" s="1282"/>
      <c r="M73" s="1282"/>
      <c r="N73" s="1282"/>
      <c r="O73" s="1282"/>
      <c r="P73" s="1282"/>
      <c r="Q73" s="1282"/>
      <c r="R73" s="1282"/>
      <c r="S73" s="1282"/>
      <c r="T73" s="1282"/>
      <c r="U73" s="1282"/>
      <c r="V73" s="1282"/>
      <c r="W73" s="1282"/>
      <c r="X73" s="1282"/>
      <c r="Y73" s="1282"/>
      <c r="Z73" s="1282"/>
      <c r="AA73" s="2274"/>
      <c r="AB73" s="2274"/>
      <c r="AC73" s="2274"/>
      <c r="AD73" s="2274"/>
      <c r="AE73" s="2274"/>
      <c r="AF73" s="2274"/>
      <c r="AG73" s="2274"/>
      <c r="AH73" s="2274"/>
      <c r="AI73" s="2274"/>
    </row>
    <row r="74" spans="1:35" s="2273" customFormat="1" ht="14.25">
      <c r="A74" s="135">
        <v>2</v>
      </c>
      <c r="B74" s="89" t="s">
        <v>1900</v>
      </c>
      <c r="C74" s="124">
        <f>C75+C79</f>
        <v>0</v>
      </c>
      <c r="D74" s="117" t="s">
        <v>41</v>
      </c>
      <c r="E74" s="1884"/>
      <c r="F74" s="1885"/>
      <c r="G74" s="1885"/>
      <c r="H74" s="134"/>
      <c r="I74" s="2275"/>
      <c r="J74" s="1282"/>
      <c r="K74" s="1282"/>
      <c r="L74" s="1282"/>
      <c r="M74" s="1282"/>
      <c r="N74" s="1282"/>
      <c r="O74" s="1282"/>
      <c r="P74" s="1282"/>
      <c r="Q74" s="1282"/>
      <c r="R74" s="1282"/>
      <c r="S74" s="1282"/>
      <c r="T74" s="1282"/>
      <c r="U74" s="1282"/>
      <c r="V74" s="1282"/>
      <c r="W74" s="1282"/>
      <c r="X74" s="1282"/>
      <c r="Y74" s="1282"/>
      <c r="Z74" s="1282"/>
      <c r="AA74" s="2274"/>
      <c r="AB74" s="2274"/>
      <c r="AC74" s="2274"/>
      <c r="AD74" s="2274"/>
      <c r="AE74" s="2274"/>
      <c r="AF74" s="2274"/>
      <c r="AG74" s="2274"/>
      <c r="AH74" s="2274"/>
      <c r="AI74" s="2274"/>
    </row>
    <row r="75" spans="1:35" s="2273" customFormat="1" ht="14.25">
      <c r="A75" s="136" t="s">
        <v>73</v>
      </c>
      <c r="B75" s="115" t="s">
        <v>1901</v>
      </c>
      <c r="C75" s="117">
        <f>ROUND(IF(G78="2016年5月1日后购买",C76/(1+'数据-取费表'!F30)+C77+C78,C76+C77+C78),0)</f>
        <v>0</v>
      </c>
      <c r="D75" s="117" t="s">
        <v>41</v>
      </c>
      <c r="E75" s="1884"/>
      <c r="F75" s="1885"/>
      <c r="G75" s="1885"/>
      <c r="H75" s="134"/>
      <c r="I75" s="2275"/>
      <c r="J75" s="1282"/>
      <c r="K75" s="1282"/>
      <c r="L75" s="1282"/>
      <c r="M75" s="1282"/>
      <c r="N75" s="1282"/>
      <c r="O75" s="1282"/>
      <c r="P75" s="1282"/>
      <c r="Q75" s="1282"/>
      <c r="R75" s="1282"/>
      <c r="S75" s="1282"/>
      <c r="T75" s="1282"/>
      <c r="U75" s="1282"/>
      <c r="V75" s="1282"/>
      <c r="W75" s="1282"/>
      <c r="X75" s="1282"/>
      <c r="Y75" s="1282"/>
      <c r="Z75" s="1282"/>
      <c r="AA75" s="2274"/>
      <c r="AB75" s="2274"/>
      <c r="AC75" s="2274"/>
      <c r="AD75" s="2274"/>
      <c r="AE75" s="2274"/>
      <c r="AF75" s="2274"/>
      <c r="AG75" s="2274"/>
      <c r="AH75" s="2274"/>
      <c r="AI75" s="2274"/>
    </row>
    <row r="76" spans="1:35" s="2273" customFormat="1" ht="14.25">
      <c r="A76" s="136" t="s">
        <v>74</v>
      </c>
      <c r="B76" s="115" t="s">
        <v>1902</v>
      </c>
      <c r="C76" s="137"/>
      <c r="D76" s="117" t="s">
        <v>41</v>
      </c>
      <c r="E76" s="138" t="s">
        <v>1903</v>
      </c>
      <c r="F76" s="2276" t="s">
        <v>1904</v>
      </c>
      <c r="G76" s="138" t="s">
        <v>1905</v>
      </c>
      <c r="H76" s="139"/>
      <c r="I76" s="9"/>
      <c r="J76" s="1282"/>
      <c r="K76" s="1282"/>
      <c r="L76" s="1282"/>
      <c r="M76" s="1282"/>
      <c r="N76" s="1282"/>
      <c r="O76" s="1282"/>
      <c r="P76" s="1282"/>
      <c r="Q76" s="1282"/>
      <c r="R76" s="1282"/>
      <c r="S76" s="1282"/>
      <c r="T76" s="1282"/>
      <c r="U76" s="1282"/>
      <c r="V76" s="1282"/>
      <c r="W76" s="1282"/>
      <c r="X76" s="1282"/>
      <c r="Y76" s="1282"/>
      <c r="Z76" s="1282"/>
      <c r="AA76" s="2274"/>
      <c r="AB76" s="2274"/>
      <c r="AC76" s="2274"/>
      <c r="AD76" s="2274"/>
      <c r="AE76" s="2274"/>
      <c r="AF76" s="2274"/>
      <c r="AG76" s="2274"/>
      <c r="AH76" s="2274"/>
      <c r="AI76" s="2274"/>
    </row>
    <row r="77" spans="1:35" s="2273" customFormat="1" ht="24.75" customHeight="1">
      <c r="A77" s="136" t="s">
        <v>75</v>
      </c>
      <c r="B77" s="140" t="s">
        <v>1906</v>
      </c>
      <c r="C77" s="117">
        <f>IF(F76="购房发票",ROUND(C76*H76*D77,0),0)</f>
        <v>0</v>
      </c>
      <c r="D77" s="141">
        <v>0.05</v>
      </c>
      <c r="E77" s="2909" t="s">
        <v>1907</v>
      </c>
      <c r="F77" s="2910"/>
      <c r="G77" s="2910"/>
      <c r="H77" s="2911"/>
      <c r="I77" s="2275"/>
      <c r="J77" s="1282"/>
      <c r="K77" s="1282"/>
      <c r="L77" s="1282"/>
      <c r="M77" s="1282"/>
      <c r="N77" s="1282"/>
      <c r="O77" s="1282"/>
      <c r="P77" s="1282"/>
      <c r="Q77" s="1282"/>
      <c r="R77" s="1282"/>
      <c r="S77" s="1282"/>
      <c r="T77" s="1282"/>
      <c r="U77" s="1282"/>
      <c r="V77" s="1282"/>
      <c r="W77" s="1282"/>
      <c r="X77" s="1282"/>
      <c r="Y77" s="1282"/>
      <c r="Z77" s="1282"/>
      <c r="AA77" s="2274"/>
      <c r="AB77" s="2274"/>
      <c r="AC77" s="2274"/>
      <c r="AD77" s="2274"/>
      <c r="AE77" s="2274"/>
      <c r="AF77" s="2274"/>
      <c r="AG77" s="2274"/>
      <c r="AH77" s="2274"/>
      <c r="AI77" s="2274"/>
    </row>
    <row r="78" spans="1:35" s="2273" customFormat="1" ht="24.75" customHeight="1">
      <c r="A78" s="136" t="s">
        <v>76</v>
      </c>
      <c r="B78" s="115" t="s">
        <v>1908</v>
      </c>
      <c r="C78" s="117">
        <f>ROUND(IF(G78="个人住宅",0,IF(G78="2016年5月1日前购买",C76*D78,C76*D78/(1+'数据-取费表'!F30))),0)</f>
        <v>0</v>
      </c>
      <c r="D78" s="142">
        <f>'数据-取费表'!E36+'数据-取费表'!E37</f>
        <v>3.0499999999999999E-2</v>
      </c>
      <c r="E78" s="12" t="s">
        <v>1909</v>
      </c>
      <c r="F78" s="143"/>
      <c r="G78" s="2277" t="s">
        <v>1910</v>
      </c>
      <c r="H78" s="1886" t="str">
        <f>IF(G78="个人买卖住房","免征印花税"," ")</f>
        <v xml:space="preserve"> </v>
      </c>
      <c r="I78" s="2275"/>
      <c r="J78" s="1282"/>
      <c r="K78" s="1282"/>
      <c r="L78" s="1282"/>
      <c r="M78" s="1282"/>
      <c r="N78" s="1282"/>
      <c r="O78" s="1282"/>
      <c r="P78" s="1282"/>
      <c r="Q78" s="1282"/>
      <c r="R78" s="1282"/>
      <c r="S78" s="1282"/>
      <c r="T78" s="1282"/>
      <c r="U78" s="1282"/>
      <c r="V78" s="1282"/>
      <c r="W78" s="1282"/>
      <c r="X78" s="1282"/>
      <c r="Y78" s="1282"/>
      <c r="Z78" s="1282"/>
      <c r="AA78" s="2274"/>
      <c r="AB78" s="2274"/>
      <c r="AC78" s="2274"/>
      <c r="AD78" s="2274"/>
      <c r="AE78" s="2274"/>
      <c r="AF78" s="2274"/>
      <c r="AG78" s="2274"/>
      <c r="AH78" s="2274"/>
      <c r="AI78" s="2274"/>
    </row>
    <row r="79" spans="1:35" s="2273" customFormat="1" ht="24.75" customHeight="1">
      <c r="A79" s="136" t="s">
        <v>77</v>
      </c>
      <c r="B79" s="115" t="s">
        <v>1911</v>
      </c>
      <c r="C79" s="144">
        <f>ROUND(D46*D79/(1+'数据-取费表'!F30),0)</f>
        <v>0</v>
      </c>
      <c r="D79" s="145">
        <f>'数据-取费表'!E31</f>
        <v>5.000000000000001E-3</v>
      </c>
      <c r="E79" s="2840" t="s">
        <v>1912</v>
      </c>
      <c r="F79" s="2841"/>
      <c r="G79" s="2841"/>
      <c r="H79" s="2861"/>
      <c r="I79" s="2278"/>
      <c r="J79" s="1282"/>
      <c r="K79" s="1282"/>
      <c r="L79" s="1282"/>
      <c r="M79" s="1282"/>
      <c r="N79" s="1282"/>
      <c r="O79" s="1282"/>
      <c r="P79" s="1282"/>
      <c r="Q79" s="1282"/>
      <c r="R79" s="1282"/>
      <c r="S79" s="1282"/>
      <c r="T79" s="1282"/>
      <c r="U79" s="1282"/>
      <c r="V79" s="1282"/>
      <c r="W79" s="1282"/>
      <c r="X79" s="1282"/>
      <c r="Y79" s="1282"/>
      <c r="Z79" s="1282"/>
      <c r="AA79" s="2274"/>
      <c r="AB79" s="2274"/>
      <c r="AC79" s="2274"/>
      <c r="AD79" s="2274"/>
      <c r="AE79" s="2274"/>
      <c r="AF79" s="2274"/>
      <c r="AG79" s="2274"/>
      <c r="AH79" s="2274"/>
      <c r="AI79" s="2274"/>
    </row>
    <row r="80" spans="1:35" s="2273" customFormat="1" ht="14.25">
      <c r="A80" s="146" t="s">
        <v>42</v>
      </c>
      <c r="B80" s="121" t="s">
        <v>1913</v>
      </c>
      <c r="C80" s="124">
        <f>C73-C74</f>
        <v>0</v>
      </c>
      <c r="D80" s="117" t="s">
        <v>41</v>
      </c>
      <c r="E80" s="1884"/>
      <c r="F80" s="1885"/>
      <c r="G80" s="1885"/>
      <c r="H80" s="134"/>
      <c r="I80" s="2275"/>
      <c r="J80" s="1282"/>
      <c r="K80" s="1282"/>
      <c r="L80" s="1282"/>
      <c r="M80" s="1282"/>
      <c r="N80" s="1282"/>
      <c r="O80" s="1282"/>
      <c r="P80" s="1282"/>
      <c r="Q80" s="1282"/>
      <c r="R80" s="1282"/>
      <c r="S80" s="1282"/>
      <c r="T80" s="1282"/>
      <c r="U80" s="1282"/>
      <c r="V80" s="1282"/>
      <c r="W80" s="1282"/>
      <c r="X80" s="1282"/>
      <c r="Y80" s="1282"/>
      <c r="Z80" s="1282"/>
      <c r="AA80" s="2274"/>
      <c r="AB80" s="2274"/>
      <c r="AC80" s="2274"/>
      <c r="AD80" s="2274"/>
      <c r="AE80" s="2274"/>
      <c r="AF80" s="2274"/>
      <c r="AG80" s="2274"/>
      <c r="AH80" s="2274"/>
      <c r="AI80" s="2274"/>
    </row>
    <row r="81" spans="1:35" s="2273" customFormat="1" ht="14.25">
      <c r="A81" s="146" t="s">
        <v>43</v>
      </c>
      <c r="B81" s="121" t="s">
        <v>1914</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5"/>
      <c r="G81" s="1885"/>
      <c r="H81" s="134"/>
      <c r="I81" s="2275"/>
      <c r="J81" s="1282"/>
      <c r="K81" s="1282"/>
      <c r="L81" s="1282"/>
      <c r="M81" s="1282"/>
      <c r="N81" s="1282"/>
      <c r="O81" s="1282"/>
      <c r="P81" s="1282"/>
      <c r="Q81" s="1282"/>
      <c r="R81" s="1282"/>
      <c r="S81" s="1282"/>
      <c r="T81" s="1282"/>
      <c r="U81" s="1282"/>
      <c r="V81" s="1282"/>
      <c r="W81" s="1282"/>
      <c r="X81" s="1282"/>
      <c r="Y81" s="1282"/>
      <c r="Z81" s="1282"/>
      <c r="AA81" s="2274"/>
      <c r="AB81" s="2274"/>
      <c r="AC81" s="2274"/>
      <c r="AD81" s="2274"/>
      <c r="AE81" s="2274"/>
      <c r="AF81" s="2274"/>
      <c r="AG81" s="2274"/>
      <c r="AH81" s="2274"/>
      <c r="AI81" s="2274"/>
    </row>
    <row r="82" spans="1:35" s="2273" customFormat="1" ht="15" thickBot="1">
      <c r="A82" s="148" t="s">
        <v>44</v>
      </c>
      <c r="B82" s="126" t="s">
        <v>1915</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5"/>
      <c r="J82" s="1282"/>
      <c r="K82" s="1282"/>
      <c r="L82" s="1282"/>
      <c r="M82" s="1282"/>
      <c r="N82" s="1282"/>
      <c r="O82" s="1282"/>
      <c r="P82" s="1282"/>
      <c r="Q82" s="1282"/>
      <c r="R82" s="1282"/>
      <c r="S82" s="1282"/>
      <c r="T82" s="1282"/>
      <c r="U82" s="1282"/>
      <c r="V82" s="1282"/>
      <c r="W82" s="1282"/>
      <c r="X82" s="1282"/>
      <c r="Y82" s="1282"/>
      <c r="Z82" s="1282"/>
      <c r="AA82" s="2274"/>
      <c r="AB82" s="2274"/>
      <c r="AC82" s="2274"/>
      <c r="AD82" s="2274"/>
      <c r="AE82" s="2274"/>
      <c r="AF82" s="2274"/>
      <c r="AG82" s="2274"/>
      <c r="AH82" s="2274"/>
      <c r="AI82" s="2274"/>
    </row>
    <row r="83" spans="1:35" s="2273" customFormat="1" ht="7.5" customHeight="1">
      <c r="A83" s="717"/>
      <c r="B83" s="718"/>
      <c r="C83" s="9"/>
      <c r="D83" s="9"/>
      <c r="E83" s="718"/>
      <c r="F83" s="718"/>
      <c r="G83" s="718"/>
      <c r="H83" s="719"/>
      <c r="I83" s="2278"/>
      <c r="J83" s="1282"/>
      <c r="K83" s="1282"/>
      <c r="L83" s="1282"/>
      <c r="M83" s="1282"/>
      <c r="N83" s="1282"/>
      <c r="O83" s="1282"/>
      <c r="P83" s="1282"/>
      <c r="Q83" s="1282"/>
      <c r="R83" s="1282"/>
      <c r="S83" s="1282"/>
      <c r="T83" s="1282"/>
      <c r="U83" s="1282"/>
      <c r="V83" s="1282"/>
      <c r="W83" s="1282"/>
      <c r="X83" s="1282"/>
      <c r="Y83" s="1282"/>
      <c r="Z83" s="1282"/>
      <c r="AA83" s="2274"/>
      <c r="AB83" s="2274"/>
      <c r="AC83" s="2274"/>
      <c r="AD83" s="2274"/>
      <c r="AE83" s="2274"/>
      <c r="AF83" s="2274"/>
      <c r="AG83" s="2274"/>
      <c r="AH83" s="2274"/>
      <c r="AI83" s="2274"/>
    </row>
    <row r="84" spans="1:35" s="2273" customFormat="1" ht="15" thickBot="1">
      <c r="A84" s="2873" t="s">
        <v>1916</v>
      </c>
      <c r="B84" s="2874"/>
      <c r="C84" s="2874"/>
      <c r="D84" s="2874"/>
      <c r="E84" s="2874"/>
      <c r="F84" s="2874"/>
      <c r="G84" s="2874"/>
      <c r="H84" s="2874"/>
      <c r="I84" s="9"/>
      <c r="J84" s="1282"/>
      <c r="K84" s="1282"/>
      <c r="L84" s="1282"/>
      <c r="M84" s="1282"/>
      <c r="N84" s="1282"/>
      <c r="O84" s="1282"/>
      <c r="P84" s="1282"/>
      <c r="Q84" s="1282"/>
      <c r="R84" s="1282"/>
      <c r="S84" s="1282"/>
      <c r="T84" s="1282"/>
      <c r="U84" s="1282"/>
      <c r="V84" s="1282"/>
      <c r="W84" s="1282"/>
      <c r="X84" s="1282"/>
      <c r="Y84" s="1282"/>
      <c r="Z84" s="1282"/>
      <c r="AA84" s="2274"/>
      <c r="AB84" s="2274"/>
      <c r="AC84" s="2274"/>
      <c r="AD84" s="2274"/>
      <c r="AE84" s="2274"/>
      <c r="AF84" s="2274"/>
      <c r="AG84" s="2274"/>
      <c r="AH84" s="2274"/>
      <c r="AI84" s="2274"/>
    </row>
    <row r="85" spans="1:35" s="2273" customFormat="1" ht="14.25">
      <c r="A85" s="2871" t="s">
        <v>1877</v>
      </c>
      <c r="B85" s="2872"/>
      <c r="C85" s="1881"/>
      <c r="D85" s="1881" t="s">
        <v>1878</v>
      </c>
      <c r="E85" s="130" t="s">
        <v>1879</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4"/>
      <c r="AB85" s="2274"/>
      <c r="AC85" s="2274"/>
      <c r="AD85" s="2274"/>
      <c r="AE85" s="2274"/>
      <c r="AF85" s="2274"/>
      <c r="AG85" s="2274"/>
      <c r="AH85" s="2274"/>
      <c r="AI85" s="2274"/>
    </row>
    <row r="86" spans="1:35" s="2273" customFormat="1" ht="14.25">
      <c r="A86" s="133">
        <v>1</v>
      </c>
      <c r="B86" s="121" t="s">
        <v>1898</v>
      </c>
      <c r="C86" s="124">
        <f>ROUND(D46/(1+'数据-取费表'!F30),0)</f>
        <v>0</v>
      </c>
      <c r="D86" s="117" t="s">
        <v>41</v>
      </c>
      <c r="E86" s="1884"/>
      <c r="F86" s="1885"/>
      <c r="G86" s="1885"/>
      <c r="H86" s="155"/>
      <c r="I86" s="9"/>
      <c r="J86" s="1282"/>
      <c r="K86" s="1282"/>
      <c r="L86" s="1282"/>
      <c r="M86" s="1282"/>
      <c r="N86" s="1282"/>
      <c r="O86" s="1282"/>
      <c r="P86" s="1282"/>
      <c r="Q86" s="1282"/>
      <c r="R86" s="1282"/>
      <c r="S86" s="1282"/>
      <c r="T86" s="1282"/>
      <c r="U86" s="1282"/>
      <c r="V86" s="1282"/>
      <c r="W86" s="1282"/>
      <c r="X86" s="1282"/>
      <c r="Y86" s="1282"/>
      <c r="Z86" s="1282"/>
      <c r="AA86" s="2274"/>
      <c r="AB86" s="2274"/>
      <c r="AC86" s="2274"/>
      <c r="AD86" s="2274"/>
      <c r="AE86" s="2274"/>
      <c r="AF86" s="2274"/>
      <c r="AG86" s="2274"/>
      <c r="AH86" s="2274"/>
      <c r="AI86" s="2274"/>
    </row>
    <row r="87" spans="1:35" s="2273" customFormat="1" ht="14.25">
      <c r="A87" s="135">
        <v>2</v>
      </c>
      <c r="B87" s="89" t="s">
        <v>1900</v>
      </c>
      <c r="C87" s="124">
        <f>IF(H89="仅含出让金",C88+C91+C92+C93+C94+C95,C88+C92+C93+C94+C95)</f>
        <v>0</v>
      </c>
      <c r="D87" s="156"/>
      <c r="E87" s="1884"/>
      <c r="F87" s="1885"/>
      <c r="G87" s="1885"/>
      <c r="H87" s="155"/>
      <c r="I87" s="9"/>
      <c r="J87" s="1282"/>
      <c r="K87" s="1282"/>
      <c r="L87" s="1282"/>
      <c r="M87" s="1282"/>
      <c r="N87" s="1282"/>
      <c r="O87" s="1282"/>
      <c r="P87" s="1282"/>
      <c r="Q87" s="1282"/>
      <c r="R87" s="1282"/>
      <c r="S87" s="1282"/>
      <c r="T87" s="1282"/>
      <c r="U87" s="1282"/>
      <c r="V87" s="1282"/>
      <c r="W87" s="1282"/>
      <c r="X87" s="1282"/>
      <c r="Y87" s="1282"/>
      <c r="Z87" s="1282"/>
      <c r="AA87" s="2274"/>
      <c r="AB87" s="2274"/>
      <c r="AC87" s="2274"/>
      <c r="AD87" s="2274"/>
      <c r="AE87" s="2274"/>
      <c r="AF87" s="2274"/>
      <c r="AG87" s="2274"/>
      <c r="AH87" s="2274"/>
      <c r="AI87" s="2274"/>
    </row>
    <row r="88" spans="1:35" s="2273" customFormat="1" ht="14.25">
      <c r="A88" s="136" t="s">
        <v>73</v>
      </c>
      <c r="B88" s="115" t="s">
        <v>1917</v>
      </c>
      <c r="C88" s="144">
        <f>C89+C90</f>
        <v>0</v>
      </c>
      <c r="D88" s="145"/>
      <c r="E88" s="1877"/>
      <c r="F88" s="1878"/>
      <c r="G88" s="1878"/>
      <c r="H88" s="1880"/>
      <c r="I88" s="9"/>
      <c r="J88" s="1282"/>
      <c r="K88" s="1282"/>
      <c r="L88" s="1282"/>
      <c r="M88" s="1282"/>
      <c r="N88" s="1282"/>
      <c r="O88" s="1282"/>
      <c r="P88" s="1282"/>
      <c r="Q88" s="1282"/>
      <c r="R88" s="1282"/>
      <c r="S88" s="1282"/>
      <c r="T88" s="1282"/>
      <c r="U88" s="1282"/>
      <c r="V88" s="1282"/>
      <c r="W88" s="1282"/>
      <c r="X88" s="1282"/>
      <c r="Y88" s="1282"/>
      <c r="Z88" s="1282"/>
      <c r="AA88" s="2274"/>
      <c r="AB88" s="2274"/>
      <c r="AC88" s="2274"/>
      <c r="AD88" s="2274"/>
      <c r="AE88" s="2274"/>
      <c r="AF88" s="2274"/>
      <c r="AG88" s="2274"/>
      <c r="AH88" s="2274"/>
      <c r="AI88" s="2274"/>
    </row>
    <row r="89" spans="1:35" s="2273" customFormat="1" ht="14.25">
      <c r="A89" s="136" t="s">
        <v>74</v>
      </c>
      <c r="B89" s="115" t="s">
        <v>1918</v>
      </c>
      <c r="C89" s="157"/>
      <c r="D89" s="145"/>
      <c r="E89" s="158" t="s">
        <v>1919</v>
      </c>
      <c r="F89" s="1878"/>
      <c r="G89" s="159" t="s">
        <v>1920</v>
      </c>
      <c r="H89" s="2279"/>
      <c r="I89" s="9"/>
      <c r="J89" s="1282"/>
      <c r="K89" s="1282"/>
      <c r="L89" s="1282"/>
      <c r="M89" s="1282"/>
      <c r="N89" s="1282"/>
      <c r="O89" s="1282"/>
      <c r="P89" s="1282"/>
      <c r="Q89" s="1282"/>
      <c r="R89" s="1282"/>
      <c r="S89" s="1282"/>
      <c r="T89" s="1282"/>
      <c r="U89" s="1282"/>
      <c r="V89" s="1282"/>
      <c r="W89" s="1282"/>
      <c r="X89" s="1282"/>
      <c r="Y89" s="1282"/>
      <c r="Z89" s="1282"/>
      <c r="AA89" s="2274"/>
      <c r="AB89" s="2274"/>
      <c r="AC89" s="2274"/>
      <c r="AD89" s="2274"/>
      <c r="AE89" s="2274"/>
      <c r="AF89" s="2274"/>
      <c r="AG89" s="2274"/>
      <c r="AH89" s="2274"/>
      <c r="AI89" s="2274"/>
    </row>
    <row r="90" spans="1:35" s="2273" customFormat="1" ht="14.25">
      <c r="A90" s="136" t="s">
        <v>75</v>
      </c>
      <c r="B90" s="115" t="s">
        <v>1908</v>
      </c>
      <c r="C90" s="144">
        <f>ROUND(C89*D90,0)</f>
        <v>0</v>
      </c>
      <c r="D90" s="145">
        <f>'数据-取费表'!E36+'数据-取费表'!E37</f>
        <v>3.0499999999999999E-2</v>
      </c>
      <c r="E90" s="158" t="s">
        <v>1921</v>
      </c>
      <c r="F90" s="1878"/>
      <c r="G90" s="1878"/>
      <c r="H90" s="1880"/>
      <c r="I90" s="9"/>
      <c r="J90" s="1282"/>
      <c r="K90" s="1282"/>
      <c r="L90" s="1282"/>
      <c r="M90" s="1282"/>
      <c r="N90" s="1282"/>
      <c r="O90" s="1282"/>
      <c r="P90" s="1282"/>
      <c r="Q90" s="1282"/>
      <c r="R90" s="1282"/>
      <c r="S90" s="1282"/>
      <c r="T90" s="1282"/>
      <c r="U90" s="1282"/>
      <c r="V90" s="1282"/>
      <c r="W90" s="1282"/>
      <c r="X90" s="1282"/>
      <c r="Y90" s="1282"/>
      <c r="Z90" s="1282"/>
      <c r="AA90" s="2274"/>
      <c r="AB90" s="2274"/>
      <c r="AC90" s="2274"/>
      <c r="AD90" s="2274"/>
      <c r="AE90" s="2274"/>
      <c r="AF90" s="2274"/>
      <c r="AG90" s="2274"/>
      <c r="AH90" s="2274"/>
      <c r="AI90" s="2274"/>
    </row>
    <row r="91" spans="1:35" s="2273" customFormat="1" ht="14.25">
      <c r="A91" s="136" t="s">
        <v>77</v>
      </c>
      <c r="B91" s="115" t="s">
        <v>1922</v>
      </c>
      <c r="C91" s="157"/>
      <c r="D91" s="145"/>
      <c r="E91" s="158" t="str">
        <f>IF(H89="-","土地取得成本中已包含该笔费用"," ")</f>
        <v xml:space="preserve"> </v>
      </c>
      <c r="F91" s="1878"/>
      <c r="G91" s="1878"/>
      <c r="H91" s="1880"/>
      <c r="I91" s="9"/>
      <c r="J91" s="1282"/>
      <c r="K91" s="1282"/>
      <c r="L91" s="1282"/>
      <c r="M91" s="1282"/>
      <c r="N91" s="1282"/>
      <c r="O91" s="1282"/>
      <c r="P91" s="1282"/>
      <c r="Q91" s="1282"/>
      <c r="R91" s="1282"/>
      <c r="S91" s="1282"/>
      <c r="T91" s="1282"/>
      <c r="U91" s="1282"/>
      <c r="V91" s="1282"/>
      <c r="W91" s="1282"/>
      <c r="X91" s="1282"/>
      <c r="Y91" s="1282"/>
      <c r="Z91" s="1282"/>
      <c r="AA91" s="2274"/>
      <c r="AB91" s="2274"/>
      <c r="AC91" s="2274"/>
      <c r="AD91" s="2274"/>
      <c r="AE91" s="2274"/>
      <c r="AF91" s="2274"/>
      <c r="AG91" s="2274"/>
      <c r="AH91" s="2274"/>
      <c r="AI91" s="2274"/>
    </row>
    <row r="92" spans="1:35" s="2273" customFormat="1" ht="30.75" customHeight="1">
      <c r="A92" s="136" t="s">
        <v>78</v>
      </c>
      <c r="B92" s="115" t="s">
        <v>1923</v>
      </c>
      <c r="C92" s="144">
        <f>IF(H92="——",成本法!C33,I92)</f>
        <v>0</v>
      </c>
      <c r="D92" s="145"/>
      <c r="E92" s="2840" t="s">
        <v>1924</v>
      </c>
      <c r="F92" s="2841"/>
      <c r="G92" s="2841"/>
      <c r="H92" s="2280" t="s">
        <v>1925</v>
      </c>
      <c r="I92" s="2281"/>
      <c r="J92" s="1282"/>
      <c r="K92" s="1282"/>
      <c r="L92" s="1282"/>
      <c r="M92" s="1282"/>
      <c r="N92" s="1282"/>
      <c r="O92" s="1282"/>
      <c r="P92" s="1282"/>
      <c r="Q92" s="1282"/>
      <c r="R92" s="1282"/>
      <c r="S92" s="1282"/>
      <c r="T92" s="1282"/>
      <c r="U92" s="1282"/>
      <c r="V92" s="1282"/>
      <c r="W92" s="1282"/>
      <c r="X92" s="1282"/>
      <c r="Y92" s="1282"/>
      <c r="Z92" s="1282"/>
      <c r="AA92" s="2274"/>
      <c r="AB92" s="2274"/>
      <c r="AC92" s="2274"/>
      <c r="AD92" s="2274"/>
      <c r="AE92" s="2274"/>
      <c r="AF92" s="2274"/>
      <c r="AG92" s="2274"/>
      <c r="AH92" s="2274"/>
      <c r="AI92" s="2274"/>
    </row>
    <row r="93" spans="1:35" s="2273" customFormat="1" ht="25.5" customHeight="1">
      <c r="A93" s="136" t="s">
        <v>79</v>
      </c>
      <c r="B93" s="115" t="s">
        <v>1926</v>
      </c>
      <c r="C93" s="144">
        <f>ROUND((C88+C91+C92)*D93,0)</f>
        <v>0</v>
      </c>
      <c r="D93" s="145">
        <v>0.1</v>
      </c>
      <c r="E93" s="2840" t="s">
        <v>1927</v>
      </c>
      <c r="F93" s="2841"/>
      <c r="G93" s="2841"/>
      <c r="H93" s="2861"/>
      <c r="I93" s="9"/>
      <c r="J93" s="1282"/>
      <c r="K93" s="1282"/>
      <c r="L93" s="1282"/>
      <c r="M93" s="1282"/>
      <c r="N93" s="1282"/>
      <c r="O93" s="1282"/>
      <c r="P93" s="1282"/>
      <c r="Q93" s="1282"/>
      <c r="R93" s="1282"/>
      <c r="S93" s="1282"/>
      <c r="T93" s="1282"/>
      <c r="U93" s="1282"/>
      <c r="V93" s="1282"/>
      <c r="W93" s="1282"/>
      <c r="X93" s="1282"/>
      <c r="Y93" s="1282"/>
      <c r="Z93" s="1282"/>
      <c r="AA93" s="2274"/>
      <c r="AB93" s="2274"/>
      <c r="AC93" s="2274"/>
      <c r="AD93" s="2274"/>
      <c r="AE93" s="2274"/>
      <c r="AF93" s="2274"/>
      <c r="AG93" s="2274"/>
      <c r="AH93" s="2274"/>
      <c r="AI93" s="2274"/>
    </row>
    <row r="94" spans="1:35" s="2273" customFormat="1" ht="25.5" customHeight="1">
      <c r="A94" s="136" t="s">
        <v>80</v>
      </c>
      <c r="B94" s="115" t="s">
        <v>1911</v>
      </c>
      <c r="C94" s="144">
        <f>ROUND(D46*D94/(1+'数据-取费表'!F30),0)</f>
        <v>0</v>
      </c>
      <c r="D94" s="145">
        <f>'数据-取费表'!E31</f>
        <v>5.000000000000001E-3</v>
      </c>
      <c r="E94" s="2840" t="s">
        <v>1912</v>
      </c>
      <c r="F94" s="2841"/>
      <c r="G94" s="2841"/>
      <c r="H94" s="2861"/>
      <c r="I94" s="9"/>
      <c r="J94" s="1282"/>
      <c r="K94" s="1282"/>
      <c r="L94" s="1282"/>
      <c r="M94" s="1282"/>
      <c r="N94" s="1282"/>
      <c r="O94" s="1282"/>
      <c r="P94" s="1282"/>
      <c r="Q94" s="1282"/>
      <c r="R94" s="1282"/>
      <c r="S94" s="1282"/>
      <c r="T94" s="1282"/>
      <c r="U94" s="1282"/>
      <c r="V94" s="1282"/>
      <c r="W94" s="1282"/>
      <c r="X94" s="1282"/>
      <c r="Y94" s="1282"/>
      <c r="Z94" s="1282"/>
      <c r="AA94" s="2274"/>
      <c r="AB94" s="2274"/>
      <c r="AC94" s="2274"/>
      <c r="AD94" s="2274"/>
      <c r="AE94" s="2274"/>
      <c r="AF94" s="2274"/>
      <c r="AG94" s="2274"/>
      <c r="AH94" s="2274"/>
      <c r="AI94" s="2274"/>
    </row>
    <row r="95" spans="1:35" s="2273" customFormat="1" ht="25.5" customHeight="1">
      <c r="A95" s="136" t="s">
        <v>81</v>
      </c>
      <c r="B95" s="115" t="s">
        <v>1928</v>
      </c>
      <c r="C95" s="144">
        <f>ROUND((C88+C91+C92)*D95,0)</f>
        <v>0</v>
      </c>
      <c r="D95" s="145">
        <v>0.2</v>
      </c>
      <c r="E95" s="2840" t="s">
        <v>1929</v>
      </c>
      <c r="F95" s="2841"/>
      <c r="G95" s="2841"/>
      <c r="H95" s="2861"/>
      <c r="I95" s="9"/>
      <c r="J95" s="1282"/>
      <c r="K95" s="1282"/>
      <c r="L95" s="1282"/>
      <c r="M95" s="1282"/>
      <c r="N95" s="1282"/>
      <c r="O95" s="1282"/>
      <c r="P95" s="1282"/>
      <c r="Q95" s="1282"/>
      <c r="R95" s="1282"/>
      <c r="S95" s="1282"/>
      <c r="T95" s="1282"/>
      <c r="U95" s="1282"/>
      <c r="V95" s="1282"/>
      <c r="W95" s="1282"/>
      <c r="X95" s="1282"/>
      <c r="Y95" s="1282"/>
      <c r="Z95" s="1282"/>
      <c r="AA95" s="2274"/>
      <c r="AB95" s="2274"/>
      <c r="AC95" s="2274"/>
      <c r="AD95" s="2274"/>
      <c r="AE95" s="2274"/>
      <c r="AF95" s="2274"/>
      <c r="AG95" s="2274"/>
      <c r="AH95" s="2274"/>
      <c r="AI95" s="2274"/>
    </row>
    <row r="96" spans="1:35" s="2273" customFormat="1" ht="14.25">
      <c r="A96" s="146" t="s">
        <v>42</v>
      </c>
      <c r="B96" s="121" t="s">
        <v>1913</v>
      </c>
      <c r="C96" s="124">
        <f>ROUND(C86-C87,0)</f>
        <v>0</v>
      </c>
      <c r="D96" s="117" t="s">
        <v>41</v>
      </c>
      <c r="E96" s="1884"/>
      <c r="F96" s="1885"/>
      <c r="G96" s="1885"/>
      <c r="H96" s="155"/>
      <c r="I96" s="9"/>
      <c r="J96" s="1282"/>
      <c r="K96" s="1282"/>
      <c r="L96" s="1282"/>
      <c r="M96" s="1282"/>
      <c r="N96" s="1282"/>
      <c r="O96" s="1282"/>
      <c r="P96" s="1282"/>
      <c r="Q96" s="1282"/>
      <c r="R96" s="1282"/>
      <c r="S96" s="1282"/>
      <c r="T96" s="1282"/>
      <c r="U96" s="1282"/>
      <c r="V96" s="1282"/>
      <c r="W96" s="1282"/>
      <c r="X96" s="1282"/>
      <c r="Y96" s="1282"/>
      <c r="Z96" s="1282"/>
      <c r="AA96" s="2274"/>
      <c r="AB96" s="2274"/>
      <c r="AC96" s="2274"/>
      <c r="AD96" s="2274"/>
      <c r="AE96" s="2274"/>
      <c r="AF96" s="2274"/>
      <c r="AG96" s="2274"/>
      <c r="AH96" s="2274"/>
      <c r="AI96" s="2274"/>
    </row>
    <row r="97" spans="1:35" s="2273" customFormat="1" ht="14.25">
      <c r="A97" s="146" t="s">
        <v>43</v>
      </c>
      <c r="B97" s="121" t="s">
        <v>1914</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5"/>
      <c r="G97" s="1885"/>
      <c r="H97" s="155"/>
      <c r="I97" s="9"/>
      <c r="J97" s="1282"/>
      <c r="K97" s="1282"/>
      <c r="L97" s="1282"/>
      <c r="M97" s="1282"/>
      <c r="N97" s="1282"/>
      <c r="O97" s="1282"/>
      <c r="P97" s="1282"/>
      <c r="Q97" s="1282"/>
      <c r="R97" s="1282"/>
      <c r="S97" s="1282"/>
      <c r="T97" s="1282"/>
      <c r="U97" s="1282"/>
      <c r="V97" s="1282"/>
      <c r="W97" s="1282"/>
      <c r="X97" s="1282"/>
      <c r="Y97" s="1282"/>
      <c r="Z97" s="1282"/>
      <c r="AA97" s="2274"/>
      <c r="AB97" s="2274"/>
      <c r="AC97" s="2274"/>
      <c r="AD97" s="2274"/>
      <c r="AE97" s="2274"/>
      <c r="AF97" s="2274"/>
      <c r="AG97" s="2274"/>
      <c r="AH97" s="2274"/>
      <c r="AI97" s="2274"/>
    </row>
    <row r="98" spans="1:35" s="2273" customFormat="1" ht="15" thickBot="1">
      <c r="A98" s="148" t="s">
        <v>44</v>
      </c>
      <c r="B98" s="126" t="s">
        <v>1915</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4"/>
      <c r="AB98" s="2274"/>
      <c r="AC98" s="2274"/>
      <c r="AD98" s="2274"/>
      <c r="AE98" s="2274"/>
      <c r="AF98" s="2274"/>
      <c r="AG98" s="2274"/>
      <c r="AH98" s="2274"/>
      <c r="AI98" s="2274"/>
    </row>
    <row r="99" spans="1:35" ht="21.75" customHeight="1" thickBot="1">
      <c r="A99" s="2243" t="s">
        <v>1930</v>
      </c>
      <c r="B99" s="2187"/>
      <c r="C99" s="2187"/>
      <c r="D99" s="2187"/>
      <c r="E99" s="1018"/>
      <c r="F99" s="1018"/>
      <c r="G99" s="1018"/>
      <c r="H99" s="2240"/>
      <c r="I99" s="2187"/>
    </row>
    <row r="100" spans="1:35" ht="15.75">
      <c r="A100" s="2858" t="s">
        <v>1931</v>
      </c>
      <c r="B100" s="2859"/>
      <c r="C100" s="2859"/>
      <c r="D100" s="2860"/>
      <c r="E100" s="2187"/>
      <c r="F100" s="2868" t="s">
        <v>1932</v>
      </c>
      <c r="G100" s="2869"/>
      <c r="H100" s="2869"/>
      <c r="I100" s="2870"/>
    </row>
    <row r="101" spans="1:35" ht="15.75">
      <c r="A101" s="2875" t="s">
        <v>1933</v>
      </c>
      <c r="B101" s="2876"/>
      <c r="C101" s="720">
        <f>C4</f>
        <v>0</v>
      </c>
      <c r="D101" s="721">
        <f>D4</f>
        <v>0</v>
      </c>
      <c r="E101" s="2187"/>
      <c r="F101" s="2877" t="s">
        <v>1934</v>
      </c>
      <c r="G101" s="2879"/>
      <c r="H101" s="2960" t="s">
        <v>1935</v>
      </c>
      <c r="I101" s="2878"/>
    </row>
    <row r="102" spans="1:35" ht="15.75">
      <c r="A102" s="2961" t="s">
        <v>1995</v>
      </c>
      <c r="B102" s="2282" t="str">
        <f>IF(H19="元","总价（元）","总价（万元）")</f>
        <v>总价（元）</v>
      </c>
      <c r="C102" s="720" t="e">
        <f ca="1">C19</f>
        <v>#REF!</v>
      </c>
      <c r="D102" s="721" t="e">
        <f ca="1">D19</f>
        <v>#REF!</v>
      </c>
      <c r="E102" s="2187"/>
      <c r="F102" s="2962"/>
      <c r="G102" s="2963"/>
      <c r="H102" s="2938">
        <f>典型户型修正!B25</f>
        <v>573.89</v>
      </c>
      <c r="I102" s="2878"/>
    </row>
    <row r="103" spans="1:35" ht="15.75">
      <c r="A103" s="2961"/>
      <c r="B103" s="2282" t="s">
        <v>1937</v>
      </c>
      <c r="C103" s="722" t="e">
        <f ca="1">C20</f>
        <v>#REF!</v>
      </c>
      <c r="D103" s="723" t="e">
        <f ca="1">D20</f>
        <v>#REF!</v>
      </c>
      <c r="E103" s="2187"/>
      <c r="F103" s="2952" t="s">
        <v>1938</v>
      </c>
      <c r="G103" s="2953"/>
      <c r="H103" s="2283" t="str">
        <f>C109</f>
        <v>总价（元）</v>
      </c>
      <c r="I103" s="1858">
        <f>H124</f>
        <v>0</v>
      </c>
    </row>
    <row r="104" spans="1:35" ht="15">
      <c r="A104" s="2961" t="s">
        <v>1996</v>
      </c>
      <c r="B104" s="2284" t="str">
        <f>B102</f>
        <v>总价（元）</v>
      </c>
      <c r="C104" s="1186" t="e">
        <f ca="1">ROUND(IF('数据-取费表'!B4="总价",G19,IF(H19="元",G20*'数据-取费表'!E5,G20*'数据-取费表'!E5/10000)),0)</f>
        <v>#REF!</v>
      </c>
      <c r="D104" s="725"/>
      <c r="E104" s="2187"/>
      <c r="F104" s="2952"/>
      <c r="G104" s="2953"/>
      <c r="H104" s="2283" t="s">
        <v>1937</v>
      </c>
      <c r="I104" s="1046">
        <f>I124</f>
        <v>0</v>
      </c>
    </row>
    <row r="105" spans="1:35" ht="15.75">
      <c r="A105" s="2961"/>
      <c r="B105" s="2282" t="s">
        <v>1937</v>
      </c>
      <c r="C105" s="1187" t="e">
        <f ca="1">ROUND(IF('数据-取费表'!B4="楼面单价",G20,IF(H19="元",G19/'数据-取费表'!E5,G19*10000/'数据-取费表'!E5)),0)</f>
        <v>#REF!</v>
      </c>
      <c r="D105" s="725"/>
      <c r="E105" s="2187"/>
      <c r="F105" s="2864"/>
      <c r="G105" s="2865"/>
      <c r="H105" s="2899"/>
      <c r="I105" s="2900"/>
    </row>
    <row r="106" spans="1:35" ht="15.75">
      <c r="A106" s="2968" t="s">
        <v>1997</v>
      </c>
      <c r="B106" s="2322" t="str">
        <f>B102</f>
        <v>总价（元）</v>
      </c>
      <c r="C106" s="724">
        <f>H124</f>
        <v>0</v>
      </c>
      <c r="D106" s="1185"/>
      <c r="E106" s="2187"/>
      <c r="F106" s="2903" t="s">
        <v>1941</v>
      </c>
      <c r="G106" s="2904"/>
      <c r="H106" s="2286" t="str">
        <f>C111</f>
        <v>总额（元）</v>
      </c>
      <c r="I106" s="1858">
        <f>SUMIF(I107:I109,"&lt;9E307")</f>
        <v>0</v>
      </c>
    </row>
    <row r="107" spans="1:35" ht="15.75" thickBot="1">
      <c r="A107" s="2898"/>
      <c r="B107" s="2285" t="s">
        <v>1937</v>
      </c>
      <c r="C107" s="726">
        <f>I124</f>
        <v>0</v>
      </c>
      <c r="D107" s="727"/>
      <c r="E107" s="2187"/>
      <c r="F107" s="2866" t="s">
        <v>1943</v>
      </c>
      <c r="G107" s="2867"/>
      <c r="H107" s="2286" t="str">
        <f>C112</f>
        <v>总额（元）</v>
      </c>
      <c r="I107" s="1046">
        <f>IF(D37="同一抵押权人同一抵押物续贷",C37&amp;"（未扣减，详见特别提示）",C37)</f>
        <v>0</v>
      </c>
      <c r="K107" s="2197" t="str">
        <f>IF(D126=0,"本次评估不存在"&amp;A126,"本次评估"&amp;A126&amp;"为"&amp;D126&amp;"元人民币。")</f>
        <v>本次评估不存在估价师所知悉的法定优先受偿款</v>
      </c>
    </row>
    <row r="108" spans="1:35" ht="15">
      <c r="A108" s="2964" t="s">
        <v>1940</v>
      </c>
      <c r="B108" s="2965"/>
      <c r="C108" s="2965"/>
      <c r="D108" s="2966"/>
      <c r="E108" s="2187"/>
      <c r="F108" s="2866" t="s">
        <v>1944</v>
      </c>
      <c r="G108" s="2867"/>
      <c r="H108" s="2286" t="str">
        <f>C113</f>
        <v>总额（元）</v>
      </c>
      <c r="I108" s="1046">
        <f>C38</f>
        <v>0</v>
      </c>
      <c r="K108" s="2287"/>
    </row>
    <row r="109" spans="1:35" ht="15">
      <c r="A109" s="2905" t="s">
        <v>1998</v>
      </c>
      <c r="B109" s="2906"/>
      <c r="C109" s="2283" t="str">
        <f>B102</f>
        <v>总价（元）</v>
      </c>
      <c r="D109" s="1047">
        <f>H124</f>
        <v>0</v>
      </c>
      <c r="E109" s="2187"/>
      <c r="F109" s="2866" t="s">
        <v>1946</v>
      </c>
      <c r="G109" s="2867"/>
      <c r="H109" s="2286" t="str">
        <f>C114</f>
        <v>总额（元）</v>
      </c>
      <c r="I109" s="1046">
        <f>C39</f>
        <v>0</v>
      </c>
    </row>
    <row r="110" spans="1:35" ht="15.75">
      <c r="A110" s="2905"/>
      <c r="B110" s="2906"/>
      <c r="C110" s="2283" t="s">
        <v>1937</v>
      </c>
      <c r="D110" s="1048">
        <f>I124</f>
        <v>0</v>
      </c>
      <c r="E110" s="2187"/>
      <c r="F110" s="2864"/>
      <c r="G110" s="2865"/>
      <c r="H110" s="2901"/>
      <c r="I110" s="2902"/>
    </row>
    <row r="111" spans="1:35" ht="28.5" customHeight="1">
      <c r="A111" s="2948" t="s">
        <v>1945</v>
      </c>
      <c r="B111" s="2949"/>
      <c r="C111" s="2286" t="str">
        <f>IF(H19="元","总额（元）","总额（万元）")</f>
        <v>总额（元）</v>
      </c>
      <c r="D111" s="1047">
        <f>IF(D37="正常操作",I107+I108+I109,I108+I109)</f>
        <v>0</v>
      </c>
      <c r="E111" s="2187"/>
      <c r="F111" s="2846" t="str">
        <f>IF(项目基本情况!F5="已注销","——","3.房地产抵押价值")</f>
        <v>3.房地产抵押价值</v>
      </c>
      <c r="G111" s="2847"/>
      <c r="H111" s="2323" t="str">
        <f>C115</f>
        <v>总价（元）</v>
      </c>
      <c r="I111" s="1858">
        <f>IF(F111="——","——",I103-I106)</f>
        <v>0</v>
      </c>
    </row>
    <row r="112" spans="1:35" ht="15">
      <c r="A112" s="2866" t="s">
        <v>1943</v>
      </c>
      <c r="B112" s="2867"/>
      <c r="C112" s="2286" t="str">
        <f>C111</f>
        <v>总额（元）</v>
      </c>
      <c r="D112" s="637">
        <f>IF(D37="同一抵押权人同一抵押物续贷",C37&amp;"（未扣减，详见特别提示）",C37)</f>
        <v>0</v>
      </c>
      <c r="E112" s="2187"/>
      <c r="F112" s="2848"/>
      <c r="G112" s="2849"/>
      <c r="H112" s="2283" t="s">
        <v>1937</v>
      </c>
      <c r="I112" s="2289">
        <f>D116</f>
        <v>0</v>
      </c>
    </row>
    <row r="113" spans="1:26" ht="15.75">
      <c r="A113" s="2866" t="s">
        <v>1944</v>
      </c>
      <c r="B113" s="2867"/>
      <c r="C113" s="2286" t="str">
        <f>C111</f>
        <v>总额（元）</v>
      </c>
      <c r="D113" s="637">
        <f>C38</f>
        <v>0</v>
      </c>
      <c r="E113" s="2187"/>
      <c r="F113" s="2846" t="str">
        <f>IF(项目基本情况!F5="已注销及未注销","4.抵押担保权已注销时的房地产抵押价值",IF(项目基本情况!F5="已注销","3.抵押担保权已注销时的房地产抵押价值","——"))</f>
        <v>——</v>
      </c>
      <c r="G113" s="2847"/>
      <c r="H113" s="2323" t="str">
        <f>C117</f>
        <v>总价（元）</v>
      </c>
      <c r="I113" s="1858" t="str">
        <f>IF(F113="——","——",I103-I108-I109)</f>
        <v>——</v>
      </c>
    </row>
    <row r="114" spans="1:26" ht="15">
      <c r="A114" s="2866" t="s">
        <v>1946</v>
      </c>
      <c r="B114" s="2867"/>
      <c r="C114" s="2286" t="str">
        <f>C111</f>
        <v>总额（元）</v>
      </c>
      <c r="D114" s="637">
        <f>C39</f>
        <v>0</v>
      </c>
      <c r="E114" s="2187"/>
      <c r="F114" s="2848"/>
      <c r="G114" s="2849"/>
      <c r="H114" s="2283" t="s">
        <v>1937</v>
      </c>
      <c r="I114" s="1046" t="str">
        <f>D118</f>
        <v>——</v>
      </c>
    </row>
    <row r="115" spans="1:26" ht="15.75">
      <c r="A115" s="2905" t="str">
        <f>IF(项目基本情况!F5="已注销","——","3.房地产抵押价值")</f>
        <v>3.房地产抵押价值</v>
      </c>
      <c r="B115" s="2906"/>
      <c r="C115" s="2283" t="str">
        <f>B102</f>
        <v>总价（元）</v>
      </c>
      <c r="D115" s="1047">
        <f>IF(A115="——","——",D109-D111)</f>
        <v>0</v>
      </c>
      <c r="E115" s="2187"/>
      <c r="F115" s="2846" t="str">
        <f>IF(项目基本情况!G5="抵押净值",IF(OR(项目基本情况!F5="已注销",项目基本情况!F5="房地产抵押价值"),"4.抵押净值","5.抵押净值"),"——")</f>
        <v>——</v>
      </c>
      <c r="G115" s="2847"/>
      <c r="H115" s="2283" t="str">
        <f>C119</f>
        <v>总价（元）</v>
      </c>
      <c r="I115" s="1858" t="str">
        <f>IF(F115="——","——",N60)</f>
        <v>——</v>
      </c>
    </row>
    <row r="116" spans="1:26" ht="15.75" thickBot="1">
      <c r="A116" s="2905"/>
      <c r="B116" s="2906"/>
      <c r="C116" s="2283" t="s">
        <v>1999</v>
      </c>
      <c r="D116" s="1048">
        <f>ROUND(IF(D115=D109,D110,IF(H19="元",D115/B124,D115*10000/B124)),0)</f>
        <v>0</v>
      </c>
      <c r="E116" s="2187"/>
      <c r="F116" s="2939"/>
      <c r="G116" s="2940"/>
      <c r="H116" s="2291" t="s">
        <v>1999</v>
      </c>
      <c r="I116" s="1860" t="str">
        <f>D120</f>
        <v>——</v>
      </c>
    </row>
    <row r="117" spans="1:26" ht="15.75">
      <c r="A117" s="2905" t="str">
        <f>IF(项目基本情况!F5="已注销及未注销","4.抵押担保权已注销时的房地产抵押价值",IF(项目基本情况!F5="已注销","3.抵押担保权已注销时的房地产抵押价值","——"))</f>
        <v>——</v>
      </c>
      <c r="B117" s="2906"/>
      <c r="C117" s="2283" t="str">
        <f>B102</f>
        <v>总价（元）</v>
      </c>
      <c r="D117" s="1047" t="str">
        <f>IF(A117="——","——",D109-D113-D114)</f>
        <v>——</v>
      </c>
      <c r="E117" s="2187"/>
      <c r="F117" s="2842"/>
      <c r="G117" s="2842"/>
      <c r="H117" s="2884"/>
      <c r="I117" s="2884"/>
      <c r="N117" s="55"/>
      <c r="O117" s="55"/>
    </row>
    <row r="118" spans="1:26" s="1841" customFormat="1" ht="15">
      <c r="A118" s="2905"/>
      <c r="B118" s="2906"/>
      <c r="C118" s="2283" t="s">
        <v>1999</v>
      </c>
      <c r="D118" s="1048" t="str">
        <f>IF(A117="——","——",IF(H19="元",ROUND(D117/B124,0),ROUND(D117*10000/B124,0)))</f>
        <v>——</v>
      </c>
      <c r="E118" s="2187"/>
      <c r="F118" s="2967" t="str">
        <f>IF(B32="总价","（以上估价结果中楼面单价为总价除以建筑面积得出）","（以上估价结果中总价为楼面单价乘以建筑面积得出）")</f>
        <v>（以上估价结果中总价为楼面单价乘以建筑面积得出）</v>
      </c>
      <c r="G118" s="2967"/>
      <c r="H118" s="2967"/>
      <c r="I118" s="2967"/>
      <c r="J118" s="798"/>
      <c r="K118" s="798"/>
      <c r="L118" s="798"/>
      <c r="M118" s="798"/>
      <c r="N118" s="55"/>
      <c r="O118" s="55"/>
      <c r="P118" s="798"/>
      <c r="Q118" s="798"/>
      <c r="R118" s="798"/>
      <c r="S118" s="798"/>
      <c r="T118" s="798"/>
      <c r="U118" s="798"/>
      <c r="V118" s="798"/>
      <c r="W118" s="798"/>
      <c r="X118" s="798"/>
      <c r="Y118" s="798"/>
      <c r="Z118" s="798"/>
    </row>
    <row r="119" spans="1:26" s="1841" customFormat="1" ht="15">
      <c r="A119" s="2905" t="str">
        <f>IF(项目基本情况!G5="抵押净值",IF(OR(项目基本情况!F5="已注销",项目基本情况!F5="房地产抵押价值"),"4.抵押净值","5.抵押净值"),"——")</f>
        <v>——</v>
      </c>
      <c r="B119" s="2906"/>
      <c r="C119" s="2283" t="str">
        <f>B102</f>
        <v>总价（元）</v>
      </c>
      <c r="D119" s="1047" t="str">
        <f>IF(A119="——","——",N60)</f>
        <v>——</v>
      </c>
      <c r="E119" s="2187"/>
      <c r="F119" s="2324"/>
      <c r="G119" s="2324"/>
      <c r="H119" s="2324"/>
      <c r="I119" s="2324"/>
      <c r="J119" s="798"/>
      <c r="K119" s="798"/>
      <c r="L119" s="798"/>
      <c r="M119" s="798"/>
      <c r="N119" s="55"/>
      <c r="O119" s="55"/>
      <c r="P119" s="798"/>
      <c r="Q119" s="798"/>
      <c r="R119" s="798"/>
      <c r="S119" s="798"/>
      <c r="T119" s="798"/>
      <c r="U119" s="798"/>
      <c r="V119" s="798"/>
      <c r="W119" s="798"/>
      <c r="X119" s="798"/>
      <c r="Y119" s="798"/>
      <c r="Z119" s="798"/>
    </row>
    <row r="120" spans="1:26" s="1841" customFormat="1" ht="15.75" thickBot="1">
      <c r="A120" s="2946"/>
      <c r="B120" s="2947"/>
      <c r="C120" s="2291" t="s">
        <v>1999</v>
      </c>
      <c r="D120" s="1049" t="str">
        <f>IF(D119=D109,D110,IF(A119="——","——",N62))</f>
        <v>——</v>
      </c>
      <c r="E120" s="2187"/>
      <c r="F120" s="2324"/>
      <c r="G120" s="2324"/>
      <c r="H120" s="2324"/>
      <c r="I120" s="2324"/>
      <c r="J120" s="798"/>
      <c r="K120" s="798"/>
      <c r="L120" s="798"/>
      <c r="M120" s="798"/>
      <c r="N120" s="55"/>
      <c r="O120" s="55"/>
      <c r="P120" s="798"/>
      <c r="Q120" s="798"/>
      <c r="R120" s="798"/>
      <c r="S120" s="798"/>
      <c r="T120" s="798"/>
      <c r="U120" s="798"/>
      <c r="V120" s="798"/>
      <c r="W120" s="798"/>
      <c r="X120" s="798"/>
      <c r="Y120" s="798"/>
      <c r="Z120" s="798"/>
    </row>
    <row r="121" spans="1:26" s="1841" customFormat="1" ht="15">
      <c r="A121" s="2885" t="s">
        <v>2000</v>
      </c>
      <c r="B121" s="2886"/>
      <c r="C121" s="2886"/>
      <c r="D121" s="2886"/>
      <c r="E121" s="2886"/>
      <c r="F121" s="2886"/>
      <c r="G121" s="2886"/>
      <c r="H121" s="2886"/>
      <c r="I121" s="2886"/>
      <c r="J121" s="798"/>
      <c r="K121" s="798"/>
      <c r="L121" s="798"/>
      <c r="M121" s="798"/>
      <c r="N121" s="798"/>
      <c r="O121" s="798"/>
      <c r="P121" s="798"/>
      <c r="Q121" s="798"/>
      <c r="R121" s="798"/>
      <c r="S121" s="798"/>
      <c r="T121" s="798"/>
      <c r="U121" s="798"/>
      <c r="V121" s="798"/>
      <c r="W121" s="798"/>
      <c r="X121" s="798"/>
      <c r="Y121" s="798"/>
      <c r="Z121" s="798"/>
    </row>
    <row r="122" spans="1:26" s="1841" customFormat="1" ht="14.25">
      <c r="A122" s="2857" t="s">
        <v>1948</v>
      </c>
      <c r="B122" s="2855" t="s">
        <v>2001</v>
      </c>
      <c r="C122" s="2855" t="s">
        <v>2002</v>
      </c>
      <c r="D122" s="2862" t="s">
        <v>1951</v>
      </c>
      <c r="E122" s="2863"/>
      <c r="F122" s="2853" t="s">
        <v>2003</v>
      </c>
      <c r="G122" s="2853"/>
      <c r="H122" s="2853" t="s">
        <v>1952</v>
      </c>
      <c r="I122" s="2854"/>
      <c r="J122" s="798"/>
      <c r="K122" s="798"/>
      <c r="L122" s="798"/>
      <c r="M122" s="798"/>
      <c r="N122" s="798"/>
      <c r="O122" s="798"/>
      <c r="P122" s="798"/>
      <c r="Q122" s="798"/>
      <c r="R122" s="798"/>
      <c r="S122" s="798"/>
      <c r="T122" s="798"/>
      <c r="U122" s="798"/>
      <c r="V122" s="798"/>
      <c r="W122" s="798"/>
      <c r="X122" s="798"/>
      <c r="Y122" s="798"/>
      <c r="Z122" s="798"/>
    </row>
    <row r="123" spans="1:26" s="1841" customFormat="1" ht="14.25">
      <c r="A123" s="2857"/>
      <c r="B123" s="2856"/>
      <c r="C123" s="2856"/>
      <c r="D123" s="1883" t="s">
        <v>1953</v>
      </c>
      <c r="E123" s="1883" t="s">
        <v>1954</v>
      </c>
      <c r="F123" s="1883" t="s">
        <v>1953</v>
      </c>
      <c r="G123" s="1883" t="s">
        <v>1955</v>
      </c>
      <c r="H123" s="1883" t="s">
        <v>1953</v>
      </c>
      <c r="I123" s="637" t="s">
        <v>1955</v>
      </c>
      <c r="J123" s="798"/>
      <c r="K123" s="798"/>
      <c r="L123" s="798"/>
      <c r="M123" s="798"/>
      <c r="N123" s="798"/>
      <c r="O123" s="798"/>
      <c r="P123" s="798"/>
      <c r="Q123" s="798"/>
      <c r="R123" s="798"/>
      <c r="S123" s="798"/>
      <c r="T123" s="798"/>
      <c r="U123" s="798"/>
      <c r="V123" s="798"/>
      <c r="W123" s="798"/>
      <c r="X123" s="798"/>
      <c r="Y123" s="798"/>
      <c r="Z123" s="798"/>
    </row>
    <row r="124" spans="1:26" s="1841" customFormat="1" ht="14.25">
      <c r="A124" s="2173" t="str">
        <f>项目基本情况!I1</f>
        <v>北京市房地产</v>
      </c>
      <c r="B124" s="1883">
        <f>典型户型修正!B25</f>
        <v>573.89</v>
      </c>
      <c r="C124" s="400"/>
      <c r="D124" s="1883">
        <f>C35</f>
        <v>0</v>
      </c>
      <c r="E124" s="1883">
        <f>ROUND(IF(H19="元",D124/B124,D124*10000/B124),0)</f>
        <v>0</v>
      </c>
      <c r="F124" s="1883">
        <f>C36</f>
        <v>0</v>
      </c>
      <c r="G124" s="1883">
        <f>ROUND(IF(H19="元",F124/B124,F124*10000/B124),0)</f>
        <v>0</v>
      </c>
      <c r="H124" s="1883">
        <f>C33</f>
        <v>0</v>
      </c>
      <c r="I124" s="637">
        <f>C34</f>
        <v>0</v>
      </c>
      <c r="J124" s="798"/>
      <c r="K124" s="798"/>
      <c r="L124" s="798"/>
      <c r="M124" s="798"/>
      <c r="N124" s="798"/>
      <c r="O124" s="798"/>
      <c r="P124" s="798"/>
      <c r="Q124" s="798"/>
      <c r="R124" s="798"/>
      <c r="S124" s="798"/>
      <c r="T124" s="798"/>
      <c r="U124" s="798"/>
      <c r="V124" s="798"/>
      <c r="W124" s="798"/>
      <c r="X124" s="798"/>
      <c r="Y124" s="798"/>
      <c r="Z124" s="798"/>
    </row>
    <row r="125" spans="1:26" s="1841" customFormat="1" ht="14.25">
      <c r="A125" s="2857" t="s">
        <v>1956</v>
      </c>
      <c r="B125" s="2853"/>
      <c r="C125" s="2853"/>
      <c r="D125" s="2889" t="str">
        <f>IF(H19="元",NUMBERSTRING(INT(D124),2)&amp;"元整",NUMBERSTRING(INT(D124*10000),2)&amp;"元整")</f>
        <v>零元整</v>
      </c>
      <c r="E125" s="2890"/>
      <c r="F125" s="2889" t="str">
        <f>IF(H19="元",NUMBERSTRING(INT(F124),2)&amp;"元整",NUMBERSTRING(INT(F124*10000),2)&amp;"元整")</f>
        <v>零元整</v>
      </c>
      <c r="G125" s="2890"/>
      <c r="H125" s="2889" t="str">
        <f>IF(H19="元",NUMBERSTRING(INT(H124),2)&amp;"元整",NUMBERSTRING(INT(H124*10000),2)&amp;"元整")</f>
        <v>零元整</v>
      </c>
      <c r="I125" s="2954"/>
      <c r="J125" s="798"/>
      <c r="K125" s="798"/>
      <c r="L125" s="798"/>
      <c r="M125" s="798"/>
      <c r="N125" s="798"/>
      <c r="O125" s="798"/>
      <c r="P125" s="798"/>
      <c r="Q125" s="798"/>
      <c r="R125" s="798"/>
      <c r="S125" s="798"/>
      <c r="T125" s="798"/>
      <c r="U125" s="798"/>
      <c r="V125" s="798"/>
      <c r="W125" s="798"/>
      <c r="X125" s="798"/>
      <c r="Y125" s="798"/>
      <c r="Z125" s="798"/>
    </row>
    <row r="126" spans="1:26" s="1841" customFormat="1" ht="15">
      <c r="A126" s="2891" t="str">
        <f>IF(项目基本情况!D5="房地产市场价值","——",MID(A111,3,LEN(A111)-2))</f>
        <v>估价师所知悉的法定优先受偿款</v>
      </c>
      <c r="B126" s="2892"/>
      <c r="C126" s="2893"/>
      <c r="D126" s="2882">
        <f>I106</f>
        <v>0</v>
      </c>
      <c r="E126" s="2892"/>
      <c r="F126" s="2892"/>
      <c r="G126" s="2892"/>
      <c r="H126" s="2892"/>
      <c r="I126" s="2941"/>
      <c r="J126" s="798"/>
      <c r="K126" s="798"/>
      <c r="L126" s="798"/>
      <c r="M126" s="798"/>
      <c r="N126" s="798"/>
      <c r="O126" s="798"/>
      <c r="P126" s="798"/>
      <c r="Q126" s="798"/>
      <c r="R126" s="798"/>
      <c r="S126" s="798"/>
      <c r="T126" s="798"/>
      <c r="U126" s="798"/>
      <c r="V126" s="798"/>
      <c r="W126" s="798"/>
      <c r="X126" s="798"/>
      <c r="Y126" s="798"/>
      <c r="Z126" s="798"/>
    </row>
    <row r="127" spans="1:26" s="1841" customFormat="1" ht="14.25">
      <c r="A127" s="2894" t="s">
        <v>1956</v>
      </c>
      <c r="B127" s="2895"/>
      <c r="C127" s="2896"/>
      <c r="D127" s="2942">
        <f>H110</f>
        <v>0</v>
      </c>
      <c r="E127" s="2943"/>
      <c r="F127" s="2943"/>
      <c r="G127" s="2943"/>
      <c r="H127" s="2943"/>
      <c r="I127" s="2944"/>
      <c r="J127" s="798"/>
      <c r="K127" s="798"/>
      <c r="L127" s="798"/>
      <c r="M127" s="798"/>
      <c r="N127" s="798"/>
      <c r="O127" s="798"/>
      <c r="P127" s="798"/>
      <c r="Q127" s="798"/>
      <c r="R127" s="798"/>
      <c r="S127" s="798"/>
      <c r="T127" s="798"/>
      <c r="U127" s="798"/>
      <c r="V127" s="798"/>
      <c r="W127" s="798"/>
      <c r="X127" s="798"/>
      <c r="Y127" s="798"/>
      <c r="Z127" s="798"/>
    </row>
    <row r="128" spans="1:26" s="1841" customFormat="1" ht="15">
      <c r="A128" s="2880" t="str">
        <f>IF(项目基本情况!D5="房地产市场价值","——",MID(A115,3,LEN(A115)-2))</f>
        <v>房地产抵押价值</v>
      </c>
      <c r="B128" s="2881"/>
      <c r="C128" s="2881"/>
      <c r="D128" s="2882">
        <f>I111</f>
        <v>0</v>
      </c>
      <c r="E128" s="2892"/>
      <c r="F128" s="2892"/>
      <c r="G128" s="2892"/>
      <c r="H128" s="2892"/>
      <c r="I128" s="2941"/>
      <c r="J128" s="798"/>
      <c r="K128" s="798"/>
      <c r="L128" s="798"/>
      <c r="M128" s="798"/>
      <c r="N128" s="798"/>
      <c r="O128" s="798"/>
      <c r="P128" s="798"/>
      <c r="Q128" s="798"/>
      <c r="R128" s="798"/>
      <c r="S128" s="798"/>
      <c r="T128" s="798"/>
      <c r="U128" s="798"/>
      <c r="V128" s="798"/>
      <c r="W128" s="798"/>
      <c r="X128" s="798"/>
      <c r="Y128" s="798"/>
      <c r="Z128" s="798"/>
    </row>
    <row r="129" spans="1:26" s="1841" customFormat="1" ht="14.25">
      <c r="A129" s="2857" t="s">
        <v>1956</v>
      </c>
      <c r="B129" s="2853"/>
      <c r="C129" s="2853"/>
      <c r="D129" s="2942">
        <f>I112</f>
        <v>0</v>
      </c>
      <c r="E129" s="2943"/>
      <c r="F129" s="2943"/>
      <c r="G129" s="2943"/>
      <c r="H129" s="2943"/>
      <c r="I129" s="2944"/>
      <c r="J129" s="798"/>
      <c r="K129" s="798"/>
      <c r="L129" s="798"/>
      <c r="M129" s="798"/>
      <c r="N129" s="798"/>
      <c r="O129" s="798"/>
      <c r="P129" s="798"/>
      <c r="Q129" s="798"/>
      <c r="R129" s="798"/>
      <c r="S129" s="798"/>
      <c r="T129" s="798"/>
      <c r="U129" s="798"/>
      <c r="V129" s="798"/>
      <c r="W129" s="798"/>
      <c r="X129" s="798"/>
      <c r="Y129" s="798"/>
      <c r="Z129" s="798"/>
    </row>
    <row r="130" spans="1:26" s="1841" customFormat="1" ht="15.75" thickBot="1">
      <c r="A130" s="2880" t="str">
        <f>IF(项目基本情况!D5="房地产市场价值","——",MID(A117,3,LEN(A117)-2))</f>
        <v/>
      </c>
      <c r="B130" s="2881"/>
      <c r="C130" s="2881"/>
      <c r="D130" s="2837" t="str">
        <f>I113</f>
        <v>——</v>
      </c>
      <c r="E130" s="2838"/>
      <c r="F130" s="2838"/>
      <c r="G130" s="2838"/>
      <c r="H130" s="2838"/>
      <c r="I130" s="2839"/>
      <c r="J130" s="798"/>
      <c r="K130" s="798"/>
      <c r="L130" s="798"/>
      <c r="M130" s="798"/>
      <c r="N130" s="798"/>
      <c r="O130" s="798"/>
      <c r="P130" s="798"/>
      <c r="Q130" s="798"/>
      <c r="R130" s="798"/>
      <c r="S130" s="798"/>
      <c r="T130" s="798"/>
      <c r="U130" s="798"/>
      <c r="V130" s="798"/>
      <c r="W130" s="798"/>
      <c r="X130" s="798"/>
      <c r="Y130" s="798"/>
      <c r="Z130" s="798"/>
    </row>
    <row r="131" spans="1:26" s="1841" customFormat="1" ht="15.75" thickTop="1" thickBot="1">
      <c r="A131" s="2857" t="s">
        <v>1956</v>
      </c>
      <c r="B131" s="2853"/>
      <c r="C131" s="2937"/>
      <c r="D131" s="2883" t="str">
        <f>I114</f>
        <v>——</v>
      </c>
      <c r="E131" s="2883"/>
      <c r="F131" s="2883"/>
      <c r="G131" s="2883"/>
      <c r="H131" s="2883"/>
      <c r="I131" s="2883"/>
      <c r="J131" s="798"/>
      <c r="K131" s="798"/>
      <c r="L131" s="798"/>
      <c r="M131" s="798"/>
      <c r="N131" s="798"/>
      <c r="O131" s="798"/>
      <c r="P131" s="798"/>
      <c r="Q131" s="798"/>
      <c r="R131" s="798"/>
      <c r="S131" s="798"/>
      <c r="T131" s="798"/>
      <c r="U131" s="798"/>
      <c r="V131" s="798"/>
      <c r="W131" s="798"/>
      <c r="X131" s="798"/>
      <c r="Y131" s="798"/>
      <c r="Z131" s="798"/>
    </row>
    <row r="132" spans="1:26" s="1841" customFormat="1" ht="16.5" thickTop="1" thickBot="1">
      <c r="A132" s="2880" t="str">
        <f>IF(项目基本情况!D5="房地产市场价值","——",MID(F115,3,LEN(F115)-2))</f>
        <v/>
      </c>
      <c r="B132" s="2881"/>
      <c r="C132" s="2882"/>
      <c r="D132" s="2945" t="str">
        <f>I115</f>
        <v>——</v>
      </c>
      <c r="E132" s="2945"/>
      <c r="F132" s="2945"/>
      <c r="G132" s="2945"/>
      <c r="H132" s="2945"/>
      <c r="I132" s="2945"/>
      <c r="J132" s="798"/>
      <c r="K132" s="798"/>
      <c r="L132" s="798"/>
      <c r="M132" s="798"/>
      <c r="N132" s="798"/>
      <c r="O132" s="798"/>
      <c r="P132" s="798"/>
      <c r="Q132" s="798"/>
      <c r="R132" s="798"/>
      <c r="S132" s="798"/>
      <c r="T132" s="798"/>
      <c r="U132" s="798"/>
      <c r="V132" s="798"/>
      <c r="W132" s="798"/>
      <c r="X132" s="798"/>
      <c r="Y132" s="798"/>
      <c r="Z132" s="798"/>
    </row>
    <row r="133" spans="1:26" s="1841" customFormat="1" ht="15.75" thickTop="1" thickBot="1">
      <c r="A133" s="2950" t="s">
        <v>1956</v>
      </c>
      <c r="B133" s="2951"/>
      <c r="C133" s="2951"/>
      <c r="D133" s="2955">
        <f>H117</f>
        <v>0</v>
      </c>
      <c r="E133" s="2956"/>
      <c r="F133" s="2956"/>
      <c r="G133" s="2956"/>
      <c r="H133" s="2956"/>
      <c r="I133" s="2957"/>
      <c r="J133" s="798"/>
      <c r="K133" s="798"/>
      <c r="L133" s="798"/>
      <c r="M133" s="798"/>
      <c r="N133" s="798"/>
      <c r="O133" s="798"/>
      <c r="P133" s="798"/>
      <c r="Q133" s="798"/>
      <c r="R133" s="798"/>
      <c r="S133" s="798"/>
      <c r="T133" s="798"/>
      <c r="U133" s="798"/>
      <c r="V133" s="798"/>
      <c r="W133" s="798"/>
      <c r="X133" s="798"/>
      <c r="Y133" s="798"/>
      <c r="Z133" s="798"/>
    </row>
    <row r="134" spans="1:26" s="1841" customFormat="1" ht="12.75">
      <c r="A134" s="2270" t="str">
        <f>IF(H19="元","单位：平方米、元、元/平方米（币种：人民币）","单位：平方米、万元、元/平方米（币种：人民币）")</f>
        <v>单位：平方米、元、元/平方米（币种：人民币）</v>
      </c>
      <c r="B134" s="2270"/>
      <c r="C134" s="2270"/>
      <c r="D134" s="2270"/>
      <c r="E134" s="2270"/>
      <c r="F134" s="2270"/>
      <c r="G134" s="2270"/>
      <c r="H134" s="2270"/>
      <c r="I134" s="2270"/>
      <c r="J134" s="798"/>
      <c r="K134" s="798"/>
      <c r="L134" s="798"/>
      <c r="M134" s="798"/>
      <c r="N134" s="798"/>
      <c r="O134" s="798"/>
      <c r="P134" s="798"/>
      <c r="Q134" s="798"/>
      <c r="R134" s="798"/>
      <c r="S134" s="798"/>
      <c r="T134" s="798"/>
      <c r="U134" s="798"/>
      <c r="V134" s="798"/>
      <c r="W134" s="798"/>
      <c r="X134" s="798"/>
      <c r="Y134" s="798"/>
      <c r="Z134" s="798"/>
    </row>
    <row r="135" spans="1:26" s="1841" customFormat="1" ht="13.5" thickBot="1">
      <c r="A135" s="2935" t="str">
        <f>IF(B32="总价","（以上估价结果中楼面单价为总价除以建筑面积得出）","（以上估价结果中总价为楼面单价乘以建筑面积得出）")</f>
        <v>（以上估价结果中总价为楼面单价乘以建筑面积得出）</v>
      </c>
      <c r="B135" s="2935"/>
      <c r="C135" s="2935"/>
      <c r="D135" s="2935"/>
      <c r="E135" s="2935"/>
      <c r="F135" s="2935"/>
      <c r="G135" s="2935"/>
      <c r="H135" s="2935"/>
      <c r="I135" s="2935"/>
      <c r="J135" s="798"/>
      <c r="K135" s="798"/>
      <c r="L135" s="798"/>
      <c r="M135" s="798"/>
      <c r="N135" s="798"/>
      <c r="O135" s="798"/>
      <c r="P135" s="798"/>
      <c r="Q135" s="798"/>
      <c r="R135" s="798"/>
      <c r="S135" s="798"/>
      <c r="T135" s="798"/>
      <c r="U135" s="798"/>
      <c r="V135" s="798"/>
      <c r="W135" s="798"/>
      <c r="X135" s="798"/>
      <c r="Y135" s="798"/>
      <c r="Z135" s="798"/>
    </row>
    <row r="136" spans="1:26" s="1841" customFormat="1" ht="21.75" customHeight="1">
      <c r="A136" s="2292" t="s">
        <v>1957</v>
      </c>
      <c r="B136" s="2293"/>
      <c r="C136" s="2294" t="s">
        <v>1958</v>
      </c>
      <c r="D136" s="2295"/>
      <c r="E136" s="2295"/>
      <c r="F136" s="2295"/>
      <c r="G136" s="2295"/>
      <c r="H136" s="2296"/>
      <c r="I136" s="2297"/>
      <c r="J136" s="798"/>
      <c r="K136" s="798"/>
      <c r="L136" s="798"/>
      <c r="M136" s="798"/>
      <c r="N136" s="798"/>
      <c r="O136" s="798"/>
      <c r="P136" s="798"/>
      <c r="Q136" s="798"/>
      <c r="R136" s="798"/>
      <c r="S136" s="798"/>
      <c r="T136" s="798"/>
      <c r="U136" s="798"/>
      <c r="V136" s="798"/>
      <c r="W136" s="798"/>
      <c r="X136" s="798"/>
      <c r="Y136" s="798"/>
      <c r="Z136" s="798"/>
    </row>
    <row r="137" spans="1:26" s="1841" customFormat="1" ht="21.75" customHeight="1">
      <c r="A137" s="2298">
        <v>1</v>
      </c>
      <c r="B137" s="2299"/>
      <c r="C137" s="2299"/>
      <c r="D137" s="2295"/>
      <c r="E137" s="2295"/>
      <c r="F137" s="2295"/>
      <c r="G137" s="2295"/>
      <c r="H137" s="2296"/>
      <c r="I137" s="2297"/>
      <c r="J137" s="798"/>
      <c r="K137" s="798"/>
      <c r="L137" s="798"/>
      <c r="M137" s="798"/>
      <c r="N137" s="798"/>
      <c r="O137" s="798"/>
      <c r="P137" s="798"/>
      <c r="Q137" s="798"/>
      <c r="R137" s="798"/>
      <c r="S137" s="798"/>
      <c r="T137" s="798"/>
      <c r="U137" s="798"/>
      <c r="V137" s="798"/>
      <c r="W137" s="798"/>
      <c r="X137" s="798"/>
      <c r="Y137" s="798"/>
      <c r="Z137" s="798"/>
    </row>
    <row r="138" spans="1:26" s="1841" customFormat="1" ht="21.75" customHeight="1">
      <c r="A138" s="2298">
        <v>2</v>
      </c>
      <c r="B138" s="2299"/>
      <c r="C138" s="2299"/>
      <c r="D138" s="2295"/>
      <c r="E138" s="2295"/>
      <c r="F138" s="2295"/>
      <c r="G138" s="2295"/>
      <c r="H138" s="2296"/>
      <c r="I138" s="2297"/>
      <c r="J138" s="798"/>
      <c r="K138" s="798"/>
      <c r="L138" s="798"/>
      <c r="M138" s="798"/>
      <c r="N138" s="798"/>
      <c r="O138" s="798"/>
      <c r="P138" s="798"/>
      <c r="Q138" s="798"/>
      <c r="R138" s="798"/>
      <c r="S138" s="798"/>
      <c r="T138" s="798"/>
      <c r="U138" s="798"/>
      <c r="V138" s="798"/>
      <c r="W138" s="798"/>
      <c r="X138" s="798"/>
      <c r="Y138" s="798"/>
      <c r="Z138" s="798"/>
    </row>
    <row r="139" spans="1:26" s="1841" customFormat="1" ht="21.75" customHeight="1">
      <c r="A139" s="2298">
        <v>3</v>
      </c>
      <c r="B139" s="2299"/>
      <c r="C139" s="2299"/>
      <c r="D139" s="2295"/>
      <c r="E139" s="2295"/>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1" customFormat="1" ht="21.75" customHeight="1">
      <c r="A140" s="2300"/>
      <c r="B140" s="2301"/>
      <c r="C140" s="2301"/>
      <c r="D140" s="2302"/>
      <c r="E140" s="2302"/>
      <c r="F140" s="2302"/>
      <c r="G140" s="2302"/>
      <c r="H140" s="2303"/>
      <c r="I140" s="2304"/>
      <c r="J140" s="798"/>
      <c r="K140" s="798"/>
      <c r="L140" s="798"/>
      <c r="M140" s="798"/>
      <c r="N140" s="798"/>
      <c r="O140" s="798"/>
      <c r="P140" s="798"/>
      <c r="Q140" s="798"/>
      <c r="R140" s="798"/>
      <c r="S140" s="798"/>
      <c r="T140" s="798"/>
      <c r="U140" s="798"/>
      <c r="V140" s="798"/>
      <c r="W140" s="798"/>
      <c r="X140" s="798"/>
      <c r="Y140" s="798"/>
      <c r="Z140" s="798"/>
    </row>
    <row r="141" spans="1:26" s="1841" customFormat="1" ht="21.75" customHeight="1">
      <c r="A141" s="2299"/>
      <c r="B141" s="2299"/>
      <c r="C141" s="2299"/>
      <c r="D141" s="2295"/>
      <c r="E141" s="2295"/>
      <c r="F141" s="2295"/>
      <c r="G141" s="2295"/>
      <c r="H141" s="2296"/>
      <c r="I141" s="798"/>
      <c r="J141" s="798"/>
      <c r="K141" s="798"/>
      <c r="L141" s="798"/>
      <c r="M141" s="798"/>
      <c r="N141" s="798"/>
      <c r="O141" s="798"/>
      <c r="P141" s="798"/>
      <c r="Q141" s="798"/>
      <c r="R141" s="798"/>
      <c r="S141" s="798"/>
      <c r="T141" s="798"/>
      <c r="U141" s="798"/>
      <c r="V141" s="798"/>
      <c r="W141" s="798"/>
      <c r="X141" s="798"/>
      <c r="Y141" s="798"/>
      <c r="Z141" s="798"/>
    </row>
    <row r="142" spans="1:26" s="1841" customFormat="1" ht="21.75" customHeight="1">
      <c r="A142" s="798"/>
      <c r="B142" s="798"/>
      <c r="C142" s="798"/>
      <c r="D142" s="798"/>
      <c r="E142" s="798"/>
      <c r="F142" s="2305" t="s">
        <v>1959</v>
      </c>
      <c r="G142" s="2306"/>
      <c r="H142" s="2306"/>
      <c r="I142" s="2307" t="s">
        <v>1960</v>
      </c>
      <c r="J142" s="798"/>
      <c r="K142" s="798"/>
      <c r="L142" s="798"/>
      <c r="M142" s="798"/>
      <c r="N142" s="798"/>
      <c r="O142" s="798"/>
      <c r="P142" s="798"/>
      <c r="Q142" s="798"/>
      <c r="R142" s="798"/>
      <c r="S142" s="798"/>
      <c r="T142" s="798"/>
      <c r="U142" s="798"/>
      <c r="V142" s="798"/>
      <c r="W142" s="798"/>
      <c r="X142" s="798"/>
      <c r="Y142" s="798"/>
      <c r="Z142" s="798"/>
    </row>
    <row r="143" spans="1:26" s="1841" customFormat="1" ht="21.75" customHeight="1">
      <c r="A143" s="798"/>
      <c r="B143" s="2308" t="s">
        <v>1961</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1"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1" customFormat="1" ht="21.75" customHeight="1">
      <c r="A145" s="798"/>
      <c r="B145" s="2306"/>
      <c r="C145" s="2306"/>
      <c r="D145" s="2306"/>
      <c r="E145" s="2306"/>
      <c r="F145" s="2306"/>
      <c r="G145" s="2306"/>
      <c r="H145" s="2306"/>
      <c r="I145" s="2307" t="s">
        <v>1962</v>
      </c>
      <c r="J145" s="798"/>
      <c r="K145" s="798"/>
      <c r="L145" s="798"/>
      <c r="M145" s="798"/>
      <c r="N145" s="798"/>
      <c r="O145" s="798"/>
      <c r="P145" s="798"/>
      <c r="Q145" s="798"/>
      <c r="R145" s="798"/>
      <c r="S145" s="798"/>
      <c r="T145" s="798"/>
      <c r="U145" s="798"/>
      <c r="V145" s="798"/>
      <c r="W145" s="798"/>
      <c r="X145" s="798"/>
      <c r="Y145" s="798"/>
      <c r="Z145" s="798"/>
    </row>
    <row r="146" spans="1:26" s="1841" customFormat="1" ht="21.75" customHeight="1">
      <c r="A146" s="798"/>
      <c r="B146" s="2308" t="s">
        <v>1963</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1" customFormat="1" ht="21.75" customHeight="1">
      <c r="A147" s="798"/>
      <c r="B147" s="2308"/>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1" customFormat="1" ht="21.75" customHeight="1">
      <c r="A148" s="798"/>
      <c r="B148" s="2306"/>
      <c r="C148" s="2306"/>
      <c r="D148" s="2306"/>
      <c r="E148" s="2306"/>
      <c r="F148" s="2306"/>
      <c r="G148" s="2306"/>
      <c r="H148" s="2306"/>
      <c r="I148" s="2307" t="s">
        <v>1962</v>
      </c>
      <c r="J148" s="798"/>
      <c r="K148" s="798"/>
      <c r="L148" s="798"/>
      <c r="M148" s="798"/>
      <c r="N148" s="798"/>
      <c r="O148" s="798"/>
      <c r="P148" s="798"/>
      <c r="Q148" s="798"/>
      <c r="R148" s="798"/>
      <c r="S148" s="798"/>
      <c r="T148" s="798"/>
      <c r="U148" s="798"/>
      <c r="V148" s="798"/>
      <c r="W148" s="798"/>
      <c r="X148" s="798"/>
      <c r="Y148" s="798"/>
      <c r="Z148" s="798"/>
    </row>
    <row r="149" spans="1:26" s="1841" customFormat="1" ht="21.75" customHeight="1">
      <c r="A149" s="798"/>
      <c r="B149" s="2308"/>
      <c r="C149" s="2309"/>
      <c r="D149" s="2310"/>
      <c r="E149" s="2310"/>
      <c r="F149" s="2311"/>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08"/>
      <c r="C150" s="2309"/>
      <c r="D150" s="2310"/>
      <c r="E150" s="2310"/>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1"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1"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1"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1"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1"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1"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1"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1"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1"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1"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1"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1"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1"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1"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1"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1"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1"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1"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1"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1"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1"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1"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1"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1" customFormat="1" ht="21.75" customHeight="1">
      <c r="F519" s="2188"/>
      <c r="G519" s="2188"/>
      <c r="H519" s="2188"/>
      <c r="I519" s="2188"/>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2004</v>
      </c>
      <c r="B1" s="1317"/>
      <c r="C1" s="162"/>
      <c r="D1" s="162"/>
      <c r="E1" s="162"/>
      <c r="F1" s="162"/>
      <c r="G1" s="163"/>
    </row>
    <row r="2" spans="1:7" s="164" customFormat="1" ht="18" customHeight="1">
      <c r="A2" s="165" t="s">
        <v>2005</v>
      </c>
      <c r="B2" s="166">
        <f ca="1">IF(D2="——",IF(C2="元",C52,ROUND(C52/10000,0)),IF(C2="元",C52,ROUND(C52/10000,0))-E2)</f>
        <v>4682469</v>
      </c>
      <c r="C2" s="163" t="str">
        <f>'数据-取费表'!B3</f>
        <v>元</v>
      </c>
      <c r="D2" s="2325" t="s">
        <v>1253</v>
      </c>
      <c r="E2" s="1542" t="e">
        <f ca="1">SUMIF(INDIRECT("'"&amp;G2&amp;"'"&amp;"!A:A"),"承租人权益价值",INDIRECT("'"&amp;G2&amp;"'"&amp;"!c:c"))</f>
        <v>#REF!</v>
      </c>
      <c r="F2" s="2326" t="str">
        <f>C2</f>
        <v>元</v>
      </c>
      <c r="G2" s="1902"/>
    </row>
    <row r="3" spans="1:7" s="164" customFormat="1" ht="18" customHeight="1" thickBot="1">
      <c r="A3" s="167" t="s">
        <v>2006</v>
      </c>
      <c r="B3" s="168">
        <f ca="1">ROUND(C52/IF(B1="仅计算典型户型",'数据-取费表'!E5,'数据-取费表'!B5),0)</f>
        <v>8159</v>
      </c>
      <c r="C3" s="163" t="s">
        <v>2007</v>
      </c>
      <c r="D3" s="163"/>
      <c r="E3" s="163"/>
      <c r="F3" s="163"/>
      <c r="G3" s="163"/>
    </row>
    <row r="4" spans="1:7" s="172" customFormat="1" ht="15.75">
      <c r="A4" s="169" t="s">
        <v>2008</v>
      </c>
      <c r="B4" s="170"/>
      <c r="C4" s="170"/>
      <c r="D4" s="170"/>
      <c r="E4" s="170"/>
      <c r="F4" s="170"/>
      <c r="G4" s="171"/>
    </row>
    <row r="5" spans="1:7" s="175" customFormat="1" ht="13.5" customHeight="1">
      <c r="A5" s="204" t="s">
        <v>2009</v>
      </c>
      <c r="B5" s="173" t="s">
        <v>2010</v>
      </c>
      <c r="C5" s="195">
        <f>C6+C7+C8</f>
        <v>1030511</v>
      </c>
      <c r="D5" s="195" t="s">
        <v>2011</v>
      </c>
      <c r="E5" s="1528" t="s">
        <v>2012</v>
      </c>
      <c r="F5" s="1528" t="s">
        <v>2013</v>
      </c>
      <c r="G5" s="174"/>
    </row>
    <row r="6" spans="1:7" s="175" customFormat="1" ht="13.5" customHeight="1">
      <c r="A6" s="176" t="s">
        <v>2014</v>
      </c>
      <c r="B6" s="177" t="s">
        <v>2015</v>
      </c>
      <c r="C6" s="1527">
        <v>1000000</v>
      </c>
      <c r="D6" s="1529"/>
      <c r="E6" s="1530"/>
      <c r="F6" s="1530"/>
      <c r="G6" s="179"/>
    </row>
    <row r="7" spans="1:7" s="175" customFormat="1" ht="13.5" customHeight="1">
      <c r="A7" s="176" t="s">
        <v>2016</v>
      </c>
      <c r="B7" s="177" t="s">
        <v>2017</v>
      </c>
      <c r="C7" s="199">
        <f>ROUND(C6*F7,0)</f>
        <v>30500</v>
      </c>
      <c r="D7" s="199"/>
      <c r="E7" s="1530"/>
      <c r="F7" s="1531">
        <f>'数据-取费表'!E36+'数据-取费表'!E37</f>
        <v>3.0499999999999999E-2</v>
      </c>
      <c r="G7" s="179"/>
    </row>
    <row r="8" spans="1:7" s="180" customFormat="1">
      <c r="A8" s="176" t="s">
        <v>2018</v>
      </c>
      <c r="B8" s="177" t="s">
        <v>2019</v>
      </c>
      <c r="C8" s="199">
        <f>IF(G8="已包含在土地购买价格中","0",'数据-取费表'!E13)</f>
        <v>11</v>
      </c>
      <c r="D8" s="1532"/>
      <c r="E8" s="199"/>
      <c r="F8" s="1531"/>
      <c r="G8" s="2327"/>
    </row>
    <row r="9" spans="1:7" s="175" customFormat="1" ht="13.5" customHeight="1">
      <c r="A9" s="1300" t="s">
        <v>953</v>
      </c>
      <c r="B9" s="181" t="s">
        <v>2020</v>
      </c>
      <c r="C9" s="1533">
        <f>ROUND(D9*E9,0)</f>
        <v>0</v>
      </c>
      <c r="D9" s="1534">
        <f>IF('数据-取费表'!B10="住宅",IF(B1="仅计算典型户型",'数据-取费表'!E5,'数据-取费表'!B5),0)</f>
        <v>0</v>
      </c>
      <c r="E9" s="1533">
        <f>'数据-取费表'!E11</f>
        <v>160</v>
      </c>
      <c r="F9" s="1531"/>
      <c r="G9" s="182"/>
    </row>
    <row r="10" spans="1:7" s="175" customFormat="1" ht="13.5" customHeight="1">
      <c r="A10" s="1300" t="s">
        <v>954</v>
      </c>
      <c r="B10" s="181" t="s">
        <v>2021</v>
      </c>
      <c r="C10" s="1533">
        <f>ROUND(D10*E10,0)</f>
        <v>114778</v>
      </c>
      <c r="D10" s="1534">
        <f>IF('数据-取费表'!B10&lt;&gt;"住宅",IF(B1="仅计算典型户型",'数据-取费表'!E5,'数据-取费表'!B5),0)</f>
        <v>573.89</v>
      </c>
      <c r="E10" s="1533">
        <f>'数据-取费表'!E12</f>
        <v>200</v>
      </c>
      <c r="F10" s="1531"/>
      <c r="G10" s="182"/>
    </row>
    <row r="11" spans="1:7" s="175" customFormat="1" ht="13.5" hidden="1" customHeight="1">
      <c r="A11" s="176" t="s">
        <v>4</v>
      </c>
      <c r="B11" s="177" t="s">
        <v>2022</v>
      </c>
      <c r="C11" s="195"/>
      <c r="D11" s="199"/>
      <c r="E11" s="1530"/>
      <c r="F11" s="1530"/>
      <c r="G11" s="179"/>
    </row>
    <row r="12" spans="1:7" s="175" customFormat="1" ht="13.5" hidden="1" customHeight="1">
      <c r="A12" s="176" t="s">
        <v>5</v>
      </c>
      <c r="B12" s="177" t="s">
        <v>2023</v>
      </c>
      <c r="C12" s="195">
        <v>0</v>
      </c>
      <c r="D12" s="199"/>
      <c r="E12" s="1535"/>
      <c r="F12" s="1531">
        <v>3.0499999999999999E-2</v>
      </c>
      <c r="G12" s="179"/>
    </row>
    <row r="13" spans="1:7" s="175" customFormat="1" ht="13.5" hidden="1" customHeight="1">
      <c r="A13" s="176" t="s">
        <v>6</v>
      </c>
      <c r="B13" s="177" t="s">
        <v>2024</v>
      </c>
      <c r="C13" s="195"/>
      <c r="D13" s="199"/>
      <c r="E13" s="1530"/>
      <c r="F13" s="1530"/>
      <c r="G13" s="179"/>
    </row>
    <row r="14" spans="1:7" s="175" customFormat="1" ht="13.5" hidden="1" customHeight="1">
      <c r="A14" s="176" t="s">
        <v>7</v>
      </c>
      <c r="B14" s="177" t="s">
        <v>2019</v>
      </c>
      <c r="C14" s="195"/>
      <c r="D14" s="199"/>
      <c r="E14" s="1530"/>
      <c r="F14" s="1530"/>
      <c r="G14" s="179" t="s">
        <v>2025</v>
      </c>
    </row>
    <row r="15" spans="1:7" s="175" customFormat="1" ht="13.5" hidden="1" customHeight="1">
      <c r="A15" s="176" t="s">
        <v>8</v>
      </c>
      <c r="B15" s="177" t="s">
        <v>2026</v>
      </c>
      <c r="C15" s="199"/>
      <c r="D15" s="199"/>
      <c r="E15" s="1530"/>
      <c r="F15" s="1530"/>
      <c r="G15" s="179" t="s">
        <v>2027</v>
      </c>
    </row>
    <row r="16" spans="1:7" s="175" customFormat="1" ht="13.5" hidden="1" customHeight="1">
      <c r="A16" s="176" t="s">
        <v>9</v>
      </c>
      <c r="B16" s="177" t="s">
        <v>2019</v>
      </c>
      <c r="C16" s="199"/>
      <c r="D16" s="199"/>
      <c r="E16" s="1530"/>
      <c r="F16" s="1530"/>
      <c r="G16" s="179"/>
    </row>
    <row r="17" spans="1:7" s="175" customFormat="1" ht="13.5" hidden="1" customHeight="1">
      <c r="A17" s="176" t="s">
        <v>10</v>
      </c>
      <c r="B17" s="177" t="s">
        <v>2028</v>
      </c>
      <c r="C17" s="1536"/>
      <c r="D17" s="1536"/>
      <c r="E17" s="1536"/>
      <c r="F17" s="1536"/>
      <c r="G17" s="179" t="s">
        <v>2027</v>
      </c>
    </row>
    <row r="18" spans="1:7" s="175" customFormat="1" ht="13.5" hidden="1" customHeight="1">
      <c r="A18" s="176" t="s">
        <v>11</v>
      </c>
      <c r="B18" s="177" t="s">
        <v>2029</v>
      </c>
      <c r="C18" s="199">
        <v>0</v>
      </c>
      <c r="D18" s="199"/>
      <c r="E18" s="1530"/>
      <c r="F18" s="1531">
        <v>3.0499999999999999E-2</v>
      </c>
      <c r="G18" s="179" t="s">
        <v>2030</v>
      </c>
    </row>
    <row r="19" spans="1:7" s="180" customFormat="1" ht="13.5" customHeight="1">
      <c r="A19" s="204" t="s">
        <v>2031</v>
      </c>
      <c r="B19" s="173" t="s">
        <v>2032</v>
      </c>
      <c r="C19" s="195">
        <f>IF(G19="已包含在土地取得成本中","0",ROUND(D19*E19,0))</f>
        <v>114778</v>
      </c>
      <c r="D19" s="1537">
        <f>IF(B1="仅计算典型户型",'数据-取费表'!E5,'数据-取费表'!B5)</f>
        <v>573.89</v>
      </c>
      <c r="E19" s="195">
        <f>'数据-取费表'!E15</f>
        <v>200</v>
      </c>
      <c r="F19" s="196"/>
      <c r="G19" s="2327"/>
    </row>
    <row r="20" spans="1:7" s="175" customFormat="1" ht="13.5" customHeight="1">
      <c r="A20" s="204" t="s">
        <v>2033</v>
      </c>
      <c r="B20" s="173" t="s">
        <v>2034</v>
      </c>
      <c r="C20" s="183">
        <f>ROUND((C5+C19)*F20,0)</f>
        <v>22906</v>
      </c>
      <c r="D20" s="183"/>
      <c r="E20" s="183"/>
      <c r="F20" s="187">
        <f>'数据-取费表'!E25</f>
        <v>0.02</v>
      </c>
      <c r="G20" s="184" t="s">
        <v>2035</v>
      </c>
    </row>
    <row r="21" spans="1:7" s="175" customFormat="1" ht="13.5" customHeight="1">
      <c r="A21" s="204" t="s">
        <v>2036</v>
      </c>
      <c r="B21" s="173" t="s">
        <v>2037</v>
      </c>
      <c r="C21" s="185">
        <f>F21</f>
        <v>0.02</v>
      </c>
      <c r="D21" s="186" t="s">
        <v>2038</v>
      </c>
      <c r="E21" s="183"/>
      <c r="F21" s="187">
        <f>'数据-取费表'!E26</f>
        <v>0.02</v>
      </c>
      <c r="G21" s="184" t="s">
        <v>2039</v>
      </c>
    </row>
    <row r="22" spans="1:7" s="175" customFormat="1" ht="13.5" customHeight="1">
      <c r="A22" s="204" t="s">
        <v>2040</v>
      </c>
      <c r="B22" s="173" t="s">
        <v>2041</v>
      </c>
      <c r="C22" s="205">
        <f ca="1">ROUND(SUM(C23:C25),0)</f>
        <v>50318</v>
      </c>
      <c r="D22" s="185">
        <f ca="1">C26</f>
        <v>4.0000000000000002E-4</v>
      </c>
      <c r="E22" s="186" t="s">
        <v>2038</v>
      </c>
      <c r="F22" s="187">
        <f ca="1">'数据-取费表'!E27</f>
        <v>4.3499999999999997E-2</v>
      </c>
      <c r="G22" s="184" t="str">
        <f>IF('数据-取费表'!B23&lt;=1,"单利计息。","复利计息。")</f>
        <v>单利计息。</v>
      </c>
    </row>
    <row r="23" spans="1:7" s="175" customFormat="1" ht="13.5" customHeight="1">
      <c r="A23" s="176" t="s">
        <v>2042</v>
      </c>
      <c r="B23" s="177" t="s">
        <v>2043</v>
      </c>
      <c r="C23" s="1451">
        <f ca="1">ROUND(IF('数据-取费表'!B23&lt;=1,C5*F22*'数据-取费表'!B24,C5*(POWER((1+F22),'数据-取费表'!B24)-1)),0)</f>
        <v>44827</v>
      </c>
      <c r="D23" s="188"/>
      <c r="E23" s="188"/>
      <c r="F23" s="189"/>
      <c r="G23" s="190" t="s">
        <v>2044</v>
      </c>
    </row>
    <row r="24" spans="1:7" s="175" customFormat="1" ht="13.5" customHeight="1">
      <c r="A24" s="176" t="s">
        <v>2016</v>
      </c>
      <c r="B24" s="177" t="s">
        <v>2045</v>
      </c>
      <c r="C24" s="1451">
        <f ca="1">ROUND(IF('数据-取费表'!B23&lt;=1,C19*F22*('数据-取费表'!B20/2+'数据-取费表'!B22),C19*(POWER((1+F22),('数据-取费表'!B20/2+'数据-取费表'!B22))-1)),0)</f>
        <v>4993</v>
      </c>
      <c r="D24" s="188"/>
      <c r="E24" s="188"/>
      <c r="F24" s="189"/>
      <c r="G24" s="190" t="s">
        <v>2046</v>
      </c>
    </row>
    <row r="25" spans="1:7" s="175" customFormat="1" ht="24">
      <c r="A25" s="176" t="s">
        <v>2018</v>
      </c>
      <c r="B25" s="177" t="s">
        <v>2047</v>
      </c>
      <c r="C25" s="1451">
        <f ca="1">ROUND(IF('数据-取费表'!B23&lt;=1,C20*F22*'数据-取费表'!B24/2,C20*(POWER((1+F22),'数据-取费表'!B24/2)-1)),0)</f>
        <v>498</v>
      </c>
      <c r="D25" s="188"/>
      <c r="E25" s="191"/>
      <c r="F25" s="189"/>
      <c r="G25" s="192" t="s">
        <v>2048</v>
      </c>
    </row>
    <row r="26" spans="1:7" s="175" customFormat="1">
      <c r="A26" s="176" t="s">
        <v>2049</v>
      </c>
      <c r="B26" s="177" t="s">
        <v>2050</v>
      </c>
      <c r="C26" s="188">
        <f ca="1">ROUND(IF('数据-取费表'!B23&lt;=1,F21*F22*'数据-取费表'!B24/2,F21*(POWER((1+F22),'数据-取费表'!B24/2)-1)),4)</f>
        <v>4.0000000000000002E-4</v>
      </c>
      <c r="D26" s="188"/>
      <c r="E26" s="191"/>
      <c r="F26" s="189"/>
      <c r="G26" s="193"/>
    </row>
    <row r="27" spans="1:7" s="175" customFormat="1" ht="25.5">
      <c r="A27" s="1301" t="s">
        <v>2051</v>
      </c>
      <c r="B27" s="194" t="s">
        <v>2052</v>
      </c>
      <c r="C27" s="195">
        <f>C28</f>
        <v>233639</v>
      </c>
      <c r="D27" s="185">
        <f>C29</f>
        <v>4.0000000000000001E-3</v>
      </c>
      <c r="E27" s="186" t="s">
        <v>2038</v>
      </c>
      <c r="F27" s="196">
        <f>'数据-取费表'!E28</f>
        <v>0.2</v>
      </c>
      <c r="G27" s="197" t="s">
        <v>2053</v>
      </c>
    </row>
    <row r="28" spans="1:7" s="175" customFormat="1" ht="13.5" customHeight="1">
      <c r="A28" s="176" t="s">
        <v>2042</v>
      </c>
      <c r="B28" s="198" t="s">
        <v>2054</v>
      </c>
      <c r="C28" s="199">
        <f>ROUND((C5+C19+C20)*F27*'数据-取费表'!B22/'数据-取费表'!B21,0)</f>
        <v>233639</v>
      </c>
      <c r="D28" s="185"/>
      <c r="E28" s="186"/>
      <c r="F28" s="196"/>
      <c r="G28" s="197"/>
    </row>
    <row r="29" spans="1:7" s="175" customFormat="1" ht="13.5" customHeight="1">
      <c r="A29" s="176" t="s">
        <v>2016</v>
      </c>
      <c r="B29" s="198" t="s">
        <v>2055</v>
      </c>
      <c r="C29" s="188">
        <f>ROUND(C21*F27*'数据-取费表'!B22/'数据-取费表'!B21,4)</f>
        <v>4.0000000000000001E-3</v>
      </c>
      <c r="D29" s="185"/>
      <c r="E29" s="186"/>
      <c r="F29" s="196"/>
      <c r="G29" s="197"/>
    </row>
    <row r="30" spans="1:7" s="175" customFormat="1" ht="13.5" customHeight="1">
      <c r="A30" s="1301" t="s">
        <v>2056</v>
      </c>
      <c r="B30" s="173" t="s">
        <v>2057</v>
      </c>
      <c r="C30" s="185">
        <f>ROUND(F30/(1+'数据-取费表'!F30),4)</f>
        <v>5.2400000000000002E-2</v>
      </c>
      <c r="D30" s="186" t="s">
        <v>2038</v>
      </c>
      <c r="E30" s="191"/>
      <c r="F30" s="187">
        <f>'数据-取费表'!E29</f>
        <v>5.5000000000000007E-2</v>
      </c>
      <c r="G30" s="184" t="s">
        <v>2058</v>
      </c>
    </row>
    <row r="31" spans="1:7" ht="16.5" customHeight="1">
      <c r="A31" s="204">
        <v>1</v>
      </c>
      <c r="B31" s="173" t="s">
        <v>2059</v>
      </c>
      <c r="C31" s="195">
        <f ca="1">ROUND((C5+C19+C20+C22+C27)/(1-C21-D22-D27-C30),0)</f>
        <v>1572955</v>
      </c>
      <c r="D31" s="1537"/>
      <c r="E31" s="195"/>
      <c r="F31" s="1538"/>
      <c r="G31" s="184" t="s">
        <v>2060</v>
      </c>
    </row>
    <row r="32" spans="1:7" s="172" customFormat="1" ht="15.75">
      <c r="A32" s="201" t="s">
        <v>2061</v>
      </c>
      <c r="B32" s="202"/>
      <c r="C32" s="1539"/>
      <c r="D32" s="1539"/>
      <c r="E32" s="1539"/>
      <c r="F32" s="1539"/>
      <c r="G32" s="203"/>
    </row>
    <row r="33" spans="1:7" s="175" customFormat="1" ht="13.5" customHeight="1">
      <c r="A33" s="204" t="s">
        <v>2062</v>
      </c>
      <c r="B33" s="173" t="s">
        <v>2063</v>
      </c>
      <c r="C33" s="205">
        <f>SUM(C34:C38)</f>
        <v>2559549</v>
      </c>
      <c r="D33" s="183"/>
      <c r="E33" s="1528"/>
      <c r="F33" s="191"/>
      <c r="G33" s="184"/>
    </row>
    <row r="34" spans="1:7" s="206" customFormat="1" ht="13.5" customHeight="1">
      <c r="A34" s="176" t="s">
        <v>2042</v>
      </c>
      <c r="B34" s="177" t="s">
        <v>2064</v>
      </c>
      <c r="C34" s="199">
        <f>IF(B1="仅计算典型户型",'数据-取费表'!F18,'数据-取费表'!E18)</f>
        <v>2295560</v>
      </c>
      <c r="D34" s="1529"/>
      <c r="E34" s="199"/>
      <c r="F34" s="1540" t="str">
        <f>IF('数据-取费表'!B25=0,"",'数据-取费表'!E20)</f>
        <v/>
      </c>
      <c r="G34" s="179"/>
    </row>
    <row r="35" spans="1:7" ht="13.5" customHeight="1">
      <c r="A35" s="176" t="s">
        <v>2016</v>
      </c>
      <c r="B35" s="177" t="s">
        <v>2065</v>
      </c>
      <c r="C35" s="199">
        <f>ROUND(C34*F35,0)</f>
        <v>114778</v>
      </c>
      <c r="D35" s="199"/>
      <c r="E35" s="199"/>
      <c r="F35" s="1541">
        <f>'数据-取费表'!E21</f>
        <v>0.05</v>
      </c>
      <c r="G35" s="179" t="s">
        <v>2066</v>
      </c>
    </row>
    <row r="36" spans="1:7" ht="24">
      <c r="A36" s="176" t="s">
        <v>2018</v>
      </c>
      <c r="B36" s="177" t="s">
        <v>2067</v>
      </c>
      <c r="C36" s="199">
        <f>ROUND(IF('数据-取费表'!B10="住宅",C34*F36,0),0)</f>
        <v>0</v>
      </c>
      <c r="D36" s="199"/>
      <c r="E36" s="199"/>
      <c r="F36" s="1541">
        <f>'数据-取费表'!E22</f>
        <v>0</v>
      </c>
      <c r="G36" s="207" t="s">
        <v>2068</v>
      </c>
    </row>
    <row r="37" spans="1:7" s="206" customFormat="1" ht="13.5" customHeight="1">
      <c r="A37" s="176" t="s">
        <v>2049</v>
      </c>
      <c r="B37" s="177" t="s">
        <v>2069</v>
      </c>
      <c r="C37" s="199">
        <f>ROUND(E37*D37,0)</f>
        <v>114778</v>
      </c>
      <c r="D37" s="1529">
        <f>IF(B1="仅计算典型户型",'数据-取费表'!E5,'数据-取费表'!B5)</f>
        <v>573.89</v>
      </c>
      <c r="E37" s="199">
        <f>'数据-取费表'!E23</f>
        <v>200</v>
      </c>
      <c r="F37" s="1541"/>
      <c r="G37" s="208" t="s">
        <v>2070</v>
      </c>
    </row>
    <row r="38" spans="1:7" ht="13.5" customHeight="1">
      <c r="A38" s="176" t="s">
        <v>2071</v>
      </c>
      <c r="B38" s="177" t="s">
        <v>2072</v>
      </c>
      <c r="C38" s="199">
        <f>ROUND(C34*F38,0)</f>
        <v>34433</v>
      </c>
      <c r="D38" s="199"/>
      <c r="E38" s="199"/>
      <c r="F38" s="1541">
        <f>'数据-取费表'!E24</f>
        <v>1.4999999999999999E-2</v>
      </c>
      <c r="G38" s="179" t="s">
        <v>2066</v>
      </c>
    </row>
    <row r="39" spans="1:7" s="175" customFormat="1" ht="13.5" customHeight="1">
      <c r="A39" s="204" t="s">
        <v>2031</v>
      </c>
      <c r="B39" s="173" t="s">
        <v>2034</v>
      </c>
      <c r="C39" s="183">
        <f>ROUND(C33*F20,0)</f>
        <v>51191</v>
      </c>
      <c r="D39" s="183"/>
      <c r="E39" s="183"/>
      <c r="F39" s="187"/>
      <c r="G39" s="184" t="s">
        <v>2073</v>
      </c>
    </row>
    <row r="40" spans="1:7" s="175" customFormat="1" ht="13.5" customHeight="1">
      <c r="A40" s="204" t="s">
        <v>2033</v>
      </c>
      <c r="B40" s="173" t="s">
        <v>2037</v>
      </c>
      <c r="C40" s="1815">
        <f>F21</f>
        <v>0.02</v>
      </c>
      <c r="D40" s="186" t="s">
        <v>2074</v>
      </c>
      <c r="E40" s="183"/>
      <c r="F40" s="187"/>
      <c r="G40" s="184" t="s">
        <v>2075</v>
      </c>
    </row>
    <row r="41" spans="1:7" s="175" customFormat="1" ht="13.5" customHeight="1">
      <c r="A41" s="204" t="s">
        <v>2036</v>
      </c>
      <c r="B41" s="173" t="s">
        <v>2041</v>
      </c>
      <c r="C41" s="183">
        <f ca="1">ROUND(SUM(C42:C43),0)</f>
        <v>56783</v>
      </c>
      <c r="D41" s="185">
        <f ca="1">C44</f>
        <v>4.0000000000000002E-4</v>
      </c>
      <c r="E41" s="186" t="s">
        <v>2074</v>
      </c>
      <c r="F41" s="187"/>
      <c r="G41" s="184" t="str">
        <f>IF('数据-取费表'!B23&lt;=1,"单利计息。","复利计息。")</f>
        <v>单利计息。</v>
      </c>
    </row>
    <row r="42" spans="1:7" ht="13.5" customHeight="1">
      <c r="A42" s="176" t="s">
        <v>2042</v>
      </c>
      <c r="B42" s="177" t="s">
        <v>2043</v>
      </c>
      <c r="C42" s="188">
        <f ca="1">ROUND(IF('数据-取费表'!B23&lt;=1,C33*F22*'数据-取费表'!B22/2,C33*(POWER((1+F22),'数据-取费表'!B22/2)-1)),0)</f>
        <v>55670</v>
      </c>
      <c r="D42" s="188"/>
      <c r="E42" s="188"/>
      <c r="F42" s="189"/>
      <c r="G42" s="2970" t="s">
        <v>2076</v>
      </c>
    </row>
    <row r="43" spans="1:7" ht="13.5" customHeight="1">
      <c r="A43" s="176" t="s">
        <v>2016</v>
      </c>
      <c r="B43" s="177" t="s">
        <v>2045</v>
      </c>
      <c r="C43" s="188">
        <f ca="1">ROUND(IF('数据-取费表'!B23&lt;=1,C39*F22*'数据-取费表'!B22/2,C39*(POWER((1+F22),'数据-取费表'!B22/2)-1)),0)</f>
        <v>1113</v>
      </c>
      <c r="D43" s="188"/>
      <c r="E43" s="188"/>
      <c r="F43" s="189"/>
      <c r="G43" s="2971"/>
    </row>
    <row r="44" spans="1:7" ht="13.5" customHeight="1">
      <c r="A44" s="176" t="s">
        <v>2018</v>
      </c>
      <c r="B44" s="177" t="s">
        <v>2047</v>
      </c>
      <c r="C44" s="188">
        <f ca="1">ROUND(IF('数据-取费表'!B23&lt;=1,C40*F22*'数据-取费表'!B22/2,C40*(POWER((1+F22),'数据-取费表'!B22/2)-1)),4)</f>
        <v>4.0000000000000002E-4</v>
      </c>
      <c r="D44" s="188"/>
      <c r="E44" s="188"/>
      <c r="F44" s="189"/>
      <c r="G44" s="2972"/>
    </row>
    <row r="45" spans="1:7" s="175" customFormat="1" ht="13.5" customHeight="1">
      <c r="A45" s="204" t="s">
        <v>2040</v>
      </c>
      <c r="B45" s="194" t="s">
        <v>2052</v>
      </c>
      <c r="C45" s="195">
        <f>C46</f>
        <v>522148</v>
      </c>
      <c r="D45" s="185">
        <f>C47</f>
        <v>4.0000000000000001E-3</v>
      </c>
      <c r="E45" s="186" t="s">
        <v>2074</v>
      </c>
      <c r="F45" s="196"/>
      <c r="G45" s="197" t="s">
        <v>2077</v>
      </c>
    </row>
    <row r="46" spans="1:7" s="175" customFormat="1" ht="13.5" customHeight="1">
      <c r="A46" s="176" t="s">
        <v>2042</v>
      </c>
      <c r="B46" s="198" t="s">
        <v>2078</v>
      </c>
      <c r="C46" s="199">
        <f>ROUND((C33+C39)*F27,0)</f>
        <v>522148</v>
      </c>
      <c r="D46" s="209"/>
      <c r="E46" s="186"/>
      <c r="F46" s="196"/>
      <c r="G46" s="197"/>
    </row>
    <row r="47" spans="1:7" s="175" customFormat="1" ht="13.5" customHeight="1">
      <c r="A47" s="176" t="s">
        <v>2016</v>
      </c>
      <c r="B47" s="198" t="s">
        <v>2079</v>
      </c>
      <c r="C47" s="188">
        <f>ROUND(C40*F27,4)</f>
        <v>4.0000000000000001E-3</v>
      </c>
      <c r="D47" s="209"/>
      <c r="E47" s="186"/>
      <c r="F47" s="196"/>
      <c r="G47" s="197"/>
    </row>
    <row r="48" spans="1:7" s="175" customFormat="1" ht="13.5" customHeight="1">
      <c r="A48" s="1301" t="s">
        <v>2051</v>
      </c>
      <c r="B48" s="173" t="s">
        <v>2080</v>
      </c>
      <c r="C48" s="1815">
        <f>ROUND(F30/(1+'数据-取费表'!F30),4)</f>
        <v>5.2400000000000002E-2</v>
      </c>
      <c r="D48" s="186" t="s">
        <v>2074</v>
      </c>
      <c r="E48" s="183"/>
      <c r="F48" s="187"/>
      <c r="G48" s="184" t="s">
        <v>2081</v>
      </c>
    </row>
    <row r="49" spans="1:7" ht="16.5" customHeight="1">
      <c r="A49" s="1301" t="s">
        <v>2082</v>
      </c>
      <c r="B49" s="173" t="s">
        <v>2083</v>
      </c>
      <c r="C49" s="183">
        <f ca="1">ROUND((C33+C39+C41+C45)/(1-C40-D41-D45-C48),0)</f>
        <v>3455016</v>
      </c>
      <c r="D49" s="183"/>
      <c r="E49" s="183"/>
      <c r="F49" s="210"/>
      <c r="G49" s="184" t="s">
        <v>2084</v>
      </c>
    </row>
    <row r="50" spans="1:7" s="206" customFormat="1" ht="24">
      <c r="A50" s="1301" t="s">
        <v>2085</v>
      </c>
      <c r="B50" s="173" t="s">
        <v>2086</v>
      </c>
      <c r="C50" s="183"/>
      <c r="D50" s="183"/>
      <c r="E50" s="183"/>
      <c r="F50" s="210">
        <f>IF('数据-取费表'!B25=0,'数据-取费表'!E20,1)</f>
        <v>0.9</v>
      </c>
      <c r="G50" s="197" t="s">
        <v>2087</v>
      </c>
    </row>
    <row r="51" spans="1:7" ht="16.5" customHeight="1">
      <c r="A51" s="1301" t="s">
        <v>2088</v>
      </c>
      <c r="B51" s="173" t="s">
        <v>2089</v>
      </c>
      <c r="C51" s="183">
        <f ca="1">ROUND(C49*F50,0)</f>
        <v>3109514</v>
      </c>
      <c r="D51" s="183"/>
      <c r="E51" s="183"/>
      <c r="F51" s="210"/>
      <c r="G51" s="184" t="s">
        <v>2090</v>
      </c>
    </row>
    <row r="52" spans="1:7" s="172" customFormat="1" ht="16.5" thickBot="1">
      <c r="A52" s="211" t="s">
        <v>2091</v>
      </c>
      <c r="B52" s="212"/>
      <c r="C52" s="213">
        <f ca="1">C31+C51</f>
        <v>4682469</v>
      </c>
      <c r="D52" s="212"/>
      <c r="E52" s="212"/>
      <c r="F52" s="212"/>
      <c r="G52" s="214"/>
    </row>
    <row r="55" spans="1:7" ht="15">
      <c r="B55" s="216" t="s">
        <v>2092</v>
      </c>
      <c r="C55" s="217"/>
    </row>
    <row r="56" spans="1:7">
      <c r="B56" s="219" t="s">
        <v>2093</v>
      </c>
      <c r="C56" s="220">
        <f ca="1">ROUND(C51/C52,3)</f>
        <v>0.66400000000000003</v>
      </c>
    </row>
    <row r="57" spans="1:7">
      <c r="B57" s="219" t="s">
        <v>2094</v>
      </c>
      <c r="C57" s="221">
        <f ca="1">1-C56</f>
        <v>0.33599999999999997</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17" t="s">
        <v>1302</v>
      </c>
      <c r="D1" s="1448"/>
      <c r="E1" s="1207"/>
      <c r="F1" s="1207"/>
      <c r="G1" s="1207"/>
      <c r="H1" s="1207"/>
      <c r="I1" s="1207"/>
      <c r="J1" s="1207"/>
      <c r="K1" s="1207"/>
    </row>
    <row r="2" spans="1:33" s="223" customFormat="1" ht="18" customHeight="1">
      <c r="A2" s="165" t="s">
        <v>1303</v>
      </c>
      <c r="B2" s="168">
        <f ca="1">IF(C2="元",C32,ROUND(C32/10000,0))</f>
        <v>12827088</v>
      </c>
      <c r="C2" s="1965" t="str">
        <f>'数据-取费表'!B3</f>
        <v>元</v>
      </c>
      <c r="D2" s="1207"/>
      <c r="E2" s="1207"/>
      <c r="F2" s="1207"/>
      <c r="G2" s="1207"/>
      <c r="H2" s="1207"/>
      <c r="I2" s="1207"/>
      <c r="J2" s="1207"/>
      <c r="K2" s="1207"/>
    </row>
    <row r="3" spans="1:33" s="223" customFormat="1" ht="18" customHeight="1" thickBot="1">
      <c r="A3" s="167" t="s">
        <v>1304</v>
      </c>
      <c r="B3" s="168">
        <f ca="1">ROUND(C32/IF(C1="仅计算典型户型",'数据-取费表'!E5,'数据-取费表'!B5),0)</f>
        <v>22351</v>
      </c>
      <c r="C3" s="1965" t="s">
        <v>1305</v>
      </c>
      <c r="D3" s="1207"/>
      <c r="E3" s="1207"/>
      <c r="F3" s="1207"/>
      <c r="G3" s="1207"/>
      <c r="H3" s="1207"/>
      <c r="I3" s="1207"/>
      <c r="J3" s="1207"/>
      <c r="K3" s="1207"/>
    </row>
    <row r="4" spans="1:33" s="227" customFormat="1" ht="16.5" customHeight="1">
      <c r="A4" s="224" t="s">
        <v>1306</v>
      </c>
      <c r="B4" s="225"/>
      <c r="C4" s="1447">
        <f>SUM(C8:K8)</f>
        <v>20086150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1309</v>
      </c>
      <c r="B6" s="231" t="s">
        <v>1310</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1311</v>
      </c>
      <c r="B7" s="231" t="s">
        <v>1312</v>
      </c>
      <c r="C7" s="234">
        <f>IF(C1="仅计算典型户型",'数据-取费表'!E5,'数据-取费表'!B5)</f>
        <v>573.89</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6" t="s">
        <v>1313</v>
      </c>
      <c r="B8" s="231" t="s">
        <v>1314</v>
      </c>
      <c r="C8" s="728">
        <f>C6*C7</f>
        <v>20086150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1220</v>
      </c>
      <c r="B11" s="246" t="s">
        <v>1320</v>
      </c>
      <c r="C11" s="247">
        <f>IF(C1="仅计算典型户型",'数据-取费表'!F18,'数据-取费表'!E18)</f>
        <v>2295560</v>
      </c>
      <c r="D11" s="248"/>
      <c r="E11" s="70"/>
      <c r="F11" s="249">
        <f>1-'数据-取费表'!E20</f>
        <v>9.9999999999999978E-2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1221</v>
      </c>
      <c r="B12" s="246" t="s">
        <v>1321</v>
      </c>
      <c r="C12" s="14">
        <f>ROUND(C11*F12,0)</f>
        <v>114778</v>
      </c>
      <c r="D12" s="248"/>
      <c r="E12" s="70"/>
      <c r="F12" s="251">
        <f>'数据-取费表'!E21</f>
        <v>0.05</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1222</v>
      </c>
      <c r="B13" s="246" t="s">
        <v>1323</v>
      </c>
      <c r="C13" s="14">
        <f>ROUND(IF('数据-取费表'!B10="住宅",C11*F13,0),0)</f>
        <v>0</v>
      </c>
      <c r="D13" s="248"/>
      <c r="E13" s="70"/>
      <c r="F13" s="251">
        <f>'数据-取费表'!E22</f>
        <v>0</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1223</v>
      </c>
      <c r="B14" s="246" t="s">
        <v>1325</v>
      </c>
      <c r="C14" s="14">
        <f>ROUND(D14*E14*F11,0)</f>
        <v>11478</v>
      </c>
      <c r="D14" s="248">
        <f>IF(C1="仅计算典型户型",'数据-取费表'!E5,'数据-取费表'!B5)</f>
        <v>573.89</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1224</v>
      </c>
      <c r="B15" s="246" t="s">
        <v>1327</v>
      </c>
      <c r="C15" s="259">
        <f>ROUND(C11*F15,0)</f>
        <v>34433</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1329</v>
      </c>
      <c r="B16" s="246" t="s">
        <v>1330</v>
      </c>
      <c r="C16" s="247">
        <f>SUM(C11:C15)</f>
        <v>2456249</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1331</v>
      </c>
      <c r="B17" s="246" t="s">
        <v>1332</v>
      </c>
      <c r="C17" s="14">
        <f>ROUND(D17*E17,0)</f>
        <v>0</v>
      </c>
      <c r="D17" s="248">
        <f>IF(C1="仅计算典型户型",'数据-取费表'!E5,'数据-取费表'!B5)</f>
        <v>573.89</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1334</v>
      </c>
      <c r="B18" s="246" t="s">
        <v>1335</v>
      </c>
      <c r="C18" s="14">
        <f>C19+C20-'数据-取费表'!E13</f>
        <v>114767</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955</v>
      </c>
      <c r="B19" s="246" t="s">
        <v>1337</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956</v>
      </c>
      <c r="B20" s="246" t="s">
        <v>1338</v>
      </c>
      <c r="C20" s="14">
        <f>ROUND(D20*E20,0)</f>
        <v>114778</v>
      </c>
      <c r="D20" s="248">
        <f>IF('数据-取费表'!B10&lt;&gt;"住宅",IF(C1="仅计算典型户型",'数据-取费表'!E5,'数据-取费表'!B5),0)</f>
        <v>573.89</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1309</v>
      </c>
      <c r="B21" s="261" t="s">
        <v>1339</v>
      </c>
      <c r="C21" s="262">
        <f>C16+C17+C18</f>
        <v>2571016</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1311</v>
      </c>
      <c r="B22" s="261" t="s">
        <v>1341</v>
      </c>
      <c r="C22" s="262">
        <f>ROUND(C21*F22,0)</f>
        <v>51420</v>
      </c>
      <c r="D22" s="264"/>
      <c r="E22" s="264"/>
      <c r="F22" s="265">
        <f>'数据-取费表'!E25</f>
        <v>0.02</v>
      </c>
      <c r="G22" s="240" t="s">
        <v>1342</v>
      </c>
      <c r="H22" s="243"/>
      <c r="I22" s="243"/>
      <c r="J22" s="243"/>
      <c r="K22" s="244"/>
      <c r="L22" s="266"/>
      <c r="M22" s="266"/>
      <c r="N22" s="266"/>
    </row>
    <row r="23" spans="1:33" s="250" customFormat="1" ht="13.5" customHeight="1">
      <c r="A23" s="1302" t="s">
        <v>1313</v>
      </c>
      <c r="B23" s="261" t="s">
        <v>1343</v>
      </c>
      <c r="C23" s="262">
        <f>ROUND(C4*F23*F11,0)</f>
        <v>40172</v>
      </c>
      <c r="D23" s="264"/>
      <c r="E23" s="264"/>
      <c r="F23" s="265">
        <f>'数据-取费表'!E26</f>
        <v>0.02</v>
      </c>
      <c r="G23" s="240" t="s">
        <v>1344</v>
      </c>
      <c r="H23" s="243"/>
      <c r="I23" s="243"/>
      <c r="J23" s="243"/>
      <c r="K23" s="244"/>
    </row>
    <row r="24" spans="1:33" s="250" customFormat="1" ht="13.5" customHeight="1">
      <c r="A24" s="1302"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2" t="s">
        <v>1348</v>
      </c>
      <c r="B25" s="263" t="s">
        <v>1349</v>
      </c>
      <c r="C25" s="272">
        <f ca="1">C27</f>
        <v>0</v>
      </c>
      <c r="D25" s="267">
        <f ca="1">C26</f>
        <v>0</v>
      </c>
      <c r="E25" s="273" t="s">
        <v>12</v>
      </c>
      <c r="F25" s="274">
        <f ca="1">'数据-取费表'!E27</f>
        <v>4.3499999999999997E-2</v>
      </c>
      <c r="G25" s="231" t="s">
        <v>1350</v>
      </c>
      <c r="H25" s="270"/>
      <c r="I25" s="270"/>
      <c r="J25" s="270"/>
      <c r="K25" s="271"/>
    </row>
    <row r="26" spans="1:33" s="280" customFormat="1" ht="13.5" customHeight="1">
      <c r="A26" s="1303"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2" t="s">
        <v>1355</v>
      </c>
      <c r="B28" s="282" t="s">
        <v>1356</v>
      </c>
      <c r="C28" s="283">
        <f>C30</f>
        <v>532522</v>
      </c>
      <c r="D28" s="267">
        <f>C29</f>
        <v>0.20580000000000001</v>
      </c>
      <c r="E28" s="273" t="s">
        <v>12</v>
      </c>
      <c r="F28" s="284">
        <f>'数据-取费表'!E28</f>
        <v>0.2</v>
      </c>
      <c r="G28" s="269"/>
      <c r="H28" s="270"/>
      <c r="I28" s="270"/>
      <c r="J28" s="270"/>
      <c r="K28" s="271"/>
    </row>
    <row r="29" spans="1:33" s="288" customFormat="1" ht="13.5" customHeight="1">
      <c r="A29" s="1303" t="s">
        <v>1357</v>
      </c>
      <c r="B29" s="286" t="s">
        <v>1358</v>
      </c>
      <c r="C29" s="277">
        <f>ROUND((1+C24)*F28,4)</f>
        <v>0.20580000000000001</v>
      </c>
      <c r="D29" s="277"/>
      <c r="E29" s="278"/>
      <c r="F29" s="287"/>
      <c r="G29" s="231" t="s">
        <v>1359</v>
      </c>
      <c r="H29" s="254"/>
      <c r="I29" s="254"/>
      <c r="J29" s="254"/>
      <c r="K29" s="255"/>
    </row>
    <row r="30" spans="1:33" s="288" customFormat="1" ht="13.5" customHeight="1">
      <c r="A30" s="1303" t="s">
        <v>1360</v>
      </c>
      <c r="B30" s="286" t="s">
        <v>1361</v>
      </c>
      <c r="C30" s="289">
        <f>ROUND((C21+C22+C23)*F28,0)</f>
        <v>532522</v>
      </c>
      <c r="D30" s="277"/>
      <c r="E30" s="290"/>
      <c r="F30" s="287"/>
      <c r="G30" s="231"/>
      <c r="H30" s="254"/>
      <c r="I30" s="254"/>
      <c r="J30" s="254"/>
      <c r="K30" s="255"/>
    </row>
    <row r="31" spans="1:33" s="266" customFormat="1" ht="13.5" customHeight="1" thickBot="1">
      <c r="A31" s="1967" t="s">
        <v>1362</v>
      </c>
      <c r="B31" s="261" t="s">
        <v>1363</v>
      </c>
      <c r="C31" s="291">
        <f>ROUND(C4*F31/(1+'数据-取费表'!F30),0)</f>
        <v>1052132</v>
      </c>
      <c r="D31" s="236"/>
      <c r="E31" s="292"/>
      <c r="F31" s="293">
        <f>'数据-取费表'!E29</f>
        <v>5.5000000000000007E-2</v>
      </c>
      <c r="G31" s="294" t="s">
        <v>1364</v>
      </c>
      <c r="H31" s="295"/>
      <c r="I31" s="295"/>
      <c r="J31" s="295"/>
      <c r="K31" s="296"/>
    </row>
    <row r="32" spans="1:33" s="245" customFormat="1" ht="13.5" customHeight="1" thickBot="1">
      <c r="A32" s="297" t="s">
        <v>1365</v>
      </c>
      <c r="B32" s="298"/>
      <c r="C32" s="299">
        <f ca="1">ROUND((C4-C21-C22-C23-C25-C28-C31)/(1+C24+D25+D28),0)</f>
        <v>12827088</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20" activeCellId="1" sqref="E12 A20:H3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948</v>
      </c>
      <c r="B8" s="1182" t="s">
        <v>947</v>
      </c>
      <c r="C8" s="1039"/>
    </row>
    <row r="9" spans="1:7">
      <c r="A9" s="1180"/>
      <c r="B9" s="1903" t="str">
        <f>项目基本情况!B1</f>
        <v>北京市房地产抵押价值预评估</v>
      </c>
      <c r="C9" s="1040"/>
      <c r="D9" s="1041"/>
      <c r="E9" s="1041"/>
      <c r="F9" s="1041"/>
      <c r="G9" s="1041"/>
    </row>
    <row r="10" spans="1:7">
      <c r="A10" s="1180"/>
      <c r="B10" s="1074"/>
      <c r="C10" s="1040"/>
      <c r="D10" s="1041"/>
      <c r="E10" s="1041"/>
      <c r="F10" s="1041"/>
      <c r="G10" s="1041"/>
    </row>
    <row r="11" spans="1:7">
      <c r="A11" s="1183" t="s">
        <v>948</v>
      </c>
      <c r="B11" s="1182" t="s">
        <v>949</v>
      </c>
      <c r="C11" s="1039"/>
    </row>
    <row r="12" spans="1:7">
      <c r="A12" s="1180"/>
      <c r="B12" s="1904">
        <f>项目基本情况!B4</f>
        <v>0</v>
      </c>
      <c r="C12" s="1039"/>
    </row>
    <row r="13" spans="1:7">
      <c r="A13" s="1180"/>
      <c r="B13" s="1073"/>
      <c r="C13" s="1039"/>
    </row>
    <row r="14" spans="1:7">
      <c r="A14" s="1183" t="s">
        <v>948</v>
      </c>
      <c r="B14" s="1182" t="s">
        <v>950</v>
      </c>
      <c r="C14" s="1039"/>
    </row>
    <row r="15" spans="1:7">
      <c r="A15" s="1180"/>
      <c r="B15" s="1904" t="s">
        <v>779</v>
      </c>
      <c r="C15" s="1039"/>
    </row>
    <row r="16" spans="1:7">
      <c r="A16" s="1180"/>
      <c r="B16" s="1073"/>
      <c r="C16" s="1039"/>
    </row>
    <row r="17" spans="1:5">
      <c r="A17" s="1183" t="s">
        <v>948</v>
      </c>
      <c r="B17" s="1182" t="s">
        <v>951</v>
      </c>
      <c r="C17" s="1039"/>
    </row>
    <row r="18" spans="1:5" s="1043" customFormat="1">
      <c r="A18" s="1181"/>
      <c r="B18" s="1904" t="str">
        <f ca="1">CONCATENATE(项目基本情况!B3,"（注册号:",项目基本情况!C3,"）、",项目基本情况!D3,"（注册号:",项目基本情况!E3,")")</f>
        <v>欧红伟（注册号:1120000080）、崔锴（注册号:1120100036)</v>
      </c>
      <c r="C18" s="1042"/>
      <c r="E18" s="1042"/>
    </row>
    <row r="19" spans="1:5">
      <c r="A19" s="1180"/>
      <c r="B19" s="1073"/>
      <c r="C19" s="1039"/>
    </row>
    <row r="20" spans="1:5">
      <c r="A20" s="1183" t="s">
        <v>948</v>
      </c>
      <c r="B20" s="1182" t="s">
        <v>952</v>
      </c>
      <c r="C20" s="1039"/>
    </row>
    <row r="21" spans="1:5">
      <c r="A21" s="1180"/>
      <c r="B21" s="1904" t="str">
        <f>"康正预评字"&amp;项目基本情况!G1&amp;"号"</f>
        <v>康正预评字号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9" zoomScale="90" zoomScaleNormal="90" zoomScaleSheetLayoutView="100" workbookViewId="0">
      <selection activeCell="F41" sqref="F41"/>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2095</v>
      </c>
      <c r="B1" s="306"/>
      <c r="C1" s="730"/>
      <c r="D1" s="2699" t="s">
        <v>2830</v>
      </c>
      <c r="E1" s="2700" t="s">
        <v>1253</v>
      </c>
      <c r="F1" s="2701"/>
      <c r="G1" s="2702"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2005</v>
      </c>
      <c r="B2" s="765">
        <f ca="1">IF(C2="元",IF('数据-取费表'!B28="租赁期内按合同租金",C40+L47+J29,C40+L47),ROUND(IF('数据-取费表'!B28="租赁期内按合同租金",(C40+L47+J29)/10000,(C40+L47)/10000),0))</f>
        <v>6494436</v>
      </c>
      <c r="C2" s="2328" t="str">
        <f>'数据-取费表'!B3</f>
        <v>元</v>
      </c>
      <c r="D2" s="1210"/>
      <c r="E2" s="1211"/>
      <c r="F2" s="1211"/>
      <c r="G2" s="1236"/>
      <c r="H2" s="729"/>
      <c r="I2" s="1212"/>
      <c r="J2" s="1212"/>
      <c r="K2" s="1213"/>
      <c r="L2" s="1212"/>
      <c r="M2" s="1212"/>
    </row>
    <row r="3" spans="1:37" ht="18" customHeight="1" thickBot="1">
      <c r="A3" s="310" t="s">
        <v>2006</v>
      </c>
      <c r="B3" s="766">
        <f ca="1">ROUND(IF('数据-取费表'!B28="租赁期内按合同租金",(C40+L47+J29)/F43,(C40+L47)/F43),0)</f>
        <v>11317</v>
      </c>
      <c r="C3" s="2328" t="s">
        <v>2096</v>
      </c>
      <c r="D3" s="1210"/>
      <c r="E3" s="1211"/>
      <c r="F3" s="1211"/>
      <c r="G3" s="1236"/>
      <c r="H3" s="311" t="s">
        <v>2097</v>
      </c>
      <c r="I3" s="1212"/>
      <c r="J3" s="1212"/>
      <c r="K3" s="1213"/>
      <c r="L3" s="1212"/>
      <c r="M3" s="1212"/>
    </row>
    <row r="4" spans="1:37" ht="18" customHeight="1">
      <c r="A4" s="312" t="s">
        <v>2098</v>
      </c>
      <c r="B4" s="313" t="s">
        <v>2099</v>
      </c>
      <c r="C4" s="313" t="s">
        <v>2100</v>
      </c>
      <c r="D4" s="313" t="s">
        <v>2101</v>
      </c>
      <c r="E4" s="314" t="s">
        <v>2102</v>
      </c>
      <c r="F4" s="315"/>
      <c r="G4" s="1234"/>
      <c r="H4" s="312" t="s">
        <v>2098</v>
      </c>
      <c r="I4" s="313" t="s">
        <v>2099</v>
      </c>
      <c r="J4" s="313" t="s">
        <v>2100</v>
      </c>
      <c r="K4" s="313" t="s">
        <v>2101</v>
      </c>
      <c r="L4" s="314" t="s">
        <v>2102</v>
      </c>
      <c r="M4" s="315"/>
    </row>
    <row r="5" spans="1:37" ht="18" customHeight="1">
      <c r="A5" s="316">
        <v>1</v>
      </c>
      <c r="B5" s="317" t="s">
        <v>2103</v>
      </c>
      <c r="C5" s="318">
        <f ca="1">C6+C10+C12</f>
        <v>434145</v>
      </c>
      <c r="D5" s="2329" t="s">
        <v>2104</v>
      </c>
      <c r="E5" s="1210"/>
      <c r="F5" s="1379"/>
      <c r="G5" s="1234"/>
      <c r="H5" s="316">
        <v>1</v>
      </c>
      <c r="I5" s="317" t="s">
        <v>2103</v>
      </c>
      <c r="J5" s="318">
        <f ca="1">J6+J10+J12</f>
        <v>0</v>
      </c>
      <c r="K5" s="2329" t="s">
        <v>2104</v>
      </c>
      <c r="L5" s="1210"/>
      <c r="M5" s="1379"/>
    </row>
    <row r="6" spans="1:37" ht="18" customHeight="1">
      <c r="A6" s="1380" t="s">
        <v>2105</v>
      </c>
      <c r="B6" s="2020" t="s">
        <v>2106</v>
      </c>
      <c r="C6" s="318">
        <f>ROUND(F6*F8*F7*(1-F9),0)</f>
        <v>433603</v>
      </c>
      <c r="D6" s="80" t="s">
        <v>2803</v>
      </c>
      <c r="E6" s="319" t="s">
        <v>2107</v>
      </c>
      <c r="F6" s="320">
        <f>'数据-取费表'!B29</f>
        <v>2.2999999999999998</v>
      </c>
      <c r="G6" s="1234"/>
      <c r="H6" s="1380" t="s">
        <v>2105</v>
      </c>
      <c r="I6" s="2020" t="s">
        <v>2106</v>
      </c>
      <c r="J6" s="318">
        <f>ROUND(M6*M8*M7*(1-M9),0)</f>
        <v>0</v>
      </c>
      <c r="K6" s="80" t="s">
        <v>2803</v>
      </c>
      <c r="L6" s="319" t="s">
        <v>2107</v>
      </c>
      <c r="M6" s="320">
        <f>'数据-取费表'!B36</f>
        <v>0</v>
      </c>
    </row>
    <row r="7" spans="1:37" ht="18" customHeight="1">
      <c r="A7" s="1443"/>
      <c r="B7" s="322"/>
      <c r="C7" s="323"/>
      <c r="D7" s="324"/>
      <c r="E7" s="319" t="s">
        <v>2108</v>
      </c>
      <c r="F7" s="320">
        <f>IF('数据-取费表'!B41="",IF(D1="仅计算典型户型",'数据-取费表'!E5,'数据-取费表'!B5),'数据-取费表'!B41)</f>
        <v>573.89</v>
      </c>
      <c r="G7" s="1234"/>
      <c r="H7" s="321"/>
      <c r="I7" s="322"/>
      <c r="J7" s="323"/>
      <c r="K7" s="324"/>
      <c r="L7" s="319" t="s">
        <v>2108</v>
      </c>
      <c r="M7" s="320">
        <f>IF('数据-取费表'!B41="",IF(D1="仅计算典型户型",'数据-取费表'!E5,'数据-取费表'!B5),'数据-取费表'!B41)</f>
        <v>573.89</v>
      </c>
    </row>
    <row r="8" spans="1:37" ht="18" customHeight="1">
      <c r="A8" s="1443"/>
      <c r="B8" s="322"/>
      <c r="C8" s="323"/>
      <c r="D8" s="324"/>
      <c r="E8" s="319" t="s">
        <v>2109</v>
      </c>
      <c r="F8" s="320">
        <f>'数据-取费表'!B42</f>
        <v>365</v>
      </c>
      <c r="G8" s="1234"/>
      <c r="H8" s="321"/>
      <c r="I8" s="322"/>
      <c r="J8" s="323"/>
      <c r="K8" s="324"/>
      <c r="L8" s="319" t="s">
        <v>2110</v>
      </c>
      <c r="M8" s="320">
        <f>'数据-取费表'!B42</f>
        <v>365</v>
      </c>
    </row>
    <row r="9" spans="1:37" ht="18" customHeight="1">
      <c r="A9" s="1443"/>
      <c r="B9" s="322"/>
      <c r="C9" s="323"/>
      <c r="D9" s="328"/>
      <c r="E9" s="319" t="s">
        <v>2111</v>
      </c>
      <c r="F9" s="329">
        <f>'数据-取费表'!B32</f>
        <v>0.1</v>
      </c>
      <c r="G9" s="1234"/>
      <c r="H9" s="321"/>
      <c r="I9" s="322"/>
      <c r="J9" s="1382"/>
      <c r="K9" s="95"/>
      <c r="L9" s="330" t="s">
        <v>2111</v>
      </c>
      <c r="M9" s="329">
        <f>'数据-取费表'!B38</f>
        <v>0</v>
      </c>
    </row>
    <row r="10" spans="1:37" ht="18" customHeight="1">
      <c r="A10" s="1380" t="s">
        <v>2112</v>
      </c>
      <c r="B10" s="2330" t="s">
        <v>2113</v>
      </c>
      <c r="C10" s="1381">
        <f ca="1">ROUND(IF(F10="押一",C6/12*F11,IF(F10="押二",C6/12*2*F11,IF(F10="押三",C6/12*3*F11,C11*F11))),0)</f>
        <v>542</v>
      </c>
      <c r="D10" s="2331" t="s">
        <v>2811</v>
      </c>
      <c r="E10" s="330" t="s">
        <v>2114</v>
      </c>
      <c r="F10" s="2332" t="s">
        <v>2115</v>
      </c>
      <c r="G10" s="1234"/>
      <c r="H10" s="1380" t="s">
        <v>2112</v>
      </c>
      <c r="I10" s="2330" t="s">
        <v>2113</v>
      </c>
      <c r="J10" s="1381">
        <f ca="1">ROUND(IF(M10="押一",J6/12*M11,IF(M10="押二",J6/12*2*M11,IF(M10="押三",J6/12*3*M11,J11*M11))),0)</f>
        <v>0</v>
      </c>
      <c r="K10" s="80" t="s">
        <v>2811</v>
      </c>
      <c r="L10" s="330" t="s">
        <v>2114</v>
      </c>
      <c r="M10" s="2332"/>
    </row>
    <row r="11" spans="1:37" s="341" customFormat="1" ht="18" customHeight="1">
      <c r="A11" s="348"/>
      <c r="B11" s="2333" t="s">
        <v>2116</v>
      </c>
      <c r="C11" s="1414"/>
      <c r="D11" s="324"/>
      <c r="E11" s="330" t="s">
        <v>2117</v>
      </c>
      <c r="F11" s="331">
        <f ca="1">'数据-取费表'!B30</f>
        <v>1.4999999999999999E-2</v>
      </c>
      <c r="G11" s="1235"/>
      <c r="H11" s="325"/>
      <c r="I11" s="2333" t="s">
        <v>2118</v>
      </c>
      <c r="J11" s="1414"/>
      <c r="K11" s="324"/>
      <c r="L11" s="330" t="s">
        <v>2117</v>
      </c>
      <c r="M11" s="331">
        <f ca="1">'数据-取费表'!B30</f>
        <v>1.4999999999999999E-2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2119</v>
      </c>
      <c r="B12" s="2334" t="s">
        <v>2120</v>
      </c>
      <c r="C12" s="1421"/>
      <c r="D12" s="2335"/>
      <c r="E12" s="1427"/>
      <c r="F12" s="1422"/>
      <c r="G12" s="1234"/>
      <c r="H12" s="1420" t="s">
        <v>2119</v>
      </c>
      <c r="I12" s="2334" t="s">
        <v>2120</v>
      </c>
      <c r="J12" s="1421"/>
      <c r="K12" s="1437"/>
      <c r="L12" s="1427"/>
      <c r="M12" s="1438"/>
    </row>
    <row r="13" spans="1:37" s="341" customFormat="1" ht="18" customHeight="1" thickTop="1">
      <c r="A13" s="1416">
        <v>2</v>
      </c>
      <c r="B13" s="1417" t="s">
        <v>2121</v>
      </c>
      <c r="C13" s="327">
        <f ca="1">ROUND(C29*F13,0)</f>
        <v>3109514</v>
      </c>
      <c r="D13" s="1418" t="s">
        <v>2122</v>
      </c>
      <c r="E13" s="1418" t="s">
        <v>2123</v>
      </c>
      <c r="F13" s="1419">
        <f>'数据-取费表'!E20</f>
        <v>0.9</v>
      </c>
      <c r="G13" s="1235"/>
      <c r="H13" s="1416">
        <v>2</v>
      </c>
      <c r="I13" s="1417" t="s">
        <v>2121</v>
      </c>
      <c r="J13" s="1382">
        <f ca="1">ROUND(J14*J15,0)</f>
        <v>0</v>
      </c>
      <c r="K13" s="1423" t="s">
        <v>2122</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2124</v>
      </c>
      <c r="B14" s="319" t="s">
        <v>2125</v>
      </c>
      <c r="C14" s="338">
        <f>IF(D1="仅计算典型户型",'数据-取费表'!F18,'数据-取费表'!E18)</f>
        <v>2295560</v>
      </c>
      <c r="D14" s="1884" t="s">
        <v>2126</v>
      </c>
      <c r="E14" s="1885"/>
      <c r="F14" s="979"/>
      <c r="G14" s="1235"/>
      <c r="H14" s="337" t="s">
        <v>2105</v>
      </c>
      <c r="I14" s="319" t="s">
        <v>2127</v>
      </c>
      <c r="J14" s="14">
        <f ca="1">C29</f>
        <v>3455016</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2128</v>
      </c>
      <c r="B15" s="319" t="s">
        <v>2129</v>
      </c>
      <c r="C15" s="14">
        <f>ROUND(C14*F15,0)</f>
        <v>114778</v>
      </c>
      <c r="D15" s="339" t="s">
        <v>2130</v>
      </c>
      <c r="E15" s="339" t="s">
        <v>2131</v>
      </c>
      <c r="F15" s="340">
        <f>'数据-取费表'!E21</f>
        <v>0.05</v>
      </c>
      <c r="G15" s="1234"/>
      <c r="H15" s="1426" t="s">
        <v>2132</v>
      </c>
      <c r="I15" s="1427" t="s">
        <v>2133</v>
      </c>
      <c r="J15" s="1439">
        <f>'数据-取费表'!B39</f>
        <v>0</v>
      </c>
      <c r="K15" s="1440"/>
      <c r="L15" s="1441"/>
      <c r="M15" s="1442"/>
    </row>
    <row r="16" spans="1:37" s="341" customFormat="1" ht="18" customHeight="1" thickTop="1">
      <c r="A16" s="337" t="s">
        <v>2134</v>
      </c>
      <c r="B16" s="319" t="s">
        <v>2135</v>
      </c>
      <c r="C16" s="14">
        <f>ROUND(C14*F16,0)</f>
        <v>0</v>
      </c>
      <c r="D16" s="319" t="s">
        <v>2130</v>
      </c>
      <c r="E16" s="319" t="s">
        <v>2131</v>
      </c>
      <c r="F16" s="342">
        <f>IF('数据-取费表'!B10="住宅",'数据-取费表'!E22,0)</f>
        <v>0</v>
      </c>
      <c r="G16" s="1235"/>
      <c r="H16" s="1416" t="s">
        <v>14</v>
      </c>
      <c r="I16" s="1417" t="s">
        <v>2136</v>
      </c>
      <c r="J16" s="327">
        <f ca="1">ROUND(J17+J22+J23+J24,0)</f>
        <v>51825</v>
      </c>
      <c r="K16" s="1423" t="s">
        <v>2137</v>
      </c>
      <c r="L16" s="1424"/>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2138</v>
      </c>
      <c r="B17" s="319" t="s">
        <v>2139</v>
      </c>
      <c r="C17" s="14">
        <f>ROUND(F17*IF(D1="仅计算典型户型",'数据-取费表'!E5,'数据-取费表'!B5),0)</f>
        <v>114778</v>
      </c>
      <c r="D17" s="319" t="s">
        <v>2140</v>
      </c>
      <c r="E17" s="319" t="s">
        <v>2141</v>
      </c>
      <c r="F17" s="16">
        <f>'数据-取费表'!E23</f>
        <v>200</v>
      </c>
      <c r="G17" s="1235"/>
      <c r="H17" s="337" t="s">
        <v>2142</v>
      </c>
      <c r="I17" s="319" t="s">
        <v>2143</v>
      </c>
      <c r="J17" s="14">
        <f ca="1">ROUND(IF(项目基本情况!B7="自然人",J5*M17,J18+J19+J20),0)</f>
        <v>0</v>
      </c>
      <c r="K17" s="1884" t="s">
        <v>2144</v>
      </c>
      <c r="L17" s="1889" t="s">
        <v>2145</v>
      </c>
      <c r="M17" s="343">
        <f>IF(项目基本情况!B7="企业","",IF('数据-取费表'!B10="住宅",5%,IF(M6*M7*M8/12/(1+'数据-取费表'!F30)&gt;20000,12%,7%)))</f>
        <v>7.0000000000000007E-2</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2146</v>
      </c>
      <c r="B18" s="319" t="s">
        <v>2147</v>
      </c>
      <c r="C18" s="14">
        <f>ROUND(C14*F18,0)</f>
        <v>34433</v>
      </c>
      <c r="D18" s="319" t="s">
        <v>2130</v>
      </c>
      <c r="E18" s="319" t="s">
        <v>2131</v>
      </c>
      <c r="F18" s="342">
        <f>'数据-取费表'!E24</f>
        <v>1.4999999999999999E-2</v>
      </c>
      <c r="G18" s="1234"/>
      <c r="H18" s="337" t="s">
        <v>2148</v>
      </c>
      <c r="I18" s="319" t="s">
        <v>2149</v>
      </c>
      <c r="J18" s="14" t="str">
        <f>IF(项目基本情况!B7="自然人","——",ROUND(J5*M18/(1+'数据-取费表'!F30),0))</f>
        <v>——</v>
      </c>
      <c r="K18" s="1889" t="s">
        <v>2150</v>
      </c>
      <c r="L18" s="319" t="s">
        <v>2131</v>
      </c>
      <c r="M18" s="342">
        <f>'数据-取费表'!E29</f>
        <v>5.5000000000000007E-2</v>
      </c>
    </row>
    <row r="19" spans="1:37" s="341" customFormat="1" ht="18" customHeight="1">
      <c r="A19" s="337" t="s">
        <v>2142</v>
      </c>
      <c r="B19" s="319" t="s">
        <v>2151</v>
      </c>
      <c r="C19" s="14">
        <f>SUM(C14:C18)</f>
        <v>2559549</v>
      </c>
      <c r="D19" s="56" t="s">
        <v>2152</v>
      </c>
      <c r="E19" s="1894"/>
      <c r="F19" s="16"/>
      <c r="G19" s="1235"/>
      <c r="H19" s="337" t="s">
        <v>2128</v>
      </c>
      <c r="I19" s="319" t="s">
        <v>2153</v>
      </c>
      <c r="J19" s="14" t="str">
        <f>IF(项目基本情况!B7="自然人","——",IF(K19="按租金收入计税",ROUND(J5*M19,1),ROUND(C29*M19*0.7,1)))</f>
        <v>——</v>
      </c>
      <c r="K19" s="2010" t="s">
        <v>2154</v>
      </c>
      <c r="L19" s="319" t="s">
        <v>2131</v>
      </c>
      <c r="M19" s="342">
        <f>IF(K19="按租金收入计税",'数据-取费表'!E39,'数据-取费表'!E38)</f>
        <v>1.2E-2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2112</v>
      </c>
      <c r="B20" s="319" t="s">
        <v>2155</v>
      </c>
      <c r="C20" s="14">
        <f>ROUND(C19*F20,0)</f>
        <v>51191</v>
      </c>
      <c r="D20" s="344" t="s">
        <v>2156</v>
      </c>
      <c r="E20" s="319" t="s">
        <v>2157</v>
      </c>
      <c r="F20" s="342">
        <f>'数据-取费表'!E25</f>
        <v>0.02</v>
      </c>
      <c r="G20" s="1235"/>
      <c r="H20" s="337" t="s">
        <v>2134</v>
      </c>
      <c r="I20" s="80" t="s">
        <v>2158</v>
      </c>
      <c r="J20" s="15" t="str">
        <f>IF(项目基本情况!B7="自然人","——",ROUND(M20*M21,0))</f>
        <v>——</v>
      </c>
      <c r="K20" s="346" t="s">
        <v>2159</v>
      </c>
      <c r="L20" s="319" t="s">
        <v>2160</v>
      </c>
      <c r="M20" s="347">
        <f>'数据-取费表'!E40</f>
        <v>1.5</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2161</v>
      </c>
      <c r="B21" s="319" t="s">
        <v>2162</v>
      </c>
      <c r="C21" s="703">
        <f>F21</f>
        <v>0.02</v>
      </c>
      <c r="D21" s="344" t="s">
        <v>2163</v>
      </c>
      <c r="E21" s="319" t="s">
        <v>2164</v>
      </c>
      <c r="F21" s="342">
        <f>'数据-取费表'!E26</f>
        <v>0.02</v>
      </c>
      <c r="G21" s="1234"/>
      <c r="H21" s="348"/>
      <c r="I21" s="328"/>
      <c r="J21" s="19"/>
      <c r="K21" s="349"/>
      <c r="L21" s="319" t="s">
        <v>2165</v>
      </c>
      <c r="M21" s="320">
        <f>IF(D1="仅计算典型户型",'数据-取费表'!E6,'数据-取费表'!B6)</f>
        <v>0</v>
      </c>
    </row>
    <row r="22" spans="1:37" ht="18" customHeight="1">
      <c r="A22" s="337" t="s">
        <v>2166</v>
      </c>
      <c r="B22" s="319" t="s">
        <v>2167</v>
      </c>
      <c r="C22" s="14"/>
      <c r="D22" s="56" t="str">
        <f>IF(F23&lt;=1,"单利计息。","复利计息。")&amp;"建造成本、管理费用、销售费用产生的利息。"</f>
        <v>单利计息。建造成本、管理费用、销售费用产生的利息。</v>
      </c>
      <c r="E22" s="1894"/>
      <c r="F22" s="16"/>
      <c r="G22" s="1234"/>
      <c r="H22" s="337" t="s">
        <v>2132</v>
      </c>
      <c r="I22" s="319" t="s">
        <v>2168</v>
      </c>
      <c r="J22" s="14">
        <f ca="1">ROUND(J14*M22,0)</f>
        <v>51825</v>
      </c>
      <c r="K22" s="1889" t="s">
        <v>2169</v>
      </c>
      <c r="L22" s="319" t="s">
        <v>2131</v>
      </c>
      <c r="M22" s="350">
        <f>'数据-取费表'!B44</f>
        <v>1.4999999999999999E-2</v>
      </c>
    </row>
    <row r="23" spans="1:37" ht="18" customHeight="1">
      <c r="A23" s="337" t="s">
        <v>2148</v>
      </c>
      <c r="B23" s="319" t="s">
        <v>2170</v>
      </c>
      <c r="C23" s="14">
        <f ca="1">IF('数据-取费表'!B23&lt;=1,ROUND(C19*F24*F23/2,0)+ROUND(C20*F24*F23/2,0),ROUND(C19*(POWER((1+F24),F23/2)-1),0)+ROUND(C20*(POWER((1+F24),F23/2)-1),0))</f>
        <v>56783</v>
      </c>
      <c r="D23" s="2004" t="str">
        <f>IF(F23&lt;=1,"(建造成本+管理费用)×利率×(建设周期÷2)","(建造成本+管理费用)×((1+利率)^(建设周期÷2)-1)")</f>
        <v>(建造成本+管理费用)×利率×(建设周期÷2)</v>
      </c>
      <c r="E23" s="319" t="s">
        <v>2171</v>
      </c>
      <c r="F23" s="347">
        <f>'数据-取费表'!B21</f>
        <v>1</v>
      </c>
      <c r="G23" s="1234"/>
      <c r="H23" s="337" t="s">
        <v>2161</v>
      </c>
      <c r="I23" s="319" t="s">
        <v>2172</v>
      </c>
      <c r="J23" s="14">
        <f ca="1">ROUND(J13*M23,0)</f>
        <v>0</v>
      </c>
      <c r="K23" s="1889" t="s">
        <v>2173</v>
      </c>
      <c r="L23" s="319" t="s">
        <v>2174</v>
      </c>
      <c r="M23" s="351">
        <f>'数据-取费表'!B45</f>
        <v>1.5E-3</v>
      </c>
    </row>
    <row r="24" spans="1:37" s="341" customFormat="1" ht="18" customHeight="1" thickBot="1">
      <c r="A24" s="337" t="s">
        <v>2175</v>
      </c>
      <c r="B24" s="319" t="s">
        <v>2176</v>
      </c>
      <c r="C24" s="14">
        <f ca="1">ROUND(IF('数据-取费表'!B23&lt;=1,F21*F24*F23/2,F21*(POWER((1+F24),F23/2)-1)),4)</f>
        <v>4.0000000000000002E-4</v>
      </c>
      <c r="D24" s="2004" t="str">
        <f>IF(F23&lt;=1,"销售费用×利率×(建设周期÷2)","销售费用×((1+利率)^(建设周期÷2)-1)")</f>
        <v>销售费用×利率×(建设周期÷2)</v>
      </c>
      <c r="E24" s="319" t="s">
        <v>2177</v>
      </c>
      <c r="F24" s="352">
        <f ca="1">'数据-取费表'!E27</f>
        <v>4.3499999999999997E-2</v>
      </c>
      <c r="G24" s="1235"/>
      <c r="H24" s="1426" t="s">
        <v>2166</v>
      </c>
      <c r="I24" s="1427" t="s">
        <v>2155</v>
      </c>
      <c r="J24" s="1428">
        <f ca="1">ROUND(J5*M24,0)</f>
        <v>0</v>
      </c>
      <c r="K24" s="1429" t="s">
        <v>2178</v>
      </c>
      <c r="L24" s="1427" t="s">
        <v>2174</v>
      </c>
      <c r="M24" s="1422">
        <f>'数据-取费表'!B46</f>
        <v>0.01</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2179</v>
      </c>
      <c r="B25" s="319" t="s">
        <v>2180</v>
      </c>
      <c r="C25" s="14"/>
      <c r="D25" s="56" t="s">
        <v>2181</v>
      </c>
      <c r="E25" s="1894"/>
      <c r="F25" s="16"/>
      <c r="G25" s="1235"/>
      <c r="H25" s="1416" t="s">
        <v>22</v>
      </c>
      <c r="I25" s="1431" t="s">
        <v>2182</v>
      </c>
      <c r="J25" s="327">
        <f ca="1">J5-J16</f>
        <v>-51825</v>
      </c>
      <c r="K25" s="1432" t="s">
        <v>2183</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2124</v>
      </c>
      <c r="B26" s="319" t="s">
        <v>2184</v>
      </c>
      <c r="C26" s="14">
        <f>ROUND((C19+C20)*F26,0)</f>
        <v>522148</v>
      </c>
      <c r="D26" s="344" t="s">
        <v>2185</v>
      </c>
      <c r="E26" s="330" t="s">
        <v>2186</v>
      </c>
      <c r="F26" s="329">
        <f>'数据-取费表'!E28</f>
        <v>0.2</v>
      </c>
      <c r="G26" s="791"/>
      <c r="H26" s="316" t="s">
        <v>23</v>
      </c>
      <c r="I26" s="317" t="s">
        <v>2187</v>
      </c>
      <c r="J26" s="318">
        <f ca="1">IF(J5&lt;&gt;0,ROUND(J25*(1-((1+M28)/(1+M26))^M27)/(M26-M28),0),0)</f>
        <v>0</v>
      </c>
      <c r="K26" s="346" t="s">
        <v>2188</v>
      </c>
      <c r="L26" s="319" t="s">
        <v>2189</v>
      </c>
      <c r="M26" s="329">
        <f>'数据-取费表'!B16</f>
        <v>0.06</v>
      </c>
    </row>
    <row r="27" spans="1:37" ht="18" customHeight="1">
      <c r="A27" s="337" t="s">
        <v>2190</v>
      </c>
      <c r="B27" s="319" t="s">
        <v>2191</v>
      </c>
      <c r="C27" s="14">
        <f>ROUND(F21*F26,4)</f>
        <v>4.0000000000000001E-3</v>
      </c>
      <c r="D27" s="344" t="s">
        <v>2192</v>
      </c>
      <c r="E27" s="339"/>
      <c r="F27" s="340"/>
      <c r="G27" s="791"/>
      <c r="H27" s="321"/>
      <c r="I27" s="322"/>
      <c r="J27" s="323"/>
      <c r="K27" s="354" t="s">
        <v>2193</v>
      </c>
      <c r="L27" s="319" t="s">
        <v>2194</v>
      </c>
      <c r="M27" s="355" t="str">
        <f>'数据-取费表'!B40</f>
        <v>——</v>
      </c>
    </row>
    <row r="28" spans="1:37" ht="18" customHeight="1">
      <c r="A28" s="337" t="s">
        <v>2195</v>
      </c>
      <c r="B28" s="319" t="s">
        <v>2196</v>
      </c>
      <c r="C28" s="14">
        <f>ROUND(F28/(1+'数据-取费表'!F30),4)</f>
        <v>5.2400000000000002E-2</v>
      </c>
      <c r="D28" s="344" t="s">
        <v>2197</v>
      </c>
      <c r="E28" s="319" t="s">
        <v>2157</v>
      </c>
      <c r="F28" s="342">
        <f>'数据-取费表'!E29</f>
        <v>5.5000000000000007E-2</v>
      </c>
      <c r="G28" s="791"/>
      <c r="H28" s="325"/>
      <c r="I28" s="326"/>
      <c r="J28" s="327"/>
      <c r="K28" s="349"/>
      <c r="L28" s="319" t="s">
        <v>2198</v>
      </c>
      <c r="M28" s="329">
        <f>'数据-取费表'!B37</f>
        <v>0</v>
      </c>
    </row>
    <row r="29" spans="1:37" ht="18" customHeight="1" thickBot="1">
      <c r="A29" s="1426" t="s">
        <v>2199</v>
      </c>
      <c r="B29" s="1427" t="s">
        <v>2200</v>
      </c>
      <c r="C29" s="1428">
        <f ca="1">ROUND((C19+C20+C23+C26)/(1-F21-C24-C27-C28),0)</f>
        <v>3455016</v>
      </c>
      <c r="D29" s="1429"/>
      <c r="E29" s="1427"/>
      <c r="F29" s="1430"/>
      <c r="G29" s="791"/>
      <c r="H29" s="356" t="s">
        <v>24</v>
      </c>
      <c r="I29" s="357" t="s">
        <v>2201</v>
      </c>
      <c r="J29" s="358">
        <f ca="1">ROUND(J26/(1+F40)^F41,0)</f>
        <v>0</v>
      </c>
      <c r="K29" s="359" t="s">
        <v>2202</v>
      </c>
      <c r="L29" s="360"/>
      <c r="M29" s="361">
        <f>IF(D1="仅计算典型户型",'数据-取费表'!E5,'数据-取费表'!B5)</f>
        <v>573.89</v>
      </c>
    </row>
    <row r="30" spans="1:37" ht="18" customHeight="1" thickTop="1">
      <c r="A30" s="1416" t="s">
        <v>14</v>
      </c>
      <c r="B30" s="1417" t="s">
        <v>2203</v>
      </c>
      <c r="C30" s="327">
        <f ca="1">ROUND(C31+C36+C37+C38,0)</f>
        <v>112927</v>
      </c>
      <c r="D30" s="1423" t="s">
        <v>2204</v>
      </c>
      <c r="E30" s="1424"/>
      <c r="F30" s="1425"/>
      <c r="G30" s="791"/>
      <c r="H30" s="1214"/>
      <c r="I30" s="1215"/>
      <c r="J30" s="1216"/>
      <c r="K30" s="1217"/>
      <c r="L30" s="1218"/>
      <c r="M30" s="1219"/>
    </row>
    <row r="31" spans="1:37" ht="18" customHeight="1">
      <c r="A31" s="337" t="s">
        <v>2105</v>
      </c>
      <c r="B31" s="319" t="s">
        <v>2143</v>
      </c>
      <c r="C31" s="14">
        <f ca="1">ROUND(IF(项目基本情况!B7="自然人",C5*F31,C32+C33+C34),1)</f>
        <v>52097.4</v>
      </c>
      <c r="D31" s="1884" t="s">
        <v>2205</v>
      </c>
      <c r="E31" s="1889" t="s">
        <v>2206</v>
      </c>
      <c r="F31" s="343">
        <f>IF(项目基本情况!B7="企业","",IF('数据-取费表'!B10="住宅",5%,IF(F6*F7*F8/12/(1+'数据-取费表'!F30)&gt;20000,12%,7%)))</f>
        <v>0.12</v>
      </c>
      <c r="G31" s="791"/>
      <c r="H31" s="1214"/>
      <c r="I31" s="1215"/>
      <c r="J31" s="1216"/>
      <c r="K31" s="1217"/>
      <c r="L31" s="1218"/>
      <c r="M31" s="1219"/>
    </row>
    <row r="32" spans="1:37" ht="18" customHeight="1">
      <c r="A32" s="337" t="s">
        <v>2124</v>
      </c>
      <c r="B32" s="319" t="s">
        <v>2207</v>
      </c>
      <c r="C32" s="14" t="str">
        <f>IF(项目基本情况!B7="自然人","——",ROUND(C5*F32/(1+'数据-取费表'!F30),0))</f>
        <v>——</v>
      </c>
      <c r="D32" s="1889" t="s">
        <v>2208</v>
      </c>
      <c r="E32" s="319" t="s">
        <v>2157</v>
      </c>
      <c r="F32" s="352">
        <f>'数据-取费表'!E29</f>
        <v>5.5000000000000007E-2</v>
      </c>
      <c r="G32" s="791"/>
      <c r="H32" s="1220"/>
      <c r="I32" s="1221"/>
      <c r="J32" s="1222"/>
      <c r="K32" s="1223"/>
      <c r="L32" s="1224"/>
      <c r="M32" s="1225"/>
    </row>
    <row r="33" spans="1:18" ht="18" customHeight="1">
      <c r="A33" s="337" t="s">
        <v>2128</v>
      </c>
      <c r="B33" s="319" t="s">
        <v>2153</v>
      </c>
      <c r="C33" s="14" t="str">
        <f>IF(项目基本情况!B7="自然人","——",IF(D33="按租金收入计税",ROUND(C5*F33,1),IF(D33="按房产原值计税",ROUND(C29*F33*0.7,1),'数据-取费表'!B43)))</f>
        <v>——</v>
      </c>
      <c r="D33" s="2010" t="s">
        <v>2892</v>
      </c>
      <c r="E33" s="319" t="s">
        <v>2131</v>
      </c>
      <c r="F33" s="342">
        <f>IF(D33="按票据","——",IF(D33="按租金收入计税",'数据-取费表'!E39,'数据-取费表'!E38))</f>
        <v>0.12</v>
      </c>
      <c r="G33" s="791"/>
      <c r="H33" s="1226"/>
      <c r="I33" s="363" t="s">
        <v>2209</v>
      </c>
      <c r="J33" s="364"/>
      <c r="K33" s="1227"/>
      <c r="L33" s="1226"/>
      <c r="M33" s="1226"/>
    </row>
    <row r="34" spans="1:18" ht="18" customHeight="1">
      <c r="A34" s="1380" t="s">
        <v>2134</v>
      </c>
      <c r="B34" s="80" t="s">
        <v>2158</v>
      </c>
      <c r="C34" s="15" t="str">
        <f>IF(项目基本情况!B7="自然人","——",ROUND(F34*F35,0))</f>
        <v>——</v>
      </c>
      <c r="D34" s="346" t="s">
        <v>2159</v>
      </c>
      <c r="E34" s="319" t="s">
        <v>2160</v>
      </c>
      <c r="F34" s="347">
        <f>'数据-取费表'!E40</f>
        <v>1.5</v>
      </c>
      <c r="G34" s="791"/>
      <c r="H34" s="1214"/>
      <c r="I34" s="365" t="s">
        <v>2210</v>
      </c>
      <c r="J34" s="366">
        <f ca="1">ROUND(C13*J35,0)</f>
        <v>264309</v>
      </c>
      <c r="K34" s="1228"/>
      <c r="L34" s="1229"/>
      <c r="M34" s="1229"/>
    </row>
    <row r="35" spans="1:18" ht="24.6" customHeight="1">
      <c r="A35" s="1384"/>
      <c r="B35" s="328"/>
      <c r="C35" s="19"/>
      <c r="D35" s="349"/>
      <c r="E35" s="319" t="s">
        <v>2165</v>
      </c>
      <c r="F35" s="320">
        <f>IF(D1="仅计算典型户型",'数据-取费表'!E6,'数据-取费表'!B6)</f>
        <v>0</v>
      </c>
      <c r="G35" s="791"/>
      <c r="H35" s="1214"/>
      <c r="I35" s="367" t="s">
        <v>2211</v>
      </c>
      <c r="J35" s="368">
        <f>'数据-取费表'!B17</f>
        <v>8.5000000000000006E-2</v>
      </c>
      <c r="K35" s="1227"/>
      <c r="L35" s="1226"/>
      <c r="M35" s="1226"/>
    </row>
    <row r="36" spans="1:18" ht="18" customHeight="1">
      <c r="A36" s="1383" t="s">
        <v>2112</v>
      </c>
      <c r="B36" s="319" t="s">
        <v>2212</v>
      </c>
      <c r="C36" s="14">
        <f ca="1">ROUND(C29*F36,0)</f>
        <v>51825</v>
      </c>
      <c r="D36" s="1889" t="s">
        <v>2213</v>
      </c>
      <c r="E36" s="319" t="s">
        <v>2157</v>
      </c>
      <c r="F36" s="350">
        <f>'数据-取费表'!B44</f>
        <v>1.4999999999999999E-2</v>
      </c>
      <c r="G36" s="791"/>
      <c r="H36" s="1226"/>
      <c r="I36" s="369" t="s">
        <v>2214</v>
      </c>
      <c r="J36" s="370"/>
      <c r="K36" s="1230"/>
      <c r="L36" s="1226"/>
      <c r="M36" s="1226"/>
    </row>
    <row r="37" spans="1:18" ht="18" customHeight="1">
      <c r="A37" s="337" t="s">
        <v>2161</v>
      </c>
      <c r="B37" s="319" t="s">
        <v>2172</v>
      </c>
      <c r="C37" s="14">
        <f ca="1">ROUND(C13*F37,0)</f>
        <v>4664</v>
      </c>
      <c r="D37" s="1889" t="s">
        <v>2173</v>
      </c>
      <c r="E37" s="319" t="s">
        <v>2174</v>
      </c>
      <c r="F37" s="351">
        <f>'数据-取费表'!B45</f>
        <v>1.5E-3</v>
      </c>
      <c r="G37" s="791"/>
      <c r="H37" s="1226"/>
      <c r="I37" s="216" t="s">
        <v>2215</v>
      </c>
      <c r="J37" s="371"/>
      <c r="K37" s="1230"/>
      <c r="L37" s="1226"/>
      <c r="M37" s="1226"/>
    </row>
    <row r="38" spans="1:18" ht="18" customHeight="1" thickBot="1">
      <c r="A38" s="1426" t="s">
        <v>2166</v>
      </c>
      <c r="B38" s="1427" t="s">
        <v>2155</v>
      </c>
      <c r="C38" s="1428">
        <f ca="1">ROUND(C5*F38,0)</f>
        <v>4341</v>
      </c>
      <c r="D38" s="1429" t="s">
        <v>2178</v>
      </c>
      <c r="E38" s="1427" t="s">
        <v>2174</v>
      </c>
      <c r="F38" s="1422">
        <f>'数据-取费表'!B46</f>
        <v>0.01</v>
      </c>
      <c r="G38" s="791"/>
      <c r="H38" s="1226"/>
      <c r="I38" s="365" t="s">
        <v>2216</v>
      </c>
      <c r="J38" s="220">
        <f ca="1">ROUND(J34/C39,3)</f>
        <v>0.82299999999999995</v>
      </c>
      <c r="K38" s="1231"/>
      <c r="L38" s="1226"/>
      <c r="M38" s="1226"/>
    </row>
    <row r="39" spans="1:18" ht="18" customHeight="1" thickTop="1">
      <c r="A39" s="1416" t="s">
        <v>22</v>
      </c>
      <c r="B39" s="1431" t="s">
        <v>2217</v>
      </c>
      <c r="C39" s="327">
        <f ca="1">C5-C30</f>
        <v>321218</v>
      </c>
      <c r="D39" s="1432" t="s">
        <v>2218</v>
      </c>
      <c r="E39" s="1433"/>
      <c r="F39" s="1434"/>
      <c r="G39" s="791"/>
      <c r="H39" s="1226"/>
      <c r="I39" s="365" t="s">
        <v>2219</v>
      </c>
      <c r="J39" s="220">
        <f ca="1">1-J38</f>
        <v>0.17700000000000005</v>
      </c>
      <c r="K39" s="1231"/>
      <c r="L39" s="1226"/>
      <c r="M39" s="1226"/>
    </row>
    <row r="40" spans="1:18" s="791" customFormat="1" ht="18" customHeight="1">
      <c r="A40" s="316" t="s">
        <v>23</v>
      </c>
      <c r="B40" s="317" t="s">
        <v>2220</v>
      </c>
      <c r="C40" s="318">
        <f ca="1">ROUND(C39*(1-((1+F42)/(1+F40))^F41)/(F40-F42),0)</f>
        <v>6494436</v>
      </c>
      <c r="D40" s="346" t="s">
        <v>2188</v>
      </c>
      <c r="E40" s="319" t="s">
        <v>2189</v>
      </c>
      <c r="F40" s="329">
        <f>'数据-取费表'!B16</f>
        <v>0.06</v>
      </c>
      <c r="H40" s="1232"/>
      <c r="I40" s="216" t="s">
        <v>2221</v>
      </c>
      <c r="J40" s="217"/>
      <c r="K40" s="1231"/>
      <c r="L40" s="1232"/>
      <c r="M40" s="1232"/>
      <c r="Q40" s="795"/>
    </row>
    <row r="41" spans="1:18" s="791" customFormat="1" ht="18" customHeight="1">
      <c r="A41" s="321"/>
      <c r="B41" s="322"/>
      <c r="C41" s="323"/>
      <c r="D41" s="354" t="s">
        <v>2222</v>
      </c>
      <c r="E41" s="1821" t="s">
        <v>2843</v>
      </c>
      <c r="F41" s="355">
        <f>IF('数据-取费表'!B28="租赁期内按合同租金",'数据-取费表'!B34,IF(E41="收益年期(n)",'数据-取费表'!B33,'数据-取费表'!B13))</f>
        <v>43</v>
      </c>
      <c r="H41" s="1233"/>
      <c r="I41" s="219" t="s">
        <v>2093</v>
      </c>
      <c r="J41" s="220">
        <f ca="1">ROUND(C13/C40,3)</f>
        <v>0.47899999999999998</v>
      </c>
      <c r="K41" s="1230"/>
      <c r="L41" s="1233"/>
      <c r="M41" s="1233"/>
      <c r="Q41" s="795"/>
    </row>
    <row r="42" spans="1:18" s="791" customFormat="1" ht="18" customHeight="1">
      <c r="A42" s="325"/>
      <c r="B42" s="326"/>
      <c r="C42" s="327"/>
      <c r="D42" s="349"/>
      <c r="E42" s="319" t="s">
        <v>2198</v>
      </c>
      <c r="F42" s="329">
        <f>'数据-取费表'!B31</f>
        <v>0.02</v>
      </c>
      <c r="H42" s="1233"/>
      <c r="I42" s="219" t="s">
        <v>2094</v>
      </c>
      <c r="J42" s="221">
        <f ca="1">1-J41</f>
        <v>0.52100000000000002</v>
      </c>
      <c r="K42" s="1230"/>
      <c r="L42" s="1233"/>
      <c r="M42" s="1233"/>
      <c r="Q42" s="795"/>
    </row>
    <row r="43" spans="1:18" s="791" customFormat="1" ht="18" customHeight="1" thickBot="1">
      <c r="A43" s="356" t="s">
        <v>24</v>
      </c>
      <c r="B43" s="357" t="s">
        <v>2223</v>
      </c>
      <c r="C43" s="358">
        <f ca="1">ROUND(C40/F43,0)</f>
        <v>11317</v>
      </c>
      <c r="D43" s="359" t="s">
        <v>2224</v>
      </c>
      <c r="E43" s="360" t="s">
        <v>2225</v>
      </c>
      <c r="F43" s="361">
        <f>IF(D1="仅计算典型户型",'数据-取费表'!E5,'数据-取费表'!B5)</f>
        <v>573.89</v>
      </c>
      <c r="G43" s="793"/>
      <c r="H43" s="1233"/>
      <c r="I43" s="1233"/>
      <c r="J43" s="1233"/>
      <c r="K43" s="1230"/>
      <c r="L43" s="1233"/>
      <c r="M43" s="1233"/>
      <c r="O43" s="1357" t="s">
        <v>2226</v>
      </c>
      <c r="P43" s="1358"/>
      <c r="Q43" s="1354"/>
      <c r="R43" s="1358"/>
    </row>
    <row r="44" spans="1:18" s="791" customFormat="1" ht="18" customHeight="1" thickBot="1">
      <c r="A44" s="776"/>
      <c r="B44" s="776"/>
      <c r="C44" s="790"/>
      <c r="D44" s="776"/>
      <c r="E44" s="776"/>
      <c r="F44" s="776"/>
      <c r="G44" s="793"/>
      <c r="K44" s="792"/>
      <c r="O44" s="1359" t="s">
        <v>2227</v>
      </c>
      <c r="P44" s="1360" t="s">
        <v>2228</v>
      </c>
      <c r="Q44" s="1361" t="s">
        <v>2229</v>
      </c>
      <c r="R44" s="1362" t="s">
        <v>2230</v>
      </c>
    </row>
    <row r="45" spans="1:18" s="791" customFormat="1" ht="18" customHeight="1" thickBot="1">
      <c r="A45" s="776"/>
      <c r="B45" s="776"/>
      <c r="C45" s="790"/>
      <c r="D45" s="776"/>
      <c r="E45" s="776"/>
      <c r="F45" s="776"/>
      <c r="G45" s="794"/>
      <c r="K45" s="792"/>
      <c r="O45" s="1363" t="s">
        <v>957</v>
      </c>
      <c r="P45" s="1364" t="s">
        <v>2231</v>
      </c>
      <c r="Q45" s="1365">
        <f ca="1">C40+J29</f>
        <v>6494436</v>
      </c>
      <c r="R45" s="1366" t="s">
        <v>2232</v>
      </c>
    </row>
    <row r="46" spans="1:18" s="791" customFormat="1" ht="18" customHeight="1" thickBot="1">
      <c r="A46" s="776"/>
      <c r="D46" s="776"/>
      <c r="E46" s="776"/>
      <c r="F46" s="776"/>
      <c r="K46" s="792"/>
      <c r="O46" s="1363" t="s">
        <v>958</v>
      </c>
      <c r="P46" s="1364" t="s">
        <v>2233</v>
      </c>
      <c r="Q46" s="1365" t="str">
        <f>J61</f>
        <v>0</v>
      </c>
      <c r="R46" s="1366" t="s">
        <v>2234</v>
      </c>
    </row>
    <row r="47" spans="1:18" s="791" customFormat="1" ht="21.75" thickBot="1">
      <c r="A47" s="2336" t="s">
        <v>2235</v>
      </c>
      <c r="C47" s="1299">
        <f ca="1">IF(C2="元",C69-C40,ROUND((C69-C40)/10000,0))</f>
        <v>-7359066</v>
      </c>
      <c r="D47" s="2337" t="str">
        <f>C2</f>
        <v>元</v>
      </c>
      <c r="E47" s="776"/>
      <c r="F47" s="776"/>
      <c r="I47" s="2338" t="s">
        <v>2236</v>
      </c>
      <c r="J47" s="1339"/>
      <c r="K47" s="1340"/>
      <c r="L47" s="1353" t="str">
        <f>IF(M48="住宅",0,IF(L49&gt;J52,L61,J61))</f>
        <v>0</v>
      </c>
      <c r="O47" s="1367" t="s">
        <v>959</v>
      </c>
      <c r="P47" s="1364" t="s">
        <v>2237</v>
      </c>
      <c r="Q47" s="1365">
        <f ca="1">C29</f>
        <v>3455016</v>
      </c>
      <c r="R47" s="1366" t="s">
        <v>2232</v>
      </c>
    </row>
    <row r="48" spans="1:18" s="791" customFormat="1" ht="15.75" thickBot="1">
      <c r="A48" s="312" t="s">
        <v>2238</v>
      </c>
      <c r="B48" s="313" t="s">
        <v>2239</v>
      </c>
      <c r="C48" s="313" t="s">
        <v>2240</v>
      </c>
      <c r="D48" s="313" t="s">
        <v>2241</v>
      </c>
      <c r="E48" s="1293" t="s">
        <v>2242</v>
      </c>
      <c r="F48" s="1294"/>
      <c r="I48" s="2339" t="s">
        <v>2243</v>
      </c>
      <c r="J48" s="2340" t="s">
        <v>2834</v>
      </c>
      <c r="K48" s="2341" t="s">
        <v>2244</v>
      </c>
      <c r="L48" s="1341">
        <f>'数据-取费表'!B11</f>
        <v>50</v>
      </c>
      <c r="M48" s="1354" t="str">
        <f>IF('数据-取费表'!B10="住宅","住宅","非住宅")</f>
        <v>非住宅</v>
      </c>
      <c r="O48" s="1367" t="s">
        <v>960</v>
      </c>
      <c r="P48" s="1364" t="s">
        <v>2245</v>
      </c>
      <c r="Q48" s="1368" t="e">
        <f>J59</f>
        <v>#VALUE!</v>
      </c>
      <c r="R48" s="1366"/>
    </row>
    <row r="49" spans="1:18" s="791" customFormat="1" ht="15.75" thickBot="1">
      <c r="A49" s="1453" t="s">
        <v>1030</v>
      </c>
      <c r="B49" s="317" t="s">
        <v>2246</v>
      </c>
      <c r="C49" s="1454">
        <f ca="1">C50+C54+C56</f>
        <v>0</v>
      </c>
      <c r="D49" s="1455"/>
      <c r="E49" s="101"/>
      <c r="F49" s="16"/>
      <c r="I49" s="2342" t="s">
        <v>2247</v>
      </c>
      <c r="J49" s="2343" t="s">
        <v>2835</v>
      </c>
      <c r="K49" s="2344" t="s">
        <v>2248</v>
      </c>
      <c r="L49" s="1124">
        <f>'数据-取费表'!B13</f>
        <v>43</v>
      </c>
      <c r="O49" s="1367" t="s">
        <v>961</v>
      </c>
      <c r="P49" s="1364" t="s">
        <v>2249</v>
      </c>
      <c r="Q49" s="1368">
        <f>J53</f>
        <v>0</v>
      </c>
      <c r="R49" s="1366"/>
    </row>
    <row r="50" spans="1:18" s="791" customFormat="1" ht="15.75" thickBot="1">
      <c r="A50" s="345" t="s">
        <v>2105</v>
      </c>
      <c r="B50" s="2020" t="s">
        <v>2250</v>
      </c>
      <c r="C50" s="318">
        <f>ROUND(F50*F52*F51*(1-F53),0)</f>
        <v>0</v>
      </c>
      <c r="D50" s="93" t="s">
        <v>2804</v>
      </c>
      <c r="E50" s="2345" t="s">
        <v>2251</v>
      </c>
      <c r="F50" s="1295"/>
      <c r="I50" s="2342" t="s">
        <v>2252</v>
      </c>
      <c r="J50" s="1124">
        <f>'数据-取费表'!B26</f>
        <v>2012</v>
      </c>
      <c r="K50" s="2346" t="s">
        <v>2253</v>
      </c>
      <c r="L50" s="1342"/>
      <c r="O50" s="1367" t="s">
        <v>962</v>
      </c>
      <c r="P50" s="1364" t="s">
        <v>2254</v>
      </c>
      <c r="Q50" s="1365">
        <f>J54</f>
        <v>43</v>
      </c>
      <c r="R50" s="1366" t="s">
        <v>2255</v>
      </c>
    </row>
    <row r="51" spans="1:18" s="791" customFormat="1" ht="15.75" thickBot="1">
      <c r="A51" s="321"/>
      <c r="B51" s="322"/>
      <c r="C51" s="323"/>
      <c r="D51" s="324"/>
      <c r="E51" s="339" t="s">
        <v>2108</v>
      </c>
      <c r="F51" s="1292">
        <f>F7</f>
        <v>573.89</v>
      </c>
      <c r="I51" s="2342" t="s">
        <v>2256</v>
      </c>
      <c r="J51" s="1343">
        <f>SUMPRODUCT((I64:I66=J48)*(J63:L63=J49)*(J64:L66))</f>
        <v>60</v>
      </c>
      <c r="K51" s="2346" t="s">
        <v>2257</v>
      </c>
      <c r="L51" s="1342"/>
      <c r="O51" s="1363" t="s">
        <v>963</v>
      </c>
      <c r="P51" s="1364" t="str">
        <f>IF(C2="元","收益价值(元)","收益价值(万元)")</f>
        <v>收益价值(元)</v>
      </c>
      <c r="Q51" s="1365">
        <f ca="1">ROUND(IF(C2="元",Q45+Q46,(Q45+Q46)/10000),0)</f>
        <v>6494436</v>
      </c>
      <c r="R51" s="1366" t="s">
        <v>964</v>
      </c>
    </row>
    <row r="52" spans="1:18" s="791" customFormat="1" ht="16.5" thickBot="1">
      <c r="A52" s="321"/>
      <c r="B52" s="322"/>
      <c r="C52" s="323"/>
      <c r="D52" s="324"/>
      <c r="E52" s="319" t="s">
        <v>2110</v>
      </c>
      <c r="F52" s="320">
        <f>F8</f>
        <v>365</v>
      </c>
      <c r="I52" s="2347" t="s">
        <v>2258</v>
      </c>
      <c r="J52" s="1344">
        <f>IF(J50="",J51,J50+J51-YEAR('数据-取费表'!B2))</f>
        <v>54</v>
      </c>
      <c r="K52" s="2348" t="s">
        <v>2259</v>
      </c>
      <c r="L52" s="1345">
        <f ca="1">ROUND(-PV('数据-取费表'!B15,L49,(C40-C13*J35)),0)</f>
        <v>101943775</v>
      </c>
      <c r="O52" s="1357" t="s">
        <v>2260</v>
      </c>
      <c r="P52" s="1358"/>
      <c r="Q52" s="1354"/>
      <c r="R52" s="1358"/>
    </row>
    <row r="53" spans="1:18" s="791" customFormat="1" ht="15.75" thickBot="1">
      <c r="A53" s="325"/>
      <c r="B53" s="326"/>
      <c r="C53" s="327"/>
      <c r="D53" s="328"/>
      <c r="E53" s="319" t="s">
        <v>2111</v>
      </c>
      <c r="F53" s="1352"/>
      <c r="I53" s="2349" t="s">
        <v>2261</v>
      </c>
      <c r="J53" s="1346"/>
      <c r="K53" s="2349" t="s">
        <v>2262</v>
      </c>
      <c r="L53" s="1346"/>
      <c r="O53" s="1359" t="s">
        <v>2227</v>
      </c>
      <c r="P53" s="1360" t="s">
        <v>2228</v>
      </c>
      <c r="Q53" s="1361" t="s">
        <v>2229</v>
      </c>
      <c r="R53" s="1362" t="s">
        <v>2230</v>
      </c>
    </row>
    <row r="54" spans="1:18" s="791" customFormat="1" ht="29.25" customHeight="1" thickBot="1">
      <c r="A54" s="1380" t="s">
        <v>2112</v>
      </c>
      <c r="B54" s="2330" t="s">
        <v>2113</v>
      </c>
      <c r="C54" s="1381">
        <f ca="1">ROUND(IF(F54="押一",C50/12*F11,IF(F54="押二",C50/12*2*F11,IF(F54="押三",C50/12*3*F11,C55*F11))),0)</f>
        <v>0</v>
      </c>
      <c r="D54" s="2331" t="s">
        <v>2812</v>
      </c>
      <c r="E54" s="330" t="s">
        <v>2114</v>
      </c>
      <c r="F54" s="2332"/>
      <c r="I54" s="2350" t="s">
        <v>2263</v>
      </c>
      <c r="J54" s="1347">
        <f>IF(M48="住宅",J52,IF(E1="——",MIN(J52,L49),IF(E1="在建（套用方法）",MIN(J52,L49-'数据-取费表'!B25),IF(E1="土地（套用方法）",MIN(J52,L49-'数据-取费表'!B21)))))</f>
        <v>43</v>
      </c>
      <c r="K54" s="3017" t="s">
        <v>2802</v>
      </c>
      <c r="L54" s="3018"/>
      <c r="O54" s="1363" t="s">
        <v>957</v>
      </c>
      <c r="P54" s="1364" t="s">
        <v>2231</v>
      </c>
      <c r="Q54" s="1365">
        <f ca="1">C40+J29</f>
        <v>6494436</v>
      </c>
      <c r="R54" s="1366" t="s">
        <v>2232</v>
      </c>
    </row>
    <row r="55" spans="1:18" s="791" customFormat="1" ht="20.25" thickBot="1">
      <c r="A55" s="1380"/>
      <c r="B55" s="2351" t="s">
        <v>2118</v>
      </c>
      <c r="C55" s="1414"/>
      <c r="D55" s="93"/>
      <c r="E55" s="2352"/>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3"/>
      <c r="K55" s="2353"/>
      <c r="L55" s="2353"/>
      <c r="O55" s="1363" t="s">
        <v>958</v>
      </c>
      <c r="P55" s="1364" t="s">
        <v>2264</v>
      </c>
      <c r="Q55" s="1365">
        <f>L61</f>
        <v>0</v>
      </c>
      <c r="R55" s="1366" t="s">
        <v>2265</v>
      </c>
    </row>
    <row r="56" spans="1:18" s="791" customFormat="1" ht="20.25" thickBot="1">
      <c r="A56" s="1420" t="s">
        <v>2119</v>
      </c>
      <c r="B56" s="2334" t="s">
        <v>2120</v>
      </c>
      <c r="C56" s="1421"/>
      <c r="D56" s="1437"/>
      <c r="E56" s="2354"/>
      <c r="F56" s="1497"/>
      <c r="I56" s="2355" t="s">
        <v>2266</v>
      </c>
      <c r="J56" s="1867" t="e">
        <f>ROUND(IF(J48="钢混",J58/J51,1-(1-2%)*(J51-J58)/J51),3)</f>
        <v>#VALUE!</v>
      </c>
      <c r="K56" s="2356" t="s">
        <v>2267</v>
      </c>
      <c r="L56" s="1348"/>
      <c r="O56" s="1367" t="s">
        <v>959</v>
      </c>
      <c r="P56" s="1364" t="s">
        <v>2268</v>
      </c>
      <c r="Q56" s="1365">
        <f>IF(L56="比较法",L50,IF(L56="基准地价",L51,0))</f>
        <v>0</v>
      </c>
      <c r="R56" s="1366" t="s">
        <v>2232</v>
      </c>
    </row>
    <row r="57" spans="1:18" s="791" customFormat="1" ht="44.25" thickTop="1" thickBot="1">
      <c r="A57" s="1416">
        <v>2</v>
      </c>
      <c r="B57" s="1417" t="s">
        <v>2121</v>
      </c>
      <c r="C57" s="1496">
        <f ca="1">C13</f>
        <v>3109514</v>
      </c>
      <c r="D57" s="1290"/>
      <c r="E57" s="1291"/>
      <c r="F57" s="1298"/>
      <c r="I57" s="2357" t="s">
        <v>2269</v>
      </c>
      <c r="J57" s="1351" t="s">
        <v>2824</v>
      </c>
      <c r="K57" s="2342" t="s">
        <v>2270</v>
      </c>
      <c r="L57" s="1124" t="str">
        <f>IF(L49&lt;J52,"——",L49-J52)</f>
        <v>——</v>
      </c>
      <c r="O57" s="1367" t="s">
        <v>960</v>
      </c>
      <c r="P57" s="1364" t="s">
        <v>2271</v>
      </c>
      <c r="Q57" s="1368">
        <f>L53</f>
        <v>0</v>
      </c>
      <c r="R57" s="1366"/>
    </row>
    <row r="58" spans="1:18" s="791" customFormat="1" ht="29.25" thickBot="1">
      <c r="A58" s="1297"/>
      <c r="B58" s="319" t="s">
        <v>2200</v>
      </c>
      <c r="C58" s="188">
        <f ca="1">C29</f>
        <v>3455016</v>
      </c>
      <c r="D58" s="1290"/>
      <c r="E58" s="1291"/>
      <c r="F58" s="1298"/>
      <c r="I58" s="2358" t="s">
        <v>2272</v>
      </c>
      <c r="J58" s="1350" t="str">
        <f>IF(OR(M48="住宅",J52&lt;L49,J57="是"),"——",J52-L49)</f>
        <v>——</v>
      </c>
      <c r="K58" s="2342" t="s">
        <v>2273</v>
      </c>
      <c r="L58" s="1124" t="str">
        <f>IF(L49&lt;J52,"——",IF(L56="比较法",L50,IF(L56="基准地价",L51,L52)))</f>
        <v>——</v>
      </c>
      <c r="O58" s="1367" t="s">
        <v>961</v>
      </c>
      <c r="P58" s="1364" t="s">
        <v>2274</v>
      </c>
      <c r="Q58" s="1365" t="e">
        <f>L59</f>
        <v>#DIV/0!</v>
      </c>
      <c r="R58" s="1366" t="s">
        <v>2275</v>
      </c>
    </row>
    <row r="59" spans="1:18" s="791" customFormat="1" ht="29.25" thickBot="1">
      <c r="A59" s="332" t="s">
        <v>14</v>
      </c>
      <c r="B59" s="333" t="s">
        <v>2203</v>
      </c>
      <c r="C59" s="334">
        <f ca="1">ROUND(C60+C65+C66+C67,0)</f>
        <v>56489</v>
      </c>
      <c r="D59" s="12" t="s">
        <v>2204</v>
      </c>
      <c r="E59" s="1894"/>
      <c r="F59" s="16"/>
      <c r="I59" s="2358" t="s">
        <v>2276</v>
      </c>
      <c r="J59" s="1866" t="e">
        <f>IF(J56&lt;0.4,0.4,J56)</f>
        <v>#VALUE!</v>
      </c>
      <c r="K59" s="2348" t="s">
        <v>2277</v>
      </c>
      <c r="L59" s="1124" t="e">
        <f>ROUND(POWER(1+L53,L48-L49)*(POWER(1+L53,L49)-1)/(POWER(1+L53,L48)-1),4)</f>
        <v>#DIV/0!</v>
      </c>
      <c r="O59" s="1367" t="s">
        <v>962</v>
      </c>
      <c r="P59" s="1364" t="str">
        <f>K60</f>
        <v>建筑物剩余耐用年限下的土地年期修正系数Kn</v>
      </c>
      <c r="Q59" s="1365" t="e">
        <f>L60</f>
        <v>#DIV/0!</v>
      </c>
      <c r="R59" s="1366" t="s">
        <v>2278</v>
      </c>
    </row>
    <row r="60" spans="1:18" s="791" customFormat="1" ht="29.25" thickBot="1">
      <c r="A60" s="337" t="s">
        <v>15</v>
      </c>
      <c r="B60" s="319" t="s">
        <v>2143</v>
      </c>
      <c r="C60" s="14">
        <f ca="1">ROUND(IF(项目基本情况!B7="自然人",C49*F60,C61+C62+C63),1)</f>
        <v>0</v>
      </c>
      <c r="D60" s="1884" t="s">
        <v>2205</v>
      </c>
      <c r="E60" s="1889" t="s">
        <v>2206</v>
      </c>
      <c r="F60" s="343">
        <f>IF(项目基本情况!B7="企业","",IF('数据-取费表'!B10="住宅",5%,IF(F50*F51*F52/12/(1+'数据-取费表'!F30)&gt;20000,12%,7%)))</f>
        <v>7.0000000000000007E-2</v>
      </c>
      <c r="I60" s="2358" t="s">
        <v>2279</v>
      </c>
      <c r="J60" s="1350" t="str">
        <f>IF(OR(M48="住宅",J52&lt;L49,J57="是"),"——",ROUND(C29*J59,0))</f>
        <v>——</v>
      </c>
      <c r="K60" s="234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963</v>
      </c>
      <c r="P60" s="1364" t="str">
        <f>IF(C2="元","收益价值(元)","收益价值(万元)")</f>
        <v>收益价值(元)</v>
      </c>
      <c r="Q60" s="1365">
        <f ca="1">ROUND(IF(C2="元",Q54+Q55,(Q54+Q55)/10000),0)</f>
        <v>6494436</v>
      </c>
      <c r="R60" s="1366" t="s">
        <v>964</v>
      </c>
    </row>
    <row r="61" spans="1:18" s="791" customFormat="1" ht="16.5" thickBot="1">
      <c r="A61" s="337" t="s">
        <v>16</v>
      </c>
      <c r="B61" s="319" t="s">
        <v>2207</v>
      </c>
      <c r="C61" s="14" t="str">
        <f>IF(项目基本情况!B7="自然人","——",ROUND(C49*F61/(1+'数据-取费表'!F30),0))</f>
        <v>——</v>
      </c>
      <c r="D61" s="1889" t="s">
        <v>2208</v>
      </c>
      <c r="E61" s="319" t="s">
        <v>2157</v>
      </c>
      <c r="F61" s="352">
        <f t="shared" ref="F61:F67" si="0">F32</f>
        <v>5.5000000000000007E-2</v>
      </c>
      <c r="I61" s="2359" t="s">
        <v>2280</v>
      </c>
      <c r="J61" s="1349" t="str">
        <f>IF(OR(M48="住宅",J52&lt;L49,J57="是"),"0",ROUND(J60/(1+J53)^J54,0))</f>
        <v>0</v>
      </c>
      <c r="K61" s="2360" t="s">
        <v>2281</v>
      </c>
      <c r="L61" s="1349">
        <f>IF(OR(M48="住宅",L49&lt;J52),0,ROUND(L58*(L59/L60-1),0))</f>
        <v>0</v>
      </c>
      <c r="O61" s="1357" t="s">
        <v>2282</v>
      </c>
      <c r="P61" s="1358"/>
      <c r="Q61" s="1354"/>
      <c r="R61" s="1358"/>
    </row>
    <row r="62" spans="1:18" s="791" customFormat="1" ht="15.75" thickBot="1">
      <c r="A62" s="337" t="s">
        <v>17</v>
      </c>
      <c r="B62" s="319" t="s">
        <v>2283</v>
      </c>
      <c r="C62" s="14" t="str">
        <f>IF(项目基本情况!B7="自然人","——",IF(D62="按租金收入计税",ROUND(C49*F62,1),IF(D62="按房产原值计税",ROUND(C58*F62*0.7,1),'数据-取费表'!B43)))</f>
        <v>——</v>
      </c>
      <c r="D62" s="2010" t="s">
        <v>2154</v>
      </c>
      <c r="E62" s="319" t="s">
        <v>2157</v>
      </c>
      <c r="F62" s="342">
        <f t="shared" si="0"/>
        <v>0.12</v>
      </c>
      <c r="O62" s="1359" t="s">
        <v>2227</v>
      </c>
      <c r="P62" s="1360" t="s">
        <v>2228</v>
      </c>
      <c r="Q62" s="1361" t="s">
        <v>2229</v>
      </c>
      <c r="R62" s="1362" t="s">
        <v>2230</v>
      </c>
    </row>
    <row r="63" spans="1:18" s="791" customFormat="1" ht="15.75" thickBot="1">
      <c r="A63" s="345" t="s">
        <v>18</v>
      </c>
      <c r="B63" s="80" t="s">
        <v>2284</v>
      </c>
      <c r="C63" s="15" t="str">
        <f>IF(项目基本情况!B7="自然人","——",ROUND(F63*F64,0))</f>
        <v>——</v>
      </c>
      <c r="D63" s="346" t="s">
        <v>2285</v>
      </c>
      <c r="E63" s="319" t="s">
        <v>2286</v>
      </c>
      <c r="F63" s="347">
        <f t="shared" si="0"/>
        <v>1.5</v>
      </c>
      <c r="I63" s="2361" t="s">
        <v>2287</v>
      </c>
      <c r="J63" s="1870" t="s">
        <v>2288</v>
      </c>
      <c r="K63" s="1870" t="s">
        <v>2289</v>
      </c>
      <c r="L63" s="1870" t="s">
        <v>2290</v>
      </c>
      <c r="M63" s="1869" t="s">
        <v>2291</v>
      </c>
      <c r="O63" s="1363" t="s">
        <v>957</v>
      </c>
      <c r="P63" s="1364" t="s">
        <v>2231</v>
      </c>
      <c r="Q63" s="1365">
        <f ca="1">C40+J29</f>
        <v>6494436</v>
      </c>
      <c r="R63" s="1366" t="s">
        <v>2232</v>
      </c>
    </row>
    <row r="64" spans="1:18" s="791" customFormat="1" ht="20.25" thickBot="1">
      <c r="A64" s="348"/>
      <c r="B64" s="328"/>
      <c r="C64" s="19"/>
      <c r="D64" s="349"/>
      <c r="E64" s="319" t="s">
        <v>2292</v>
      </c>
      <c r="F64" s="320">
        <f t="shared" si="0"/>
        <v>0</v>
      </c>
      <c r="I64" s="2361" t="s">
        <v>2293</v>
      </c>
      <c r="J64" s="1870">
        <v>70</v>
      </c>
      <c r="K64" s="1870">
        <v>50</v>
      </c>
      <c r="L64" s="1870">
        <v>80</v>
      </c>
      <c r="M64" s="1868">
        <v>0.02</v>
      </c>
      <c r="O64" s="1363" t="s">
        <v>958</v>
      </c>
      <c r="P64" s="1364" t="s">
        <v>2264</v>
      </c>
      <c r="Q64" s="1365">
        <f>L61</f>
        <v>0</v>
      </c>
      <c r="R64" s="1366" t="s">
        <v>2265</v>
      </c>
    </row>
    <row r="65" spans="1:18" s="791" customFormat="1" ht="23.25" thickBot="1">
      <c r="A65" s="337" t="s">
        <v>19</v>
      </c>
      <c r="B65" s="319" t="s">
        <v>2212</v>
      </c>
      <c r="C65" s="14">
        <f ca="1">ROUND(C58*F65,0)</f>
        <v>51825</v>
      </c>
      <c r="D65" s="1889" t="s">
        <v>2213</v>
      </c>
      <c r="E65" s="319" t="s">
        <v>2157</v>
      </c>
      <c r="F65" s="350">
        <f t="shared" si="0"/>
        <v>1.4999999999999999E-2</v>
      </c>
      <c r="I65" s="2361" t="s">
        <v>2294</v>
      </c>
      <c r="J65" s="1870">
        <v>50</v>
      </c>
      <c r="K65" s="1870">
        <v>35</v>
      </c>
      <c r="L65" s="1870">
        <v>60</v>
      </c>
      <c r="M65" s="1869">
        <v>0</v>
      </c>
      <c r="O65" s="1367" t="s">
        <v>959</v>
      </c>
      <c r="P65" s="1364" t="s">
        <v>2268</v>
      </c>
      <c r="Q65" s="1369">
        <f ca="1">L52</f>
        <v>101943775</v>
      </c>
      <c r="R65" s="1370" t="s">
        <v>2295</v>
      </c>
    </row>
    <row r="66" spans="1:18" s="791" customFormat="1" ht="20.25" thickBot="1">
      <c r="A66" s="337" t="s">
        <v>20</v>
      </c>
      <c r="B66" s="319" t="s">
        <v>2172</v>
      </c>
      <c r="C66" s="14">
        <f ca="1">ROUND(C57*F66,0)</f>
        <v>4664</v>
      </c>
      <c r="D66" s="1889" t="s">
        <v>2173</v>
      </c>
      <c r="E66" s="319" t="s">
        <v>2174</v>
      </c>
      <c r="F66" s="351">
        <f t="shared" si="0"/>
        <v>1.5E-3</v>
      </c>
      <c r="I66" s="2361" t="s">
        <v>2296</v>
      </c>
      <c r="J66" s="1870">
        <v>40</v>
      </c>
      <c r="K66" s="1870">
        <v>30</v>
      </c>
      <c r="L66" s="1870">
        <v>50</v>
      </c>
      <c r="M66" s="1868">
        <v>0.02</v>
      </c>
      <c r="O66" s="1367" t="s">
        <v>960</v>
      </c>
      <c r="P66" s="1371" t="s">
        <v>2297</v>
      </c>
      <c r="Q66" s="1365">
        <f ca="1">ROUND(Q67-Q68*Q69,0)</f>
        <v>56909</v>
      </c>
      <c r="R66" s="1366"/>
    </row>
    <row r="67" spans="1:18" s="791" customFormat="1" ht="15.75" thickBot="1">
      <c r="A67" s="337" t="s">
        <v>21</v>
      </c>
      <c r="B67" s="319" t="s">
        <v>2155</v>
      </c>
      <c r="C67" s="14">
        <f ca="1">ROUND(C49*F67,0)</f>
        <v>0</v>
      </c>
      <c r="D67" s="1889" t="s">
        <v>2178</v>
      </c>
      <c r="E67" s="319" t="s">
        <v>2174</v>
      </c>
      <c r="F67" s="329">
        <f t="shared" si="0"/>
        <v>0.01</v>
      </c>
      <c r="O67" s="1367" t="s">
        <v>965</v>
      </c>
      <c r="P67" s="1371" t="s">
        <v>2298</v>
      </c>
      <c r="Q67" s="1365">
        <f ca="1">C39</f>
        <v>321218</v>
      </c>
      <c r="R67" s="1366" t="s">
        <v>2232</v>
      </c>
    </row>
    <row r="68" spans="1:18" ht="15.75" thickBot="1">
      <c r="A68" s="332" t="s">
        <v>22</v>
      </c>
      <c r="B68" s="89" t="s">
        <v>2182</v>
      </c>
      <c r="C68" s="334">
        <f ca="1">C49-C59</f>
        <v>-56489</v>
      </c>
      <c r="D68" s="1884" t="s">
        <v>2183</v>
      </c>
      <c r="E68" s="1888"/>
      <c r="F68" s="353"/>
      <c r="H68" s="791"/>
      <c r="I68" s="791"/>
      <c r="J68" s="791"/>
      <c r="K68" s="791"/>
      <c r="L68" s="791"/>
      <c r="M68" s="791"/>
      <c r="O68" s="1367" t="s">
        <v>966</v>
      </c>
      <c r="P68" s="1371" t="s">
        <v>2299</v>
      </c>
      <c r="Q68" s="1365">
        <f ca="1">C13</f>
        <v>3109514</v>
      </c>
      <c r="R68" s="1366" t="s">
        <v>2232</v>
      </c>
    </row>
    <row r="69" spans="1:18" ht="15.75" thickBot="1">
      <c r="A69" s="316" t="s">
        <v>23</v>
      </c>
      <c r="B69" s="317" t="s">
        <v>2220</v>
      </c>
      <c r="C69" s="318">
        <f ca="1">ROUND(C68*(1-((1+F71)/(1+F69))^F70)/(F69-F71),0)</f>
        <v>-864630</v>
      </c>
      <c r="D69" s="346" t="s">
        <v>2188</v>
      </c>
      <c r="E69" s="319" t="s">
        <v>2189</v>
      </c>
      <c r="F69" s="329">
        <f>F40</f>
        <v>0.06</v>
      </c>
      <c r="H69" s="791"/>
      <c r="I69" s="791"/>
      <c r="J69" s="791"/>
      <c r="K69" s="791"/>
      <c r="L69" s="791"/>
      <c r="M69" s="791"/>
      <c r="O69" s="1367" t="s">
        <v>967</v>
      </c>
      <c r="P69" s="1371" t="s">
        <v>2300</v>
      </c>
      <c r="Q69" s="1368">
        <f>J35</f>
        <v>8.5000000000000006E-2</v>
      </c>
      <c r="R69" s="1366"/>
    </row>
    <row r="70" spans="1:18" ht="15.75" thickBot="1">
      <c r="A70" s="321"/>
      <c r="B70" s="322"/>
      <c r="C70" s="323"/>
      <c r="D70" s="354" t="s">
        <v>2222</v>
      </c>
      <c r="E70" s="319" t="s">
        <v>2194</v>
      </c>
      <c r="F70" s="355">
        <f>F41</f>
        <v>43</v>
      </c>
      <c r="H70" s="791"/>
      <c r="I70" s="791"/>
      <c r="J70" s="791"/>
      <c r="K70" s="791"/>
      <c r="L70" s="791"/>
      <c r="M70" s="791"/>
      <c r="O70" s="1367" t="s">
        <v>961</v>
      </c>
      <c r="P70" s="1364" t="s">
        <v>2271</v>
      </c>
      <c r="Q70" s="1368">
        <f>L53</f>
        <v>0</v>
      </c>
      <c r="R70" s="1366"/>
    </row>
    <row r="71" spans="1:18" ht="20.25" thickBot="1">
      <c r="A71" s="325"/>
      <c r="B71" s="326"/>
      <c r="C71" s="327"/>
      <c r="D71" s="349"/>
      <c r="E71" s="319" t="s">
        <v>2198</v>
      </c>
      <c r="F71" s="1352"/>
      <c r="H71" s="791"/>
      <c r="M71" s="791"/>
      <c r="O71" s="1367" t="s">
        <v>962</v>
      </c>
      <c r="P71" s="1364" t="s">
        <v>2274</v>
      </c>
      <c r="Q71" s="1365" t="e">
        <f>L59</f>
        <v>#DIV/0!</v>
      </c>
      <c r="R71" s="1366" t="s">
        <v>2275</v>
      </c>
    </row>
    <row r="72" spans="1:18" ht="15.75" thickBot="1">
      <c r="A72" s="356" t="s">
        <v>24</v>
      </c>
      <c r="B72" s="357" t="s">
        <v>2223</v>
      </c>
      <c r="C72" s="358">
        <f ca="1">ROUND(C69/F72,0)</f>
        <v>-1507</v>
      </c>
      <c r="D72" s="359" t="s">
        <v>2224</v>
      </c>
      <c r="E72" s="360" t="s">
        <v>2225</v>
      </c>
      <c r="F72" s="361">
        <f>F43</f>
        <v>573.89</v>
      </c>
      <c r="O72" s="1367" t="s">
        <v>968</v>
      </c>
      <c r="P72" s="1364" t="str">
        <f>K60</f>
        <v>建筑物剩余耐用年限下的土地年期修正系数Kn</v>
      </c>
      <c r="Q72" s="1365" t="e">
        <f>L60</f>
        <v>#DIV/0!</v>
      </c>
      <c r="R72" s="1366" t="s">
        <v>2278</v>
      </c>
    </row>
    <row r="73" spans="1:18" ht="15.75" thickBot="1">
      <c r="A73" s="791"/>
      <c r="B73" s="795"/>
      <c r="C73" s="795"/>
      <c r="D73" s="791"/>
      <c r="E73" s="791"/>
      <c r="F73" s="791"/>
      <c r="O73" s="1363" t="s">
        <v>963</v>
      </c>
      <c r="P73" s="1364" t="str">
        <f>IF(C2="元","收益价值(元)","收益价值(万元)")</f>
        <v>收益价值(元)</v>
      </c>
      <c r="Q73" s="1365">
        <f ca="1">ROUND(IF(C2="元",Q63+Q64,(Q63+Q64)/10000),0)</f>
        <v>6494436</v>
      </c>
      <c r="R73" s="1366"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6" priority="6">
      <formula>$L$49&gt;$J$52</formula>
    </cfRule>
  </conditionalFormatting>
  <conditionalFormatting sqref="I56">
    <cfRule type="expression" dxfId="115" priority="7">
      <formula>$J$52&gt;$L$49</formula>
    </cfRule>
  </conditionalFormatting>
  <conditionalFormatting sqref="I61">
    <cfRule type="expression" dxfId="114" priority="5">
      <formula>$J$52&gt;$L$49</formula>
    </cfRule>
  </conditionalFormatting>
  <conditionalFormatting sqref="K61">
    <cfRule type="expression" dxfId="113" priority="4">
      <formula>$L$49&gt;$J$52</formula>
    </cfRule>
  </conditionalFormatting>
  <conditionalFormatting sqref="C11">
    <cfRule type="expression" dxfId="112" priority="3">
      <formula>$F$10="自定义"</formula>
    </cfRule>
  </conditionalFormatting>
  <conditionalFormatting sqref="J11">
    <cfRule type="expression" dxfId="111" priority="2">
      <formula>$M$10="自定义"</formula>
    </cfRule>
  </conditionalFormatting>
  <conditionalFormatting sqref="C55">
    <cfRule type="expression" dxfId="11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19" t="s">
        <v>1024</v>
      </c>
      <c r="B1" s="3020"/>
      <c r="C1" s="3021"/>
      <c r="D1" s="3022">
        <f>SUM(I10,I15,I20,I21,I23)</f>
        <v>0</v>
      </c>
      <c r="E1" s="3022"/>
      <c r="F1" s="3022"/>
      <c r="G1" s="3022"/>
      <c r="H1" s="3022"/>
      <c r="I1" s="3023"/>
    </row>
    <row r="2" spans="1:9">
      <c r="A2" s="3024" t="s">
        <v>1025</v>
      </c>
      <c r="B2" s="3025" t="s">
        <v>974</v>
      </c>
      <c r="C2" s="3025"/>
      <c r="D2" s="1385" t="s">
        <v>975</v>
      </c>
      <c r="E2" s="1385" t="s">
        <v>976</v>
      </c>
      <c r="F2" s="1385" t="s">
        <v>977</v>
      </c>
      <c r="G2" s="1385" t="s">
        <v>978</v>
      </c>
      <c r="H2" s="1385" t="s">
        <v>979</v>
      </c>
      <c r="I2" s="1386" t="s">
        <v>980</v>
      </c>
    </row>
    <row r="3" spans="1:9">
      <c r="A3" s="3024"/>
      <c r="B3" s="3025" t="s">
        <v>981</v>
      </c>
      <c r="C3" s="3025"/>
      <c r="D3" s="1387"/>
      <c r="E3" s="1385"/>
      <c r="F3" s="1388"/>
      <c r="G3" s="1388"/>
      <c r="H3" s="1389"/>
      <c r="I3" s="1390">
        <f>ROUND(D3*E3*F3*G3*H3/10000,0)</f>
        <v>0</v>
      </c>
    </row>
    <row r="4" spans="1:9">
      <c r="A4" s="3024"/>
      <c r="B4" s="3025" t="s">
        <v>982</v>
      </c>
      <c r="C4" s="3025"/>
      <c r="D4" s="1387"/>
      <c r="E4" s="1385"/>
      <c r="F4" s="1388"/>
      <c r="G4" s="1388"/>
      <c r="H4" s="1389"/>
      <c r="I4" s="1390">
        <f t="shared" ref="I4:I9" si="0">ROUND(D4*E4*F4*G4*H4/10000,0)</f>
        <v>0</v>
      </c>
    </row>
    <row r="5" spans="1:9">
      <c r="A5" s="3024"/>
      <c r="B5" s="3025" t="s">
        <v>983</v>
      </c>
      <c r="C5" s="3025"/>
      <c r="D5" s="1387"/>
      <c r="E5" s="1385"/>
      <c r="F5" s="1388"/>
      <c r="G5" s="1388"/>
      <c r="H5" s="1389"/>
      <c r="I5" s="1390">
        <f t="shared" si="0"/>
        <v>0</v>
      </c>
    </row>
    <row r="6" spans="1:9">
      <c r="A6" s="3024"/>
      <c r="B6" s="3025" t="s">
        <v>984</v>
      </c>
      <c r="C6" s="3025"/>
      <c r="D6" s="1387"/>
      <c r="E6" s="1385"/>
      <c r="F6" s="1388"/>
      <c r="G6" s="1388"/>
      <c r="H6" s="1389"/>
      <c r="I6" s="1390">
        <f t="shared" si="0"/>
        <v>0</v>
      </c>
    </row>
    <row r="7" spans="1:9">
      <c r="A7" s="3024"/>
      <c r="B7" s="3025" t="s">
        <v>985</v>
      </c>
      <c r="C7" s="3025"/>
      <c r="D7" s="1387"/>
      <c r="E7" s="1385"/>
      <c r="F7" s="1388"/>
      <c r="G7" s="1388"/>
      <c r="H7" s="1389"/>
      <c r="I7" s="1390">
        <f t="shared" si="0"/>
        <v>0</v>
      </c>
    </row>
    <row r="8" spans="1:9">
      <c r="A8" s="3024"/>
      <c r="B8" s="3025" t="s">
        <v>986</v>
      </c>
      <c r="C8" s="3025"/>
      <c r="D8" s="1387"/>
      <c r="E8" s="1385"/>
      <c r="F8" s="1388"/>
      <c r="G8" s="1388"/>
      <c r="H8" s="1389"/>
      <c r="I8" s="1390">
        <f t="shared" si="0"/>
        <v>0</v>
      </c>
    </row>
    <row r="9" spans="1:9">
      <c r="A9" s="3024"/>
      <c r="B9" s="3025" t="s">
        <v>987</v>
      </c>
      <c r="C9" s="3025"/>
      <c r="D9" s="1387"/>
      <c r="E9" s="1385"/>
      <c r="F9" s="1388"/>
      <c r="G9" s="1388"/>
      <c r="H9" s="1389"/>
      <c r="I9" s="1390">
        <f t="shared" si="0"/>
        <v>0</v>
      </c>
    </row>
    <row r="10" spans="1:9">
      <c r="A10" s="3024"/>
      <c r="B10" s="3026" t="s">
        <v>988</v>
      </c>
      <c r="C10" s="3026"/>
      <c r="D10" s="1391">
        <v>527</v>
      </c>
      <c r="E10" s="1391" t="e">
        <f>ROUND(D1*10000/D10/H9,0)</f>
        <v>#DIV/0!</v>
      </c>
      <c r="F10" s="1392"/>
      <c r="G10" s="1392"/>
      <c r="H10" s="1393"/>
      <c r="I10" s="1394">
        <f>SUM(I3:I9)</f>
        <v>0</v>
      </c>
    </row>
    <row r="11" spans="1:9" ht="14.25">
      <c r="A11" s="3024" t="s">
        <v>1026</v>
      </c>
      <c r="B11" s="3025" t="s">
        <v>989</v>
      </c>
      <c r="C11" s="3025"/>
      <c r="D11" s="1387" t="s">
        <v>990</v>
      </c>
      <c r="E11" s="1387" t="s">
        <v>991</v>
      </c>
      <c r="F11" s="1388" t="s">
        <v>992</v>
      </c>
      <c r="G11" s="1388" t="s">
        <v>979</v>
      </c>
      <c r="H11" s="1395" t="s">
        <v>993</v>
      </c>
      <c r="I11" s="1386" t="s">
        <v>980</v>
      </c>
    </row>
    <row r="12" spans="1:9">
      <c r="A12" s="3024"/>
      <c r="B12" s="3025" t="s">
        <v>994</v>
      </c>
      <c r="C12" s="3025"/>
      <c r="D12" s="1387"/>
      <c r="E12" s="1387"/>
      <c r="F12" s="1388"/>
      <c r="G12" s="1389"/>
      <c r="H12" s="1396"/>
      <c r="I12" s="1386">
        <f>ROUND(D12*E12*F12*G12/10000,0)</f>
        <v>0</v>
      </c>
    </row>
    <row r="13" spans="1:9">
      <c r="A13" s="3024"/>
      <c r="B13" s="3025" t="s">
        <v>995</v>
      </c>
      <c r="C13" s="3025"/>
      <c r="D13" s="1387"/>
      <c r="E13" s="1387"/>
      <c r="F13" s="1388"/>
      <c r="G13" s="1389"/>
      <c r="H13" s="1396"/>
      <c r="I13" s="1386">
        <f>ROUND(D13*E13*F13*G13/10000,0)</f>
        <v>0</v>
      </c>
    </row>
    <row r="14" spans="1:9">
      <c r="A14" s="3024"/>
      <c r="B14" s="3025" t="s">
        <v>996</v>
      </c>
      <c r="C14" s="3025"/>
      <c r="D14" s="1387"/>
      <c r="E14" s="1387"/>
      <c r="F14" s="1388"/>
      <c r="G14" s="1389"/>
      <c r="H14" s="1396"/>
      <c r="I14" s="1386">
        <f>ROUND(D14*E14*F14*G14/10000,0)</f>
        <v>0</v>
      </c>
    </row>
    <row r="15" spans="1:9">
      <c r="A15" s="3024"/>
      <c r="B15" s="3026" t="s">
        <v>988</v>
      </c>
      <c r="C15" s="3026"/>
      <c r="D15" s="1391"/>
      <c r="E15" s="1391">
        <f>SUM(E12:E14)</f>
        <v>0</v>
      </c>
      <c r="F15" s="1392"/>
      <c r="G15" s="1389"/>
      <c r="H15" s="1396"/>
      <c r="I15" s="1397">
        <f>SUM(I12:I14)</f>
        <v>0</v>
      </c>
    </row>
    <row r="16" spans="1:9" ht="24">
      <c r="A16" s="3024" t="s">
        <v>1027</v>
      </c>
      <c r="B16" s="3025" t="s">
        <v>997</v>
      </c>
      <c r="C16" s="3025"/>
      <c r="D16" s="1387" t="s">
        <v>975</v>
      </c>
      <c r="E16" s="1398" t="s">
        <v>998</v>
      </c>
      <c r="F16" s="1388" t="s">
        <v>999</v>
      </c>
      <c r="G16" s="1389" t="s">
        <v>979</v>
      </c>
      <c r="H16" s="1395" t="s">
        <v>993</v>
      </c>
      <c r="I16" s="1386" t="s">
        <v>980</v>
      </c>
    </row>
    <row r="17" spans="1:9" ht="14.25">
      <c r="A17" s="3024"/>
      <c r="B17" s="3025" t="s">
        <v>1000</v>
      </c>
      <c r="C17" s="3025"/>
      <c r="D17" s="1387"/>
      <c r="E17" s="1387"/>
      <c r="F17" s="1388"/>
      <c r="G17" s="1389"/>
      <c r="H17" s="1399"/>
      <c r="I17" s="1400">
        <f>ROUND(D17*E17*F17*G17/10000,0)</f>
        <v>0</v>
      </c>
    </row>
    <row r="18" spans="1:9" ht="14.25">
      <c r="A18" s="3024"/>
      <c r="B18" s="3025" t="s">
        <v>1001</v>
      </c>
      <c r="C18" s="3025"/>
      <c r="D18" s="1387"/>
      <c r="E18" s="1387"/>
      <c r="F18" s="1388"/>
      <c r="G18" s="1389"/>
      <c r="H18" s="1399"/>
      <c r="I18" s="1400">
        <f>ROUND(D18*E18*F18*G18/10000,0)</f>
        <v>0</v>
      </c>
    </row>
    <row r="19" spans="1:9" ht="14.25">
      <c r="A19" s="3024"/>
      <c r="B19" s="3025" t="s">
        <v>1002</v>
      </c>
      <c r="C19" s="3025"/>
      <c r="D19" s="1387"/>
      <c r="E19" s="1387"/>
      <c r="F19" s="1388"/>
      <c r="G19" s="1389"/>
      <c r="H19" s="1399"/>
      <c r="I19" s="1400">
        <f>ROUND(D19*E19*F19*G19/10000,0)</f>
        <v>0</v>
      </c>
    </row>
    <row r="20" spans="1:9">
      <c r="A20" s="3024"/>
      <c r="B20" s="3026" t="s">
        <v>988</v>
      </c>
      <c r="C20" s="3026"/>
      <c r="D20" s="1391">
        <f>SUM(D17:D19)</f>
        <v>0</v>
      </c>
      <c r="E20" s="1391"/>
      <c r="F20" s="1392"/>
      <c r="G20" s="1389"/>
      <c r="H20" s="1396"/>
      <c r="I20" s="1397">
        <f>SUM(I17:I19)</f>
        <v>0</v>
      </c>
    </row>
    <row r="21" spans="1:9">
      <c r="A21" s="3024" t="s">
        <v>1028</v>
      </c>
      <c r="B21" s="3028"/>
      <c r="C21" s="3028"/>
      <c r="D21" s="3028"/>
      <c r="E21" s="3028"/>
      <c r="F21" s="3028"/>
      <c r="G21" s="3028"/>
      <c r="H21" s="1401">
        <v>0.1</v>
      </c>
      <c r="I21" s="1394">
        <f>ROUND(I10*H21,0)</f>
        <v>0</v>
      </c>
    </row>
    <row r="22" spans="1:9" ht="14.25">
      <c r="A22" s="3029" t="s">
        <v>1029</v>
      </c>
      <c r="B22" s="3030"/>
      <c r="C22" s="3031"/>
      <c r="D22" s="1402" t="s">
        <v>1003</v>
      </c>
      <c r="E22" s="1402" t="s">
        <v>1004</v>
      </c>
      <c r="F22" s="1403" t="s">
        <v>979</v>
      </c>
      <c r="G22" s="1403" t="s">
        <v>1005</v>
      </c>
      <c r="H22" s="1395" t="s">
        <v>993</v>
      </c>
      <c r="I22" s="1386" t="s">
        <v>980</v>
      </c>
    </row>
    <row r="23" spans="1:9" ht="14.25" thickBot="1">
      <c r="A23" s="3032"/>
      <c r="B23" s="3033"/>
      <c r="C23" s="3034"/>
      <c r="D23" s="1404"/>
      <c r="E23" s="1404"/>
      <c r="F23" s="1404"/>
      <c r="G23" s="1405"/>
      <c r="H23" s="1406"/>
      <c r="I23" s="1407">
        <f>ROUND(E23*D23*F23*(1-G23)/10000,0)</f>
        <v>0</v>
      </c>
    </row>
    <row r="26" spans="1:9">
      <c r="A26" s="1408" t="s">
        <v>1006</v>
      </c>
      <c r="B26" s="1408"/>
      <c r="C26" s="1408"/>
      <c r="D26" s="1408"/>
      <c r="E26" s="3035">
        <f>C27-C30-C31-C32</f>
        <v>0</v>
      </c>
      <c r="F26" s="3035"/>
      <c r="G26" s="3035"/>
      <c r="H26" s="1825" t="s">
        <v>1219</v>
      </c>
    </row>
    <row r="27" spans="1:9">
      <c r="A27" s="1409">
        <v>1</v>
      </c>
      <c r="B27" s="1410" t="s">
        <v>1007</v>
      </c>
      <c r="C27" s="1410">
        <f>C28+C29</f>
        <v>0</v>
      </c>
      <c r="D27" s="1410"/>
      <c r="E27" s="3036"/>
      <c r="F27" s="3036"/>
      <c r="G27" s="3036"/>
    </row>
    <row r="28" spans="1:9">
      <c r="A28" s="1411" t="s">
        <v>1008</v>
      </c>
      <c r="B28" s="1410" t="s">
        <v>1009</v>
      </c>
      <c r="C28" s="1410"/>
      <c r="D28" s="1410"/>
      <c r="E28" s="3036"/>
      <c r="F28" s="3036"/>
      <c r="G28" s="3036"/>
    </row>
    <row r="29" spans="1:9">
      <c r="A29" s="1411" t="s">
        <v>1010</v>
      </c>
      <c r="B29" s="1410" t="s">
        <v>1011</v>
      </c>
      <c r="C29" s="1410"/>
      <c r="D29" s="1410"/>
      <c r="E29" s="1410" t="s">
        <v>1012</v>
      </c>
      <c r="F29" s="1410"/>
      <c r="G29" s="1410"/>
    </row>
    <row r="30" spans="1:9">
      <c r="A30" s="1409">
        <v>2</v>
      </c>
      <c r="B30" s="1410" t="s">
        <v>1013</v>
      </c>
      <c r="C30" s="1410">
        <f>C27*D30</f>
        <v>0</v>
      </c>
      <c r="D30" s="1412">
        <v>0.2</v>
      </c>
      <c r="E30" s="1410" t="s">
        <v>1014</v>
      </c>
      <c r="F30" s="1410"/>
      <c r="G30" s="1410"/>
    </row>
    <row r="31" spans="1:9">
      <c r="A31" s="1409">
        <v>3</v>
      </c>
      <c r="B31" s="1410" t="s">
        <v>1015</v>
      </c>
      <c r="C31" s="1410">
        <f>C25*D31</f>
        <v>0</v>
      </c>
      <c r="D31" s="1412">
        <v>0.15</v>
      </c>
      <c r="E31" s="1410" t="s">
        <v>1016</v>
      </c>
      <c r="F31" s="1410"/>
      <c r="G31" s="1410"/>
    </row>
    <row r="32" spans="1:9">
      <c r="A32" s="1409">
        <v>4</v>
      </c>
      <c r="B32" s="1410" t="s">
        <v>1017</v>
      </c>
      <c r="C32" s="1410">
        <f>C27*D32</f>
        <v>0</v>
      </c>
      <c r="D32" s="1412">
        <v>0.05</v>
      </c>
      <c r="E32" s="3027"/>
      <c r="F32" s="3027"/>
      <c r="G32" s="3027"/>
    </row>
    <row r="33" spans="1:7" hidden="1">
      <c r="A33" s="3037" t="s">
        <v>1018</v>
      </c>
      <c r="B33" s="3038"/>
      <c r="C33" s="3038"/>
      <c r="D33" s="3039"/>
      <c r="E33" s="3035"/>
      <c r="F33" s="3035"/>
      <c r="G33" s="3035"/>
    </row>
    <row r="34" spans="1:7" hidden="1">
      <c r="A34" s="1413">
        <v>1</v>
      </c>
      <c r="B34" s="1410" t="s">
        <v>1019</v>
      </c>
      <c r="C34" s="1410"/>
      <c r="D34" s="1410"/>
      <c r="E34" s="3036"/>
      <c r="F34" s="3036"/>
      <c r="G34" s="3036"/>
    </row>
    <row r="35" spans="1:7" hidden="1">
      <c r="A35" s="1413">
        <v>2</v>
      </c>
      <c r="B35" s="1410" t="s">
        <v>1020</v>
      </c>
      <c r="C35" s="1410"/>
      <c r="D35" s="1410"/>
      <c r="E35" s="3036"/>
      <c r="F35" s="3036"/>
      <c r="G35" s="3036"/>
    </row>
    <row r="36" spans="1:7" hidden="1">
      <c r="A36" s="1413">
        <v>3</v>
      </c>
      <c r="B36" s="1410" t="s">
        <v>1021</v>
      </c>
      <c r="C36" s="1410"/>
      <c r="D36" s="1410"/>
      <c r="E36" s="3036"/>
      <c r="F36" s="3036"/>
      <c r="G36" s="3036"/>
    </row>
    <row r="37" spans="1:7" hidden="1">
      <c r="A37" s="1413">
        <v>4</v>
      </c>
      <c r="B37" s="1410" t="s">
        <v>1022</v>
      </c>
      <c r="C37" s="1410"/>
      <c r="D37" s="1410"/>
      <c r="E37" s="3036"/>
      <c r="F37" s="3036"/>
      <c r="G37" s="3036"/>
    </row>
    <row r="38" spans="1:7" hidden="1">
      <c r="A38" s="3037" t="s">
        <v>1023</v>
      </c>
      <c r="B38" s="3038"/>
      <c r="C38" s="3038"/>
      <c r="D38" s="3039"/>
      <c r="E38" s="3035"/>
      <c r="F38" s="3035"/>
      <c r="G38" s="3035"/>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31" zoomScale="90" zoomScaleNormal="90" workbookViewId="0">
      <selection activeCell="I15" sqref="I15"/>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3"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2335</v>
      </c>
      <c r="B1" s="1730" t="s">
        <v>2336</v>
      </c>
      <c r="C1" s="1722" t="s">
        <v>2830</v>
      </c>
      <c r="D1" s="2374"/>
      <c r="E1" s="2375" t="s">
        <v>2831</v>
      </c>
      <c r="F1" s="1736" t="s">
        <v>2337</v>
      </c>
      <c r="G1" s="1735"/>
      <c r="H1" s="1735"/>
      <c r="I1" s="1735"/>
      <c r="J1" s="1735"/>
      <c r="K1" s="1737"/>
      <c r="L1" s="1729"/>
      <c r="M1" s="1730"/>
      <c r="N1" s="1730"/>
      <c r="O1" s="1730"/>
      <c r="P1" s="2376"/>
      <c r="Q1" s="1731"/>
      <c r="R1" s="1731"/>
      <c r="S1" s="1731"/>
      <c r="T1" s="1731"/>
      <c r="U1" s="1731"/>
      <c r="V1" s="1731"/>
      <c r="W1" s="1731"/>
      <c r="X1" s="1731"/>
      <c r="Y1" s="1731"/>
      <c r="Z1" s="1731"/>
      <c r="AA1" s="1731"/>
      <c r="AB1" s="1731"/>
      <c r="AC1" s="1732"/>
    </row>
    <row r="2" spans="1:29" s="372" customFormat="1" ht="28.5" customHeight="1" thickTop="1">
      <c r="A2" s="1723" t="s">
        <v>2005</v>
      </c>
      <c r="B2" s="1721">
        <f>IF(D2="——",IF(C2="元",ROUND(C49*D3,0),ROUND(C49*D3/10000,0)),IF(C2="元",ROUND(C49*D3,0),ROUND(C49*D3/10000,0))-E2)</f>
        <v>16938363</v>
      </c>
      <c r="C2" s="163" t="str">
        <f>'数据-取费表'!B3</f>
        <v>元</v>
      </c>
      <c r="D2" s="2377" t="s">
        <v>1253</v>
      </c>
      <c r="E2" s="1839" t="e">
        <f ca="1">SUMIF(INDIRECT("'"&amp;G2&amp;"'"&amp;"!A:A"),"承租人权益价值",INDIRECT("'"&amp;G2&amp;"'"&amp;"!c:c"))</f>
        <v>#REF!</v>
      </c>
      <c r="F2" s="2378" t="str">
        <f>C2</f>
        <v>元</v>
      </c>
      <c r="G2" s="2379"/>
      <c r="H2" s="980"/>
      <c r="I2" s="980"/>
      <c r="J2" s="980"/>
      <c r="K2" s="2380"/>
      <c r="L2" s="2381"/>
      <c r="M2" s="2382"/>
      <c r="N2" s="2382"/>
      <c r="O2" s="2382"/>
      <c r="P2" s="2383"/>
      <c r="Q2" s="2384"/>
      <c r="R2" s="2384"/>
      <c r="S2" s="2384"/>
      <c r="T2" s="2384"/>
      <c r="U2" s="2384"/>
      <c r="V2" s="2384"/>
      <c r="W2" s="2384"/>
      <c r="X2" s="2384"/>
      <c r="Y2" s="2384"/>
      <c r="Z2" s="2384"/>
      <c r="AA2" s="2384"/>
      <c r="AB2" s="2384"/>
      <c r="AC2" s="2385"/>
    </row>
    <row r="3" spans="1:29" s="372" customFormat="1" ht="28.5" customHeight="1" thickBot="1">
      <c r="A3" s="167" t="s">
        <v>2006</v>
      </c>
      <c r="B3" s="378">
        <f>ROUND(IF(D2="——",C49,IF(C2="万元",B2*10000/D3,B2/D3)),0)</f>
        <v>29515</v>
      </c>
      <c r="C3" s="379" t="s">
        <v>2338</v>
      </c>
      <c r="D3" s="378">
        <f>IF(C1="仅计算典型户型",'数据-取费表'!E5,'数据-取费表'!B5)</f>
        <v>573.89</v>
      </c>
      <c r="E3" s="980"/>
      <c r="F3" s="2386"/>
      <c r="G3" s="980"/>
      <c r="H3" s="980"/>
      <c r="I3" s="980"/>
      <c r="J3" s="980"/>
      <c r="K3" s="2380"/>
      <c r="L3" s="2381"/>
      <c r="M3" s="2382"/>
      <c r="N3" s="2382"/>
      <c r="O3" s="2382"/>
      <c r="P3" s="2387"/>
      <c r="Q3" s="2384"/>
      <c r="R3" s="2384"/>
      <c r="S3" s="2384"/>
      <c r="T3" s="2384"/>
      <c r="U3" s="2384"/>
      <c r="V3" s="2384"/>
      <c r="W3" s="2384"/>
      <c r="X3" s="2384"/>
      <c r="Y3" s="2384"/>
      <c r="Z3" s="2384"/>
      <c r="AA3" s="2384"/>
      <c r="AB3" s="2384"/>
      <c r="AC3" s="1354"/>
    </row>
    <row r="4" spans="1:29" ht="15">
      <c r="A4" s="380" t="s">
        <v>2339</v>
      </c>
      <c r="B4" s="381"/>
      <c r="C4" s="2985" t="s">
        <v>2340</v>
      </c>
      <c r="D4" s="2986"/>
      <c r="E4" s="2987" t="s">
        <v>2341</v>
      </c>
      <c r="F4" s="2988"/>
      <c r="G4" s="2985" t="s">
        <v>2342</v>
      </c>
      <c r="H4" s="2986"/>
      <c r="I4" s="2985" t="s">
        <v>2343</v>
      </c>
      <c r="J4" s="2986"/>
      <c r="K4" s="2388" t="s">
        <v>2344</v>
      </c>
      <c r="L4" s="1239"/>
      <c r="M4" s="1240"/>
      <c r="N4" s="1240"/>
      <c r="O4" s="1240"/>
      <c r="P4" s="3040" t="s">
        <v>2345</v>
      </c>
      <c r="Q4" s="2990"/>
      <c r="R4" s="2995" t="s">
        <v>2341</v>
      </c>
      <c r="S4" s="2996"/>
      <c r="T4" s="2995" t="s">
        <v>2342</v>
      </c>
      <c r="U4" s="2996"/>
      <c r="V4" s="3001" t="s">
        <v>2343</v>
      </c>
      <c r="W4" s="3001"/>
      <c r="X4" s="1896"/>
      <c r="Y4" s="2995" t="s">
        <v>2345</v>
      </c>
      <c r="Z4" s="2996"/>
      <c r="AA4" s="2982" t="s">
        <v>2341</v>
      </c>
      <c r="AB4" s="2982" t="s">
        <v>2342</v>
      </c>
      <c r="AC4" s="2982" t="s">
        <v>2343</v>
      </c>
    </row>
    <row r="5" spans="1:29" ht="15">
      <c r="A5" s="383"/>
      <c r="B5" s="384"/>
      <c r="C5" s="3004" t="s">
        <v>2346</v>
      </c>
      <c r="D5" s="2979"/>
      <c r="E5" s="3002" t="s">
        <v>2833</v>
      </c>
      <c r="F5" s="3003"/>
      <c r="G5" s="3004" t="str">
        <f>E5</f>
        <v>云秀花园</v>
      </c>
      <c r="H5" s="2979"/>
      <c r="I5" s="3004" t="str">
        <f>E5</f>
        <v>云秀花园</v>
      </c>
      <c r="J5" s="2979"/>
      <c r="K5" s="2389"/>
      <c r="L5" s="1239"/>
      <c r="M5" s="1240"/>
      <c r="N5" s="1240"/>
      <c r="O5" s="1240"/>
      <c r="P5" s="3041"/>
      <c r="Q5" s="2992"/>
      <c r="R5" s="2997"/>
      <c r="S5" s="2998"/>
      <c r="T5" s="2997"/>
      <c r="U5" s="2998"/>
      <c r="V5" s="3001"/>
      <c r="W5" s="3001"/>
      <c r="X5" s="1896"/>
      <c r="Y5" s="2997"/>
      <c r="Z5" s="2998"/>
      <c r="AA5" s="2983"/>
      <c r="AB5" s="2983"/>
      <c r="AC5" s="2983"/>
    </row>
    <row r="6" spans="1:29" ht="15.75" thickBot="1">
      <c r="A6" s="385"/>
      <c r="B6" s="386"/>
      <c r="C6" s="2975" t="s">
        <v>2350</v>
      </c>
      <c r="D6" s="2976"/>
      <c r="E6" s="2973" t="s">
        <v>2350</v>
      </c>
      <c r="F6" s="2974"/>
      <c r="G6" s="2975" t="s">
        <v>2350</v>
      </c>
      <c r="H6" s="2976"/>
      <c r="I6" s="2975" t="s">
        <v>2350</v>
      </c>
      <c r="J6" s="2976"/>
      <c r="K6" s="2389" t="s">
        <v>2351</v>
      </c>
      <c r="L6" s="1239"/>
      <c r="M6" s="1240"/>
      <c r="N6" s="1240"/>
      <c r="O6" s="1240"/>
      <c r="P6" s="3042"/>
      <c r="Q6" s="2994"/>
      <c r="R6" s="2997"/>
      <c r="S6" s="2998"/>
      <c r="T6" s="2999"/>
      <c r="U6" s="3000"/>
      <c r="V6" s="3001"/>
      <c r="W6" s="3001"/>
      <c r="X6" s="1896"/>
      <c r="Y6" s="2999"/>
      <c r="Z6" s="3000"/>
      <c r="AA6" s="2984"/>
      <c r="AB6" s="2984"/>
      <c r="AC6" s="2984"/>
    </row>
    <row r="7" spans="1:29" s="35" customFormat="1" ht="15.75" thickBot="1">
      <c r="A7" s="387" t="s">
        <v>2352</v>
      </c>
      <c r="B7" s="388"/>
      <c r="C7" s="389">
        <f>'数据-取费表'!B2</f>
        <v>43257</v>
      </c>
      <c r="D7" s="390">
        <v>100</v>
      </c>
      <c r="E7" s="391">
        <v>43225</v>
      </c>
      <c r="F7" s="392">
        <f>SUMIF(58:58,YEAR(E7)&amp;"-"&amp;MONTH(E7),59:59)</f>
        <v>100</v>
      </c>
      <c r="G7" s="391">
        <v>43238</v>
      </c>
      <c r="H7" s="390">
        <f>SUMIF(58:58,YEAR(G7)&amp;"-"&amp;MONTH(G7),59:59)</f>
        <v>100</v>
      </c>
      <c r="I7" s="391">
        <v>43229</v>
      </c>
      <c r="J7" s="390">
        <f>SUMIF(58:58,YEAR(I7)&amp;"-"&amp;MONTH(I7),59:59)</f>
        <v>100</v>
      </c>
      <c r="K7" s="2390"/>
      <c r="L7" s="1241"/>
      <c r="M7" s="1242"/>
      <c r="N7" s="1242"/>
      <c r="O7" s="1242"/>
      <c r="P7" s="3005" t="s">
        <v>2353</v>
      </c>
      <c r="Q7" s="2980"/>
      <c r="R7" s="749" t="s">
        <v>34</v>
      </c>
      <c r="S7" s="750">
        <f t="shared" ref="S7:S15" si="0">F7</f>
        <v>100</v>
      </c>
      <c r="T7" s="749" t="s">
        <v>34</v>
      </c>
      <c r="U7" s="750">
        <f t="shared" ref="U7:U15" si="1">H7</f>
        <v>100</v>
      </c>
      <c r="V7" s="749" t="s">
        <v>34</v>
      </c>
      <c r="W7" s="750">
        <f t="shared" ref="W7:W15" si="2">J7</f>
        <v>100</v>
      </c>
      <c r="X7" s="751"/>
      <c r="Y7" s="3005" t="s">
        <v>2353</v>
      </c>
      <c r="Z7" s="2981"/>
      <c r="AA7" s="752">
        <f>D7/F7</f>
        <v>1</v>
      </c>
      <c r="AB7" s="752">
        <f>D7/H7</f>
        <v>1</v>
      </c>
      <c r="AC7" s="752">
        <f>D7/J7</f>
        <v>1</v>
      </c>
    </row>
    <row r="8" spans="1:29" s="35" customFormat="1" ht="15.75" thickBot="1">
      <c r="A8" s="387" t="s">
        <v>2354</v>
      </c>
      <c r="B8" s="388"/>
      <c r="C8" s="394" t="s">
        <v>2355</v>
      </c>
      <c r="D8" s="390">
        <v>100</v>
      </c>
      <c r="E8" s="2391" t="s">
        <v>2832</v>
      </c>
      <c r="F8" s="392">
        <f>SUMIF(61:61,E8,62:62)-SUMIF(61:61,C8,62:62)+100</f>
        <v>100</v>
      </c>
      <c r="G8" s="394" t="s">
        <v>2832</v>
      </c>
      <c r="H8" s="390">
        <f>SUMIF(61:61,G8,62:62)-SUMIF(61:61,C8,62:62)+100</f>
        <v>100</v>
      </c>
      <c r="I8" s="2391" t="s">
        <v>2832</v>
      </c>
      <c r="J8" s="390">
        <f>SUMIF(61:61,I8,62:62)-SUMIF(61:61,C8,62:62)+100</f>
        <v>100</v>
      </c>
      <c r="K8" s="2390"/>
      <c r="L8" s="1241"/>
      <c r="M8" s="1242"/>
      <c r="N8" s="1242"/>
      <c r="O8" s="1242"/>
      <c r="P8" s="3005" t="s">
        <v>2356</v>
      </c>
      <c r="Q8" s="2981"/>
      <c r="R8" s="749" t="s">
        <v>34</v>
      </c>
      <c r="S8" s="750">
        <f t="shared" si="0"/>
        <v>100</v>
      </c>
      <c r="T8" s="749" t="s">
        <v>34</v>
      </c>
      <c r="U8" s="750">
        <f t="shared" si="1"/>
        <v>100</v>
      </c>
      <c r="V8" s="749" t="s">
        <v>34</v>
      </c>
      <c r="W8" s="750">
        <f t="shared" si="2"/>
        <v>100</v>
      </c>
      <c r="X8" s="751"/>
      <c r="Y8" s="3005" t="s">
        <v>2356</v>
      </c>
      <c r="Z8" s="2981"/>
      <c r="AA8" s="752">
        <f t="shared" ref="AA8:AA46" si="3">D8/F8</f>
        <v>1</v>
      </c>
      <c r="AB8" s="752">
        <f t="shared" ref="AB8:AB46" si="4">D8/H8</f>
        <v>1</v>
      </c>
      <c r="AC8" s="752">
        <f t="shared" ref="AC8:AC46" si="5">D8/J8</f>
        <v>1</v>
      </c>
    </row>
    <row r="9" spans="1:29" s="35" customFormat="1">
      <c r="A9" s="395" t="s">
        <v>2357</v>
      </c>
      <c r="B9" s="28" t="s">
        <v>2358</v>
      </c>
      <c r="C9" s="396"/>
      <c r="D9" s="51">
        <v>100</v>
      </c>
      <c r="E9" s="397"/>
      <c r="F9" s="398">
        <f>SUMIF(63:63,E9,64:64)-SUMIF(63:63,C9,64:64)+100</f>
        <v>100</v>
      </c>
      <c r="G9" s="399"/>
      <c r="H9" s="51">
        <f>SUMIF(63:63,G9,64:64)-SUMIF(63:63,C9,64:64)+100</f>
        <v>100</v>
      </c>
      <c r="I9" s="399"/>
      <c r="J9" s="51">
        <f>SUMIF(63:63,I9,64:64)-SUMIF(63:63,C9,64:64)+100</f>
        <v>100</v>
      </c>
      <c r="K9" s="2390"/>
      <c r="L9" s="1241"/>
      <c r="M9" s="1242"/>
      <c r="N9" s="1242"/>
      <c r="O9" s="1242"/>
      <c r="P9" s="3046" t="s">
        <v>2359</v>
      </c>
      <c r="Q9" s="1883" t="str">
        <f t="shared" ref="Q9:Q15" si="6">B9</f>
        <v>用途</v>
      </c>
      <c r="R9" s="749" t="s">
        <v>25</v>
      </c>
      <c r="S9" s="750">
        <f t="shared" si="0"/>
        <v>100</v>
      </c>
      <c r="T9" s="749" t="s">
        <v>25</v>
      </c>
      <c r="U9" s="750">
        <f t="shared" si="1"/>
        <v>100</v>
      </c>
      <c r="V9" s="749" t="s">
        <v>25</v>
      </c>
      <c r="W9" s="750">
        <f t="shared" si="2"/>
        <v>100</v>
      </c>
      <c r="X9" s="751"/>
      <c r="Y9" s="2853"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406"/>
      <c r="L10" s="1244"/>
      <c r="M10" s="1245"/>
      <c r="N10" s="1245"/>
      <c r="O10" s="1245"/>
      <c r="P10" s="3046"/>
      <c r="Q10" s="1883" t="str">
        <f t="shared" si="6"/>
        <v>土地使用年限（年）</v>
      </c>
      <c r="R10" s="749" t="s">
        <v>25</v>
      </c>
      <c r="S10" s="750">
        <f t="shared" si="0"/>
        <v>100</v>
      </c>
      <c r="T10" s="749" t="s">
        <v>25</v>
      </c>
      <c r="U10" s="750">
        <f t="shared" si="1"/>
        <v>100</v>
      </c>
      <c r="V10" s="749" t="s">
        <v>25</v>
      </c>
      <c r="W10" s="750">
        <f t="shared" si="2"/>
        <v>100</v>
      </c>
      <c r="X10" s="751"/>
      <c r="Y10" s="2853"/>
      <c r="Z10" s="23" t="str">
        <f t="shared" si="7"/>
        <v>土地使用年限（年）</v>
      </c>
      <c r="AA10" s="752">
        <f t="shared" si="3"/>
        <v>1</v>
      </c>
      <c r="AB10" s="752">
        <f t="shared" si="4"/>
        <v>1</v>
      </c>
      <c r="AC10" s="752">
        <f t="shared" si="5"/>
        <v>1</v>
      </c>
    </row>
    <row r="11" spans="1:29" ht="15">
      <c r="A11" s="408"/>
      <c r="B11" s="402" t="s">
        <v>2362</v>
      </c>
      <c r="C11" s="409"/>
      <c r="D11" s="52">
        <v>100</v>
      </c>
      <c r="E11" s="410"/>
      <c r="F11" s="405">
        <f>LOOKUP(E11,68:68,69:69)-LOOKUP(C11,68:68,69:69)+100</f>
        <v>100</v>
      </c>
      <c r="G11" s="409"/>
      <c r="H11" s="52">
        <f>LOOKUP(G11,68:68,69:69)-LOOKUP(C11,68:68,69:69)+100</f>
        <v>100</v>
      </c>
      <c r="I11" s="409"/>
      <c r="J11" s="52">
        <f>LOOKUP(I11,68:68,69:69)-LOOKUP(C11,68:68,69:69)+100</f>
        <v>100</v>
      </c>
      <c r="K11" s="406"/>
      <c r="L11" s="1247"/>
      <c r="M11" s="1240"/>
      <c r="N11" s="1240"/>
      <c r="O11" s="1240"/>
      <c r="P11" s="3046"/>
      <c r="Q11" s="1883" t="str">
        <f t="shared" si="6"/>
        <v>容积率</v>
      </c>
      <c r="R11" s="749" t="s">
        <v>28</v>
      </c>
      <c r="S11" s="750">
        <f t="shared" si="0"/>
        <v>100</v>
      </c>
      <c r="T11" s="749" t="s">
        <v>28</v>
      </c>
      <c r="U11" s="750">
        <f t="shared" si="1"/>
        <v>100</v>
      </c>
      <c r="V11" s="749" t="s">
        <v>28</v>
      </c>
      <c r="W11" s="750">
        <f t="shared" si="2"/>
        <v>100</v>
      </c>
      <c r="X11" s="751"/>
      <c r="Y11" s="2853"/>
      <c r="Z11" s="23" t="str">
        <f t="shared" si="7"/>
        <v>容积率</v>
      </c>
      <c r="AA11" s="752">
        <f t="shared" si="3"/>
        <v>1</v>
      </c>
      <c r="AB11" s="752">
        <f t="shared" si="4"/>
        <v>1</v>
      </c>
      <c r="AC11" s="752">
        <f t="shared" si="5"/>
        <v>1</v>
      </c>
    </row>
    <row r="12" spans="1:29" s="35" customFormat="1" ht="15">
      <c r="A12" s="411"/>
      <c r="B12" s="2392">
        <v>111</v>
      </c>
      <c r="C12" s="412"/>
      <c r="D12" s="413">
        <v>100</v>
      </c>
      <c r="E12" s="412"/>
      <c r="F12" s="405">
        <f>SUMIF(70:70,E12,71:71)-SUMIF(70:70,C12,71:71)+100</f>
        <v>100</v>
      </c>
      <c r="G12" s="412"/>
      <c r="H12" s="52">
        <f>SUMIF(70:70,G12,71:71)-SUMIF(70:70,C12,71:71)+100</f>
        <v>100</v>
      </c>
      <c r="I12" s="412"/>
      <c r="J12" s="52">
        <f>SUMIF(70:70,I12,71:71)-SUMIF(70:70,C12,71:71)+100</f>
        <v>100</v>
      </c>
      <c r="K12" s="2393"/>
      <c r="L12" s="1241"/>
      <c r="M12" s="1242"/>
      <c r="N12" s="1242"/>
      <c r="O12" s="1242"/>
      <c r="P12" s="3046"/>
      <c r="Q12" s="1883">
        <f t="shared" si="6"/>
        <v>111</v>
      </c>
      <c r="R12" s="749" t="s">
        <v>28</v>
      </c>
      <c r="S12" s="750">
        <f t="shared" si="0"/>
        <v>100</v>
      </c>
      <c r="T12" s="749" t="s">
        <v>28</v>
      </c>
      <c r="U12" s="750">
        <f t="shared" si="1"/>
        <v>100</v>
      </c>
      <c r="V12" s="749" t="s">
        <v>28</v>
      </c>
      <c r="W12" s="750">
        <f t="shared" si="2"/>
        <v>100</v>
      </c>
      <c r="X12" s="751"/>
      <c r="Y12" s="2853"/>
      <c r="Z12" s="23">
        <f t="shared" si="7"/>
        <v>111</v>
      </c>
      <c r="AA12" s="752">
        <f>D12/F12</f>
        <v>1</v>
      </c>
      <c r="AB12" s="752">
        <f>D12/H12</f>
        <v>1</v>
      </c>
      <c r="AC12" s="752">
        <f>D12/J12</f>
        <v>1</v>
      </c>
    </row>
    <row r="13" spans="1:29" ht="15">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2393"/>
      <c r="L13" s="1249"/>
      <c r="M13" s="1240"/>
      <c r="N13" s="1240"/>
      <c r="O13" s="1240"/>
      <c r="P13" s="3046"/>
      <c r="Q13" s="1883">
        <f t="shared" si="6"/>
        <v>111</v>
      </c>
      <c r="R13" s="749" t="s">
        <v>28</v>
      </c>
      <c r="S13" s="750">
        <f t="shared" si="0"/>
        <v>100</v>
      </c>
      <c r="T13" s="749" t="s">
        <v>28</v>
      </c>
      <c r="U13" s="750">
        <f t="shared" si="1"/>
        <v>100</v>
      </c>
      <c r="V13" s="749" t="s">
        <v>28</v>
      </c>
      <c r="W13" s="750">
        <f t="shared" si="2"/>
        <v>100</v>
      </c>
      <c r="X13" s="751"/>
      <c r="Y13" s="2853"/>
      <c r="Z13" s="23">
        <f t="shared" si="7"/>
        <v>111</v>
      </c>
      <c r="AA13" s="752">
        <f t="shared" si="3"/>
        <v>1</v>
      </c>
      <c r="AB13" s="752">
        <f t="shared" si="4"/>
        <v>1</v>
      </c>
      <c r="AC13" s="752">
        <f t="shared" si="5"/>
        <v>1</v>
      </c>
    </row>
    <row r="14" spans="1:29" ht="15.75" thickBot="1">
      <c r="A14" s="416"/>
      <c r="B14" s="2394">
        <v>111</v>
      </c>
      <c r="C14" s="2395"/>
      <c r="D14" s="417">
        <v>100</v>
      </c>
      <c r="E14" s="2395"/>
      <c r="F14" s="418">
        <f>SUMIF(74:74,E14,75:75)-SUMIF(74:74,C14,75:75)+100</f>
        <v>100</v>
      </c>
      <c r="G14" s="2395"/>
      <c r="H14" s="417">
        <f>SUMIF(74:74,G14,75:75)-SUMIF(74:74,C14,75:75)+100</f>
        <v>100</v>
      </c>
      <c r="I14" s="2395"/>
      <c r="J14" s="417">
        <f>SUMIF(74:74,I14,75:75)-SUMIF(74:74,C14,75:75)+100</f>
        <v>100</v>
      </c>
      <c r="K14" s="2393"/>
      <c r="L14" s="1249"/>
      <c r="M14" s="1240"/>
      <c r="N14" s="1240"/>
      <c r="O14" s="1240"/>
      <c r="P14" s="3046"/>
      <c r="Q14" s="1883">
        <f t="shared" si="6"/>
        <v>111</v>
      </c>
      <c r="R14" s="749" t="s">
        <v>28</v>
      </c>
      <c r="S14" s="750">
        <f t="shared" si="0"/>
        <v>100</v>
      </c>
      <c r="T14" s="749" t="s">
        <v>28</v>
      </c>
      <c r="U14" s="750">
        <f t="shared" si="1"/>
        <v>100</v>
      </c>
      <c r="V14" s="749" t="s">
        <v>28</v>
      </c>
      <c r="W14" s="750">
        <f t="shared" si="2"/>
        <v>100</v>
      </c>
      <c r="X14" s="751"/>
      <c r="Y14" s="2853"/>
      <c r="Z14" s="23">
        <f t="shared" si="7"/>
        <v>111</v>
      </c>
      <c r="AA14" s="752">
        <f t="shared" si="3"/>
        <v>1</v>
      </c>
      <c r="AB14" s="752">
        <f t="shared" si="4"/>
        <v>1</v>
      </c>
      <c r="AC14" s="752">
        <f t="shared" si="5"/>
        <v>1</v>
      </c>
    </row>
    <row r="15" spans="1:29" ht="15">
      <c r="A15" s="419" t="s">
        <v>2363</v>
      </c>
      <c r="B15" s="26" t="s">
        <v>1739</v>
      </c>
      <c r="C15" s="2396" t="str">
        <f>估价对象房地状况!C3</f>
        <v>——</v>
      </c>
      <c r="D15" s="420">
        <v>100</v>
      </c>
      <c r="E15" s="421"/>
      <c r="F15" s="422">
        <f>SUMIF(76:76,E16,77:77)-SUMIF(76:76,C16,77:77)+100</f>
        <v>100</v>
      </c>
      <c r="G15" s="423"/>
      <c r="H15" s="420">
        <f>SUMIF(76:76,G16,77:77)-SUMIF(76:76,C16,77:77)+100</f>
        <v>100</v>
      </c>
      <c r="I15" s="421"/>
      <c r="J15" s="420">
        <f>SUMIF(76:76,I16,77:77)-SUMIF(76:76,C16,77:77)+100</f>
        <v>100</v>
      </c>
      <c r="K15" s="424"/>
      <c r="L15" s="1249"/>
      <c r="M15" s="1240"/>
      <c r="N15" s="1240"/>
      <c r="O15" s="1240"/>
      <c r="P15" s="3047" t="s">
        <v>2364</v>
      </c>
      <c r="Q15" s="1895" t="str">
        <f t="shared" si="6"/>
        <v>居住社区成熟度</v>
      </c>
      <c r="R15" s="753" t="s">
        <v>28</v>
      </c>
      <c r="S15" s="754">
        <f t="shared" si="0"/>
        <v>100</v>
      </c>
      <c r="T15" s="753" t="s">
        <v>28</v>
      </c>
      <c r="U15" s="754">
        <f t="shared" si="1"/>
        <v>100</v>
      </c>
      <c r="V15" s="753" t="s">
        <v>28</v>
      </c>
      <c r="W15" s="754">
        <f t="shared" si="2"/>
        <v>100</v>
      </c>
      <c r="X15" s="1896"/>
      <c r="Y15" s="3006" t="s">
        <v>2364</v>
      </c>
      <c r="Z15" s="1898" t="str">
        <f t="shared" si="7"/>
        <v>居住社区成熟度</v>
      </c>
      <c r="AA15" s="1899">
        <f t="shared" si="3"/>
        <v>1</v>
      </c>
      <c r="AB15" s="1899">
        <f t="shared" si="4"/>
        <v>1</v>
      </c>
      <c r="AC15" s="1899">
        <f t="shared" si="5"/>
        <v>1</v>
      </c>
    </row>
    <row r="16" spans="1:29" ht="15">
      <c r="A16" s="408"/>
      <c r="B16" s="425"/>
      <c r="C16" s="426"/>
      <c r="D16" s="427"/>
      <c r="E16" s="428"/>
      <c r="F16" s="429"/>
      <c r="G16" s="2397"/>
      <c r="H16" s="430"/>
      <c r="I16" s="428"/>
      <c r="J16" s="427"/>
      <c r="K16" s="2398"/>
      <c r="L16" s="1249"/>
      <c r="M16" s="1240"/>
      <c r="N16" s="1240"/>
      <c r="O16" s="1240"/>
      <c r="P16" s="3048"/>
      <c r="Q16" s="1895"/>
      <c r="R16" s="753"/>
      <c r="S16" s="754"/>
      <c r="T16" s="753"/>
      <c r="U16" s="754"/>
      <c r="V16" s="753"/>
      <c r="W16" s="754"/>
      <c r="X16" s="1896"/>
      <c r="Y16" s="3007"/>
      <c r="Z16" s="1898"/>
      <c r="AA16" s="1899">
        <v>1</v>
      </c>
      <c r="AB16" s="1899">
        <v>1</v>
      </c>
      <c r="AC16" s="1899">
        <v>1</v>
      </c>
    </row>
    <row r="17" spans="1:29" ht="114">
      <c r="A17" s="408"/>
      <c r="B17" s="431" t="s">
        <v>1748</v>
      </c>
      <c r="C17" s="2399" t="str">
        <f>估价对象房地状况!C6</f>
        <v>估价对象周边道路状况为临近金榆路、通8路、快专55路公交线路经过、停车便捷程度较好，综合评价交通便捷度一般</v>
      </c>
      <c r="D17" s="430">
        <v>100</v>
      </c>
      <c r="E17" s="432"/>
      <c r="F17" s="433">
        <f>SUMIF(78:78,E18,79:79)-SUMIF(78:78,C18,79:79)+100</f>
        <v>100</v>
      </c>
      <c r="G17" s="434"/>
      <c r="H17" s="435">
        <f>SUMIF(78:78,G18,79:79)-SUMIF(78:78,C18,79:79)+100</f>
        <v>100</v>
      </c>
      <c r="I17" s="432"/>
      <c r="J17" s="435">
        <f>SUMIF(78:78,I18,79:79)-SUMIF(78:78,C18,79:79)+100</f>
        <v>100</v>
      </c>
      <c r="K17" s="424"/>
      <c r="L17" s="1249"/>
      <c r="M17" s="1240"/>
      <c r="N17" s="1240"/>
      <c r="O17" s="1240"/>
      <c r="P17" s="3048"/>
      <c r="Q17" s="1895" t="str">
        <f>B17</f>
        <v>交通便捷度</v>
      </c>
      <c r="R17" s="753" t="s">
        <v>28</v>
      </c>
      <c r="S17" s="754">
        <f>F17</f>
        <v>100</v>
      </c>
      <c r="T17" s="753" t="s">
        <v>28</v>
      </c>
      <c r="U17" s="754">
        <f>H17</f>
        <v>100</v>
      </c>
      <c r="V17" s="753" t="s">
        <v>28</v>
      </c>
      <c r="W17" s="754">
        <f>J17</f>
        <v>100</v>
      </c>
      <c r="X17" s="1896"/>
      <c r="Y17" s="3007"/>
      <c r="Z17" s="1898" t="str">
        <f>Q17</f>
        <v>交通便捷度</v>
      </c>
      <c r="AA17" s="1899">
        <f t="shared" si="3"/>
        <v>1</v>
      </c>
      <c r="AB17" s="1899">
        <f t="shared" si="4"/>
        <v>1</v>
      </c>
      <c r="AC17" s="1899">
        <f t="shared" si="5"/>
        <v>1</v>
      </c>
    </row>
    <row r="18" spans="1:29" ht="15">
      <c r="A18" s="408"/>
      <c r="B18" s="436"/>
      <c r="C18" s="437"/>
      <c r="D18" s="430"/>
      <c r="E18" s="1464"/>
      <c r="F18" s="433"/>
      <c r="G18" s="2400"/>
      <c r="H18" s="427"/>
      <c r="I18" s="1464"/>
      <c r="J18" s="427"/>
      <c r="K18" s="2398"/>
      <c r="L18" s="1249"/>
      <c r="M18" s="1240"/>
      <c r="N18" s="1240"/>
      <c r="O18" s="1240"/>
      <c r="P18" s="3048"/>
      <c r="Q18" s="1895"/>
      <c r="R18" s="753"/>
      <c r="S18" s="754"/>
      <c r="T18" s="753"/>
      <c r="U18" s="754"/>
      <c r="V18" s="753"/>
      <c r="W18" s="754"/>
      <c r="X18" s="1896"/>
      <c r="Y18" s="3007"/>
      <c r="Z18" s="1898"/>
      <c r="AA18" s="1899">
        <v>1</v>
      </c>
      <c r="AB18" s="1899">
        <v>1</v>
      </c>
      <c r="AC18" s="1899">
        <v>1</v>
      </c>
    </row>
    <row r="19" spans="1:29" ht="42.75">
      <c r="A19" s="408"/>
      <c r="B19" s="431" t="s">
        <v>1746</v>
      </c>
      <c r="C19" s="2399" t="str">
        <f>估价对象房地状况!C7</f>
        <v>估价对象所在区域公共配套设施齐备情况一般</v>
      </c>
      <c r="D19" s="435">
        <v>100</v>
      </c>
      <c r="E19" s="438"/>
      <c r="F19" s="439">
        <f>SUMIF(80:80,E20,81:81)-SUMIF(80:80,C20,81:81)+100</f>
        <v>100</v>
      </c>
      <c r="G19" s="440"/>
      <c r="H19" s="430">
        <f>SUMIF(80:80,G20,81:81)-SUMIF(80:80,C20,81:81)+100</f>
        <v>100</v>
      </c>
      <c r="I19" s="438"/>
      <c r="J19" s="430">
        <f>SUMIF(80:80,I20,81:81)-SUMIF(80:80,C20,81:81)+100</f>
        <v>100</v>
      </c>
      <c r="K19" s="424"/>
      <c r="L19" s="1249"/>
      <c r="M19" s="1240"/>
      <c r="N19" s="1240"/>
      <c r="O19" s="1240"/>
      <c r="P19" s="3048"/>
      <c r="Q19" s="1895" t="str">
        <f>B19</f>
        <v>公共配套设施</v>
      </c>
      <c r="R19" s="753" t="s">
        <v>28</v>
      </c>
      <c r="S19" s="754">
        <f>F19</f>
        <v>100</v>
      </c>
      <c r="T19" s="753" t="s">
        <v>28</v>
      </c>
      <c r="U19" s="754">
        <f>H19</f>
        <v>100</v>
      </c>
      <c r="V19" s="753" t="s">
        <v>28</v>
      </c>
      <c r="W19" s="754">
        <f>J19</f>
        <v>100</v>
      </c>
      <c r="X19" s="1896"/>
      <c r="Y19" s="3007"/>
      <c r="Z19" s="1898" t="str">
        <f>Q19</f>
        <v>公共配套设施</v>
      </c>
      <c r="AA19" s="1899">
        <f t="shared" si="3"/>
        <v>1</v>
      </c>
      <c r="AB19" s="1899">
        <f t="shared" si="4"/>
        <v>1</v>
      </c>
      <c r="AC19" s="1899">
        <f t="shared" si="5"/>
        <v>1</v>
      </c>
    </row>
    <row r="20" spans="1:29" ht="15">
      <c r="A20" s="408"/>
      <c r="B20" s="436"/>
      <c r="C20" s="426"/>
      <c r="D20" s="427"/>
      <c r="E20" s="428"/>
      <c r="F20" s="429"/>
      <c r="G20" s="2397"/>
      <c r="H20" s="427"/>
      <c r="I20" s="428"/>
      <c r="J20" s="427"/>
      <c r="K20" s="2398"/>
      <c r="L20" s="1249"/>
      <c r="M20" s="1240"/>
      <c r="N20" s="1240"/>
      <c r="O20" s="1240"/>
      <c r="P20" s="3048"/>
      <c r="Q20" s="1895"/>
      <c r="R20" s="753"/>
      <c r="S20" s="754"/>
      <c r="T20" s="753"/>
      <c r="U20" s="754"/>
      <c r="V20" s="753"/>
      <c r="W20" s="754"/>
      <c r="X20" s="1896"/>
      <c r="Y20" s="3007"/>
      <c r="Z20" s="1898"/>
      <c r="AA20" s="1899">
        <v>1</v>
      </c>
      <c r="AB20" s="1899">
        <v>1</v>
      </c>
      <c r="AC20" s="1899">
        <v>1</v>
      </c>
    </row>
    <row r="21" spans="1:29" ht="42.75">
      <c r="A21" s="408"/>
      <c r="B21" s="2401" t="s">
        <v>1749</v>
      </c>
      <c r="C21" s="2399"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424"/>
      <c r="L21" s="1249"/>
      <c r="M21" s="1240"/>
      <c r="N21" s="1240"/>
      <c r="O21" s="1240"/>
      <c r="P21" s="3048"/>
      <c r="Q21" s="1895" t="str">
        <f>B21</f>
        <v>基础设施水平</v>
      </c>
      <c r="R21" s="753" t="s">
        <v>28</v>
      </c>
      <c r="S21" s="754">
        <f>F21</f>
        <v>100</v>
      </c>
      <c r="T21" s="753" t="s">
        <v>28</v>
      </c>
      <c r="U21" s="754">
        <f>H21</f>
        <v>100</v>
      </c>
      <c r="V21" s="753" t="s">
        <v>28</v>
      </c>
      <c r="W21" s="754">
        <f>J21</f>
        <v>100</v>
      </c>
      <c r="X21" s="1896"/>
      <c r="Y21" s="3007"/>
      <c r="Z21" s="1898" t="str">
        <f>Q21</f>
        <v>基础设施水平</v>
      </c>
      <c r="AA21" s="1899">
        <f t="shared" ref="AA21" si="8">D21/F21</f>
        <v>1</v>
      </c>
      <c r="AB21" s="1899">
        <f t="shared" ref="AB21" si="9">D21/H21</f>
        <v>1</v>
      </c>
      <c r="AC21" s="1899">
        <f t="shared" ref="AC21" si="10">D21/J21</f>
        <v>1</v>
      </c>
    </row>
    <row r="22" spans="1:29" ht="15">
      <c r="A22" s="408"/>
      <c r="B22" s="2401"/>
      <c r="C22" s="437"/>
      <c r="D22" s="427"/>
      <c r="E22" s="426"/>
      <c r="F22" s="429"/>
      <c r="G22" s="426"/>
      <c r="H22" s="427"/>
      <c r="I22" s="426"/>
      <c r="J22" s="427"/>
      <c r="K22" s="2402"/>
      <c r="L22" s="1249"/>
      <c r="M22" s="1240"/>
      <c r="N22" s="1240"/>
      <c r="O22" s="1240"/>
      <c r="P22" s="3048"/>
      <c r="Q22" s="1895"/>
      <c r="R22" s="753"/>
      <c r="S22" s="754"/>
      <c r="T22" s="753"/>
      <c r="U22" s="754"/>
      <c r="V22" s="753"/>
      <c r="W22" s="754"/>
      <c r="X22" s="1896"/>
      <c r="Y22" s="3007"/>
      <c r="Z22" s="1898"/>
      <c r="AA22" s="1899">
        <v>1</v>
      </c>
      <c r="AB22" s="1899">
        <v>1</v>
      </c>
      <c r="AC22" s="1899">
        <v>1</v>
      </c>
    </row>
    <row r="23" spans="1:29" ht="85.5">
      <c r="A23" s="408"/>
      <c r="B23" s="431" t="s">
        <v>1753</v>
      </c>
      <c r="C23" s="2399" t="str">
        <f>估价对象房地状况!C9</f>
        <v>区域2公里内有自然环境：温榆河；人文环境：北京物资学院；综合评价环境状况较好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49"/>
      <c r="M23" s="1240"/>
      <c r="N23" s="1240"/>
      <c r="O23" s="1240"/>
      <c r="P23" s="3048"/>
      <c r="Q23" s="1895" t="str">
        <f>B23</f>
        <v>自然及人文环境</v>
      </c>
      <c r="R23" s="753" t="s">
        <v>28</v>
      </c>
      <c r="S23" s="754">
        <f>F23</f>
        <v>100</v>
      </c>
      <c r="T23" s="753" t="s">
        <v>28</v>
      </c>
      <c r="U23" s="754">
        <f>H23</f>
        <v>100</v>
      </c>
      <c r="V23" s="753" t="s">
        <v>28</v>
      </c>
      <c r="W23" s="754">
        <f>J23</f>
        <v>100</v>
      </c>
      <c r="X23" s="1896"/>
      <c r="Y23" s="3007"/>
      <c r="Z23" s="1898" t="str">
        <f>Q23</f>
        <v>自然及人文环境</v>
      </c>
      <c r="AA23" s="1899">
        <f t="shared" si="3"/>
        <v>1</v>
      </c>
      <c r="AB23" s="1899">
        <f t="shared" si="4"/>
        <v>1</v>
      </c>
      <c r="AC23" s="1899">
        <f t="shared" si="5"/>
        <v>1</v>
      </c>
    </row>
    <row r="24" spans="1:29" ht="15">
      <c r="A24" s="408"/>
      <c r="B24" s="436"/>
      <c r="C24" s="426"/>
      <c r="D24" s="427"/>
      <c r="E24" s="428"/>
      <c r="F24" s="429"/>
      <c r="G24" s="2397"/>
      <c r="H24" s="427"/>
      <c r="I24" s="428"/>
      <c r="J24" s="427"/>
      <c r="K24" s="2398"/>
      <c r="L24" s="1249"/>
      <c r="M24" s="1240"/>
      <c r="N24" s="1240"/>
      <c r="O24" s="1240"/>
      <c r="P24" s="3048"/>
      <c r="Q24" s="1895"/>
      <c r="R24" s="753"/>
      <c r="S24" s="754"/>
      <c r="T24" s="753"/>
      <c r="U24" s="754"/>
      <c r="V24" s="753"/>
      <c r="W24" s="754"/>
      <c r="X24" s="1896"/>
      <c r="Y24" s="3007"/>
      <c r="Z24" s="1898"/>
      <c r="AA24" s="1899">
        <v>1</v>
      </c>
      <c r="AB24" s="1899">
        <v>1</v>
      </c>
      <c r="AC24" s="1899">
        <v>1</v>
      </c>
    </row>
    <row r="25" spans="1:29" ht="15">
      <c r="A25" s="408"/>
      <c r="B25" s="402" t="s">
        <v>2365</v>
      </c>
      <c r="C25" s="441"/>
      <c r="D25" s="415">
        <v>100</v>
      </c>
      <c r="E25" s="2403"/>
      <c r="F25" s="442">
        <f>SUMIF(86:86,E25,87:87)-SUMIF(86:86,C25,87:87)+100</f>
        <v>100</v>
      </c>
      <c r="G25" s="2404"/>
      <c r="H25" s="415">
        <f>SUMIF(86:86,G25,87:87)-SUMIF(86:86,C25,87:87)+100</f>
        <v>100</v>
      </c>
      <c r="I25" s="2403"/>
      <c r="J25" s="415">
        <f>SUMIF(86:86,I25,87:87)-SUMIF(86:86,C25,87:87)+100</f>
        <v>100</v>
      </c>
      <c r="K25" s="406"/>
      <c r="L25" s="1249"/>
      <c r="M25" s="1240"/>
      <c r="N25" s="1240"/>
      <c r="O25" s="1240"/>
      <c r="P25" s="3048"/>
      <c r="Q25" s="1895" t="str">
        <f t="shared" ref="Q25:Q46" si="11">B25</f>
        <v>楼层-1</v>
      </c>
      <c r="R25" s="753" t="s">
        <v>28</v>
      </c>
      <c r="S25" s="754">
        <f>F25</f>
        <v>100</v>
      </c>
      <c r="T25" s="753" t="s">
        <v>28</v>
      </c>
      <c r="U25" s="754">
        <f>H25</f>
        <v>100</v>
      </c>
      <c r="V25" s="753" t="s">
        <v>28</v>
      </c>
      <c r="W25" s="754">
        <f>J25</f>
        <v>100</v>
      </c>
      <c r="X25" s="1896"/>
      <c r="Y25" s="3007"/>
      <c r="Z25" s="1898" t="str">
        <f>Q25</f>
        <v>楼层-1</v>
      </c>
      <c r="AA25" s="1899">
        <f t="shared" si="3"/>
        <v>1</v>
      </c>
      <c r="AB25" s="1899">
        <f t="shared" si="4"/>
        <v>1</v>
      </c>
      <c r="AC25" s="1899">
        <f t="shared" si="5"/>
        <v>1</v>
      </c>
    </row>
    <row r="26" spans="1:29" ht="15">
      <c r="A26" s="408"/>
      <c r="B26" s="402" t="s">
        <v>2366</v>
      </c>
      <c r="C26" s="441"/>
      <c r="D26" s="415">
        <v>100</v>
      </c>
      <c r="E26" s="2403"/>
      <c r="F26" s="442">
        <f>SUMIF(88:88,E26,89:89)-SUMIF(88:88,C26,89:89)+100</f>
        <v>100</v>
      </c>
      <c r="G26" s="2404"/>
      <c r="H26" s="415">
        <f>SUMIF(88:88,G26,89:89)-SUMIF(88:88,C26,89:89)+100</f>
        <v>100</v>
      </c>
      <c r="I26" s="2403"/>
      <c r="J26" s="415">
        <f>SUMIF(88:88,I26,89:89)-SUMIF(88:88,C26,89:89)+100</f>
        <v>100</v>
      </c>
      <c r="K26" s="406"/>
      <c r="L26" s="1249"/>
      <c r="M26" s="1240"/>
      <c r="N26" s="1240"/>
      <c r="O26" s="1240"/>
      <c r="P26" s="3048"/>
      <c r="Q26" s="1895" t="str">
        <f t="shared" si="11"/>
        <v>朝向</v>
      </c>
      <c r="R26" s="753" t="s">
        <v>28</v>
      </c>
      <c r="S26" s="754">
        <f>F26</f>
        <v>100</v>
      </c>
      <c r="T26" s="753" t="s">
        <v>28</v>
      </c>
      <c r="U26" s="754">
        <f>H26</f>
        <v>100</v>
      </c>
      <c r="V26" s="753" t="s">
        <v>28</v>
      </c>
      <c r="W26" s="754">
        <f>J26</f>
        <v>100</v>
      </c>
      <c r="X26" s="1896"/>
      <c r="Y26" s="3007"/>
      <c r="Z26" s="1898" t="str">
        <f>Q26</f>
        <v>朝向</v>
      </c>
      <c r="AA26" s="1899">
        <f t="shared" si="3"/>
        <v>1</v>
      </c>
      <c r="AB26" s="1899">
        <f t="shared" si="4"/>
        <v>1</v>
      </c>
      <c r="AC26" s="1899">
        <f t="shared" si="5"/>
        <v>1</v>
      </c>
    </row>
    <row r="27" spans="1:29" s="35" customFormat="1" ht="15">
      <c r="A27" s="411"/>
      <c r="B27" s="2392" t="s">
        <v>2367</v>
      </c>
      <c r="C27" s="412"/>
      <c r="D27" s="443">
        <v>100</v>
      </c>
      <c r="E27" s="444"/>
      <c r="F27" s="445">
        <f>SUMIF(90:90,E27,91:91)-SUMIF(90:90,C27,91:91)+100</f>
        <v>100</v>
      </c>
      <c r="G27" s="446"/>
      <c r="H27" s="443">
        <f>SUMIF(90:90,G27,91:91)-SUMIF(90:90,C27,91:91)+100</f>
        <v>100</v>
      </c>
      <c r="I27" s="444"/>
      <c r="J27" s="443">
        <f>SUMIF(90:90,I27,91:91)-SUMIF(90:90,C27,91:91)+100</f>
        <v>100</v>
      </c>
      <c r="K27" s="2393"/>
      <c r="L27" s="1241"/>
      <c r="M27" s="1242"/>
      <c r="N27" s="1242"/>
      <c r="O27" s="1242"/>
      <c r="P27" s="3048"/>
      <c r="Q27" s="1883" t="str">
        <f t="shared" si="11"/>
        <v>道路级别</v>
      </c>
      <c r="R27" s="749" t="s">
        <v>28</v>
      </c>
      <c r="S27" s="750">
        <f>F27</f>
        <v>100</v>
      </c>
      <c r="T27" s="749" t="s">
        <v>28</v>
      </c>
      <c r="U27" s="750">
        <f>H27</f>
        <v>100</v>
      </c>
      <c r="V27" s="749" t="s">
        <v>28</v>
      </c>
      <c r="W27" s="750">
        <f>J27</f>
        <v>100</v>
      </c>
      <c r="X27" s="751"/>
      <c r="Y27" s="3007"/>
      <c r="Z27" s="23" t="str">
        <f>Q27</f>
        <v>道路级别</v>
      </c>
      <c r="AA27" s="1899">
        <f>D27/F27</f>
        <v>1</v>
      </c>
      <c r="AB27" s="1899">
        <f>D27/H27</f>
        <v>1</v>
      </c>
      <c r="AC27" s="1899">
        <f>D27/J27</f>
        <v>1</v>
      </c>
    </row>
    <row r="28" spans="1:29" ht="15">
      <c r="A28" s="408"/>
      <c r="B28" s="2405">
        <v>111</v>
      </c>
      <c r="C28" s="414"/>
      <c r="D28" s="415">
        <v>100</v>
      </c>
      <c r="E28" s="414"/>
      <c r="F28" s="442">
        <f>SUMIF(92:92,E28,93:93)-SUMIF(92:92,C28,93:93)+100</f>
        <v>100</v>
      </c>
      <c r="G28" s="414"/>
      <c r="H28" s="415">
        <f>SUMIF(92:92,G28,93:93)-SUMIF(92:92,C28,93:93)+100</f>
        <v>100</v>
      </c>
      <c r="I28" s="414"/>
      <c r="J28" s="415">
        <f>SUMIF(92:92,I28,93:93)-SUMIF(92:92,C28,93:93)+100</f>
        <v>100</v>
      </c>
      <c r="K28" s="2393"/>
      <c r="L28" s="1249"/>
      <c r="M28" s="1240"/>
      <c r="N28" s="1240"/>
      <c r="O28" s="1240"/>
      <c r="P28" s="3048"/>
      <c r="Q28" s="1895">
        <f t="shared" si="11"/>
        <v>111</v>
      </c>
      <c r="R28" s="753" t="s">
        <v>28</v>
      </c>
      <c r="S28" s="754">
        <f t="shared" ref="S28:S46" si="12">F28</f>
        <v>100</v>
      </c>
      <c r="T28" s="753" t="s">
        <v>28</v>
      </c>
      <c r="U28" s="754">
        <f t="shared" ref="U28:U46" si="13">H28</f>
        <v>100</v>
      </c>
      <c r="V28" s="753" t="s">
        <v>28</v>
      </c>
      <c r="W28" s="754">
        <f t="shared" ref="W28:W46" si="14">J28</f>
        <v>100</v>
      </c>
      <c r="X28" s="1896"/>
      <c r="Y28" s="3007"/>
      <c r="Z28" s="1898">
        <f t="shared" ref="Z28:Z46" si="15">Q28</f>
        <v>111</v>
      </c>
      <c r="AA28" s="1899">
        <f t="shared" si="3"/>
        <v>1</v>
      </c>
      <c r="AB28" s="1899">
        <f t="shared" si="4"/>
        <v>1</v>
      </c>
      <c r="AC28" s="1899">
        <f t="shared" si="5"/>
        <v>1</v>
      </c>
    </row>
    <row r="29" spans="1:29" ht="15">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2393"/>
      <c r="L29" s="1249"/>
      <c r="M29" s="1240"/>
      <c r="N29" s="1240"/>
      <c r="O29" s="1240"/>
      <c r="P29" s="3048"/>
      <c r="Q29" s="1895">
        <f t="shared" si="11"/>
        <v>111</v>
      </c>
      <c r="R29" s="753" t="s">
        <v>28</v>
      </c>
      <c r="S29" s="754">
        <f t="shared" si="12"/>
        <v>100</v>
      </c>
      <c r="T29" s="753" t="s">
        <v>28</v>
      </c>
      <c r="U29" s="754">
        <f t="shared" si="13"/>
        <v>100</v>
      </c>
      <c r="V29" s="753" t="s">
        <v>28</v>
      </c>
      <c r="W29" s="754">
        <f t="shared" si="14"/>
        <v>100</v>
      </c>
      <c r="X29" s="1896"/>
      <c r="Y29" s="3007"/>
      <c r="Z29" s="1898">
        <f t="shared" si="15"/>
        <v>111</v>
      </c>
      <c r="AA29" s="1899">
        <f t="shared" si="3"/>
        <v>1</v>
      </c>
      <c r="AB29" s="1899">
        <f t="shared" si="4"/>
        <v>1</v>
      </c>
      <c r="AC29" s="1899">
        <f t="shared" si="5"/>
        <v>1</v>
      </c>
    </row>
    <row r="30" spans="1:29" ht="15">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2393"/>
      <c r="L30" s="1249"/>
      <c r="M30" s="1240"/>
      <c r="N30" s="1240"/>
      <c r="O30" s="1240"/>
      <c r="P30" s="3048"/>
      <c r="Q30" s="1895">
        <f t="shared" si="11"/>
        <v>111</v>
      </c>
      <c r="R30" s="753" t="s">
        <v>28</v>
      </c>
      <c r="S30" s="754">
        <f t="shared" si="12"/>
        <v>100</v>
      </c>
      <c r="T30" s="753" t="s">
        <v>28</v>
      </c>
      <c r="U30" s="754">
        <f t="shared" si="13"/>
        <v>100</v>
      </c>
      <c r="V30" s="753" t="s">
        <v>28</v>
      </c>
      <c r="W30" s="754">
        <f t="shared" si="14"/>
        <v>100</v>
      </c>
      <c r="X30" s="1896"/>
      <c r="Y30" s="3007"/>
      <c r="Z30" s="1898">
        <f t="shared" si="15"/>
        <v>111</v>
      </c>
      <c r="AA30" s="1899">
        <f t="shared" si="3"/>
        <v>1</v>
      </c>
      <c r="AB30" s="1899">
        <f t="shared" si="4"/>
        <v>1</v>
      </c>
      <c r="AC30" s="1899">
        <f t="shared" si="5"/>
        <v>1</v>
      </c>
    </row>
    <row r="31" spans="1:29" ht="15.75" thickBot="1">
      <c r="A31" s="416"/>
      <c r="B31" s="2405">
        <v>111</v>
      </c>
      <c r="C31" s="2395"/>
      <c r="D31" s="417">
        <v>100</v>
      </c>
      <c r="E31" s="2395"/>
      <c r="F31" s="418">
        <f>SUMIF(98:98,E31,99:99)-SUMIF(98:98,C31,99:99)+100</f>
        <v>100</v>
      </c>
      <c r="G31" s="2395"/>
      <c r="H31" s="417">
        <f>SUMIF(98:98,G31,99:99)-SUMIF(98:98,C31,99:99)+100</f>
        <v>100</v>
      </c>
      <c r="I31" s="2395"/>
      <c r="J31" s="417">
        <f>SUMIF(98:98,I31,99:99)-SUMIF(98:98,C31,99:99)+100</f>
        <v>100</v>
      </c>
      <c r="K31" s="2393"/>
      <c r="L31" s="1249"/>
      <c r="M31" s="1240"/>
      <c r="N31" s="1240"/>
      <c r="O31" s="1240"/>
      <c r="P31" s="3048"/>
      <c r="Q31" s="1895">
        <f t="shared" si="11"/>
        <v>111</v>
      </c>
      <c r="R31" s="753" t="s">
        <v>28</v>
      </c>
      <c r="S31" s="754">
        <f t="shared" si="12"/>
        <v>100</v>
      </c>
      <c r="T31" s="753" t="s">
        <v>28</v>
      </c>
      <c r="U31" s="754">
        <f t="shared" si="13"/>
        <v>100</v>
      </c>
      <c r="V31" s="753" t="s">
        <v>28</v>
      </c>
      <c r="W31" s="754">
        <f t="shared" si="14"/>
        <v>100</v>
      </c>
      <c r="X31" s="1896"/>
      <c r="Y31" s="3007"/>
      <c r="Z31" s="1898">
        <f t="shared" si="15"/>
        <v>111</v>
      </c>
      <c r="AA31" s="1899">
        <f t="shared" si="3"/>
        <v>1</v>
      </c>
      <c r="AB31" s="1899">
        <f t="shared" si="4"/>
        <v>1</v>
      </c>
      <c r="AC31" s="1899">
        <f t="shared" si="5"/>
        <v>1</v>
      </c>
    </row>
    <row r="32" spans="1:29" ht="15">
      <c r="A32" s="419" t="s">
        <v>2368</v>
      </c>
      <c r="B32" s="28" t="s">
        <v>2369</v>
      </c>
      <c r="C32" s="2406"/>
      <c r="D32" s="448">
        <v>100</v>
      </c>
      <c r="E32" s="2407"/>
      <c r="F32" s="442">
        <f>SUMIF(100:100,E32,101:101)-SUMIF(100:100,C32,101:101)+100</f>
        <v>100</v>
      </c>
      <c r="G32" s="2406"/>
      <c r="H32" s="448">
        <f>SUMIF(100:100,G32,101:101)-SUMIF(100:100,C32,101:101)+100</f>
        <v>100</v>
      </c>
      <c r="I32" s="2407"/>
      <c r="J32" s="415">
        <f>SUMIF(100:100,I32,101:101)-SUMIF(100:100,C32,101:101)+100</f>
        <v>100</v>
      </c>
      <c r="K32" s="406"/>
      <c r="L32" s="1249"/>
      <c r="M32" s="1240"/>
      <c r="N32" s="1240"/>
      <c r="O32" s="1240"/>
      <c r="P32" s="3043" t="s">
        <v>2370</v>
      </c>
      <c r="Q32" s="1895" t="str">
        <f t="shared" si="11"/>
        <v>建筑类型</v>
      </c>
      <c r="R32" s="753" t="s">
        <v>28</v>
      </c>
      <c r="S32" s="754">
        <f t="shared" si="12"/>
        <v>100</v>
      </c>
      <c r="T32" s="753" t="s">
        <v>28</v>
      </c>
      <c r="U32" s="754">
        <f t="shared" si="13"/>
        <v>100</v>
      </c>
      <c r="V32" s="753" t="s">
        <v>28</v>
      </c>
      <c r="W32" s="754">
        <f t="shared" si="14"/>
        <v>100</v>
      </c>
      <c r="X32" s="1896"/>
      <c r="Y32" s="3011" t="s">
        <v>2370</v>
      </c>
      <c r="Z32" s="1898" t="str">
        <f t="shared" si="15"/>
        <v>建筑类型</v>
      </c>
      <c r="AA32" s="1899">
        <f t="shared" si="3"/>
        <v>1</v>
      </c>
      <c r="AB32" s="1899">
        <f t="shared" si="4"/>
        <v>1</v>
      </c>
      <c r="AC32" s="1899">
        <f t="shared" si="5"/>
        <v>1</v>
      </c>
    </row>
    <row r="33" spans="1:29" s="452" customFormat="1" ht="15">
      <c r="A33" s="449"/>
      <c r="B33" s="402" t="s">
        <v>2371</v>
      </c>
      <c r="C33" s="450">
        <f>'数据-取费表'!E5</f>
        <v>573.89</v>
      </c>
      <c r="D33" s="52">
        <v>100</v>
      </c>
      <c r="E33" s="410">
        <v>220</v>
      </c>
      <c r="F33" s="405">
        <f>LOOKUP(E33,103:103,104:104)-LOOKUP(C33,103:103,104:104)+100</f>
        <v>106</v>
      </c>
      <c r="G33" s="409">
        <v>240</v>
      </c>
      <c r="H33" s="52">
        <f>LOOKUP(G33,103:103,104:104)-LOOKUP(C33,103:103,104:104)+100</f>
        <v>106</v>
      </c>
      <c r="I33" s="410">
        <v>220</v>
      </c>
      <c r="J33" s="52">
        <f>LOOKUP(I33,103:103,104:104)-LOOKUP(C33,103:103,104:104)+100</f>
        <v>106</v>
      </c>
      <c r="K33" s="2393"/>
      <c r="L33" s="1247"/>
      <c r="M33" s="1250"/>
      <c r="N33" s="1250"/>
      <c r="O33" s="1250"/>
      <c r="P33" s="3044"/>
      <c r="Q33" s="755" t="str">
        <f t="shared" si="11"/>
        <v>项目建筑规模</v>
      </c>
      <c r="R33" s="756" t="s">
        <v>28</v>
      </c>
      <c r="S33" s="757">
        <f t="shared" si="12"/>
        <v>106</v>
      </c>
      <c r="T33" s="756" t="s">
        <v>28</v>
      </c>
      <c r="U33" s="757">
        <f t="shared" si="13"/>
        <v>106</v>
      </c>
      <c r="V33" s="756" t="s">
        <v>28</v>
      </c>
      <c r="W33" s="757">
        <f t="shared" si="14"/>
        <v>106</v>
      </c>
      <c r="X33" s="758"/>
      <c r="Y33" s="3011"/>
      <c r="Z33" s="759" t="str">
        <f t="shared" si="15"/>
        <v>项目建筑规模</v>
      </c>
      <c r="AA33" s="1899">
        <f t="shared" si="3"/>
        <v>0.94339622641509435</v>
      </c>
      <c r="AB33" s="1899">
        <f t="shared" si="4"/>
        <v>0.94339622641509435</v>
      </c>
      <c r="AC33" s="1899">
        <f t="shared" si="5"/>
        <v>0.94339622641509435</v>
      </c>
    </row>
    <row r="34" spans="1:29" ht="15">
      <c r="A34" s="453"/>
      <c r="B34" s="402" t="s">
        <v>2372</v>
      </c>
      <c r="C34" s="2408"/>
      <c r="D34" s="415">
        <v>100</v>
      </c>
      <c r="E34" s="2409"/>
      <c r="F34" s="442">
        <f>SUMIF(105:105,E34,106:106)-SUMIF(105:105,C34,106:106)+100</f>
        <v>100</v>
      </c>
      <c r="G34" s="2408"/>
      <c r="H34" s="415">
        <f>SUMIF(105:105,G34,106:106)-SUMIF(105:105,C34,106:106)+100</f>
        <v>100</v>
      </c>
      <c r="I34" s="2409"/>
      <c r="J34" s="415">
        <f>SUMIF(105:105,I34,106:106)-SUMIF(105:105,C34,106:106)+100</f>
        <v>100</v>
      </c>
      <c r="K34" s="406"/>
      <c r="L34" s="1249"/>
      <c r="M34" s="1240"/>
      <c r="N34" s="1240"/>
      <c r="O34" s="1240"/>
      <c r="P34" s="3044"/>
      <c r="Q34" s="1895" t="str">
        <f t="shared" si="11"/>
        <v>建筑结构</v>
      </c>
      <c r="R34" s="753" t="s">
        <v>28</v>
      </c>
      <c r="S34" s="754">
        <f t="shared" si="12"/>
        <v>100</v>
      </c>
      <c r="T34" s="753" t="s">
        <v>28</v>
      </c>
      <c r="U34" s="754">
        <f t="shared" si="13"/>
        <v>100</v>
      </c>
      <c r="V34" s="753" t="s">
        <v>28</v>
      </c>
      <c r="W34" s="754">
        <f t="shared" si="14"/>
        <v>100</v>
      </c>
      <c r="X34" s="1896"/>
      <c r="Y34" s="3011"/>
      <c r="Z34" s="1898" t="str">
        <f t="shared" si="15"/>
        <v>建筑结构</v>
      </c>
      <c r="AA34" s="1899">
        <f t="shared" si="3"/>
        <v>1</v>
      </c>
      <c r="AB34" s="1899">
        <f t="shared" si="4"/>
        <v>1</v>
      </c>
      <c r="AC34" s="1899">
        <f t="shared" si="5"/>
        <v>1</v>
      </c>
    </row>
    <row r="35" spans="1:29" ht="15">
      <c r="A35" s="453"/>
      <c r="B35" s="402" t="s">
        <v>2373</v>
      </c>
      <c r="C35" s="2404"/>
      <c r="D35" s="415">
        <v>100</v>
      </c>
      <c r="E35" s="2403"/>
      <c r="F35" s="442">
        <f>SUMIF(107:107,E35,108:108)-SUMIF(107:107,C35,108:108)+100</f>
        <v>100</v>
      </c>
      <c r="G35" s="2404"/>
      <c r="H35" s="415">
        <f>SUMIF(107:107,G35,108:108)-SUMIF(107:107,C35,108:108)+100</f>
        <v>100</v>
      </c>
      <c r="I35" s="2403"/>
      <c r="J35" s="415">
        <f>SUMIF(107:107,I35,108:108)-SUMIF(107:107,C35,108:108)+100</f>
        <v>100</v>
      </c>
      <c r="K35" s="406"/>
      <c r="L35" s="1249"/>
      <c r="M35" s="1240"/>
      <c r="N35" s="1240"/>
      <c r="O35" s="1240"/>
      <c r="P35" s="3044"/>
      <c r="Q35" s="1895" t="str">
        <f t="shared" si="11"/>
        <v>建筑品质</v>
      </c>
      <c r="R35" s="753" t="s">
        <v>28</v>
      </c>
      <c r="S35" s="754">
        <f t="shared" si="12"/>
        <v>100</v>
      </c>
      <c r="T35" s="753" t="s">
        <v>28</v>
      </c>
      <c r="U35" s="754">
        <f t="shared" si="13"/>
        <v>100</v>
      </c>
      <c r="V35" s="753" t="s">
        <v>28</v>
      </c>
      <c r="W35" s="754">
        <f t="shared" si="14"/>
        <v>100</v>
      </c>
      <c r="X35" s="1896"/>
      <c r="Y35" s="3011"/>
      <c r="Z35" s="1898" t="str">
        <f t="shared" si="15"/>
        <v>建筑品质</v>
      </c>
      <c r="AA35" s="1899">
        <f t="shared" si="3"/>
        <v>1</v>
      </c>
      <c r="AB35" s="1899">
        <f t="shared" si="4"/>
        <v>1</v>
      </c>
      <c r="AC35" s="1899">
        <f t="shared" si="5"/>
        <v>1</v>
      </c>
    </row>
    <row r="36" spans="1:29" ht="15">
      <c r="A36" s="453"/>
      <c r="B36" s="402" t="s">
        <v>2374</v>
      </c>
      <c r="C36" s="2404"/>
      <c r="D36" s="415">
        <v>100</v>
      </c>
      <c r="E36" s="2403"/>
      <c r="F36" s="442">
        <f>SUMIF(109:109,E36,110:110)-SUMIF(109:109,C36,110:110)+100</f>
        <v>100</v>
      </c>
      <c r="G36" s="2404"/>
      <c r="H36" s="415">
        <f>SUMIF(109:109,G36,110:110)-SUMIF(109:109,C36,110:110)+100</f>
        <v>100</v>
      </c>
      <c r="I36" s="2403"/>
      <c r="J36" s="415">
        <f>SUMIF(109:109,I36,110:110)-SUMIF(109:109,C36,110:110)+100</f>
        <v>100</v>
      </c>
      <c r="K36" s="406"/>
      <c r="L36" s="1249"/>
      <c r="M36" s="1240"/>
      <c r="N36" s="1240"/>
      <c r="O36" s="1240"/>
      <c r="P36" s="3044"/>
      <c r="Q36" s="1895" t="str">
        <f t="shared" si="11"/>
        <v>公共部分装修</v>
      </c>
      <c r="R36" s="753" t="s">
        <v>28</v>
      </c>
      <c r="S36" s="754">
        <f t="shared" si="12"/>
        <v>100</v>
      </c>
      <c r="T36" s="753" t="s">
        <v>28</v>
      </c>
      <c r="U36" s="754">
        <f t="shared" si="13"/>
        <v>100</v>
      </c>
      <c r="V36" s="753" t="s">
        <v>28</v>
      </c>
      <c r="W36" s="754">
        <f t="shared" si="14"/>
        <v>100</v>
      </c>
      <c r="X36" s="1896"/>
      <c r="Y36" s="3011"/>
      <c r="Z36" s="1898" t="str">
        <f t="shared" si="15"/>
        <v>公共部分装修</v>
      </c>
      <c r="AA36" s="1899">
        <f t="shared" si="3"/>
        <v>1</v>
      </c>
      <c r="AB36" s="1899">
        <f t="shared" si="4"/>
        <v>1</v>
      </c>
      <c r="AC36" s="1899">
        <f t="shared" si="5"/>
        <v>1</v>
      </c>
    </row>
    <row r="37" spans="1:29" s="35" customFormat="1" ht="15">
      <c r="A37" s="454"/>
      <c r="B37" s="402" t="s">
        <v>2375</v>
      </c>
      <c r="C37" s="455">
        <f>'数据-取费表'!E20</f>
        <v>0.9</v>
      </c>
      <c r="D37" s="52">
        <v>100</v>
      </c>
      <c r="E37" s="456">
        <f>C37</f>
        <v>0.9</v>
      </c>
      <c r="F37" s="405">
        <f>LOOKUP(E37,112:112,113:113)-LOOKUP(C37,112:112,113:113)+100</f>
        <v>100</v>
      </c>
      <c r="G37" s="457">
        <f>C37</f>
        <v>0.9</v>
      </c>
      <c r="H37" s="52">
        <f>LOOKUP(G37,112:112,113:113)-LOOKUP(C37,112:112,113:113)+100</f>
        <v>100</v>
      </c>
      <c r="I37" s="456">
        <f>C37</f>
        <v>0.9</v>
      </c>
      <c r="J37" s="52">
        <f>LOOKUP(I37,112:112,113:113)-LOOKUP(C37,112:112,113:113)+100</f>
        <v>100</v>
      </c>
      <c r="K37" s="406"/>
      <c r="L37" s="1241"/>
      <c r="M37" s="1242"/>
      <c r="N37" s="1242"/>
      <c r="O37" s="1242"/>
      <c r="P37" s="3044"/>
      <c r="Q37" s="1883" t="str">
        <f t="shared" si="11"/>
        <v>成新度</v>
      </c>
      <c r="R37" s="749" t="s">
        <v>28</v>
      </c>
      <c r="S37" s="750">
        <f t="shared" si="12"/>
        <v>100</v>
      </c>
      <c r="T37" s="749" t="s">
        <v>28</v>
      </c>
      <c r="U37" s="750">
        <f t="shared" si="13"/>
        <v>100</v>
      </c>
      <c r="V37" s="749" t="s">
        <v>28</v>
      </c>
      <c r="W37" s="750">
        <f t="shared" si="14"/>
        <v>100</v>
      </c>
      <c r="X37" s="751"/>
      <c r="Y37" s="3011"/>
      <c r="Z37" s="23" t="str">
        <f t="shared" si="15"/>
        <v>成新度</v>
      </c>
      <c r="AA37" s="752">
        <f t="shared" si="3"/>
        <v>1</v>
      </c>
      <c r="AB37" s="752">
        <f t="shared" si="4"/>
        <v>1</v>
      </c>
      <c r="AC37" s="752">
        <f t="shared" si="5"/>
        <v>1</v>
      </c>
    </row>
    <row r="38" spans="1:29" ht="15">
      <c r="A38" s="453"/>
      <c r="B38" s="402" t="s">
        <v>2376</v>
      </c>
      <c r="C38" s="2404"/>
      <c r="D38" s="415">
        <v>100</v>
      </c>
      <c r="E38" s="2403"/>
      <c r="F38" s="442">
        <f>SUMIF(114:114,E38,115:115)-SUMIF(114:114,C38,115:115)+100</f>
        <v>100</v>
      </c>
      <c r="G38" s="2404"/>
      <c r="H38" s="415">
        <f>SUMIF(114:114,G38,115:115)-SUMIF(114:114,C38,115:115)+100</f>
        <v>100</v>
      </c>
      <c r="I38" s="2403"/>
      <c r="J38" s="415">
        <f>SUMIF(114:114,I38,115:115)-SUMIF(114:114,C38,115:115)+100</f>
        <v>100</v>
      </c>
      <c r="K38" s="406"/>
      <c r="L38" s="1249"/>
      <c r="M38" s="1240"/>
      <c r="N38" s="1240"/>
      <c r="O38" s="1240"/>
      <c r="P38" s="3044" t="s">
        <v>2370</v>
      </c>
      <c r="Q38" s="1895" t="str">
        <f t="shared" si="11"/>
        <v>物业管理</v>
      </c>
      <c r="R38" s="753" t="s">
        <v>28</v>
      </c>
      <c r="S38" s="754">
        <f t="shared" si="12"/>
        <v>100</v>
      </c>
      <c r="T38" s="753" t="s">
        <v>28</v>
      </c>
      <c r="U38" s="754">
        <f t="shared" si="13"/>
        <v>100</v>
      </c>
      <c r="V38" s="753" t="s">
        <v>28</v>
      </c>
      <c r="W38" s="754">
        <f t="shared" si="14"/>
        <v>100</v>
      </c>
      <c r="X38" s="1896"/>
      <c r="Y38" s="3011" t="s">
        <v>2370</v>
      </c>
      <c r="Z38" s="1898" t="str">
        <f t="shared" si="15"/>
        <v>物业管理</v>
      </c>
      <c r="AA38" s="1899">
        <f t="shared" si="3"/>
        <v>1</v>
      </c>
      <c r="AB38" s="1899">
        <f t="shared" si="4"/>
        <v>1</v>
      </c>
      <c r="AC38" s="1899">
        <f t="shared" si="5"/>
        <v>1</v>
      </c>
    </row>
    <row r="39" spans="1:29" ht="15">
      <c r="A39" s="453"/>
      <c r="B39" s="402" t="s">
        <v>2377</v>
      </c>
      <c r="C39" s="2404"/>
      <c r="D39" s="415">
        <v>100</v>
      </c>
      <c r="E39" s="2403"/>
      <c r="F39" s="442">
        <f>SUMIF(116:116,E39,117:117)-SUMIF(116:116,C39,117:117)+100</f>
        <v>100</v>
      </c>
      <c r="G39" s="2404"/>
      <c r="H39" s="415">
        <f>SUMIF(116:116,G39,117:117)-SUMIF(116:116,C39,117:117)+100</f>
        <v>100</v>
      </c>
      <c r="I39" s="2403"/>
      <c r="J39" s="415">
        <f>SUMIF(116:116,I39,117:117)-SUMIF(116:116,C39,117:117)+100</f>
        <v>100</v>
      </c>
      <c r="K39" s="406"/>
      <c r="L39" s="1249"/>
      <c r="M39" s="1240"/>
      <c r="N39" s="1240"/>
      <c r="O39" s="1240"/>
      <c r="P39" s="3044"/>
      <c r="Q39" s="1895" t="str">
        <f t="shared" si="11"/>
        <v>市政基础设施</v>
      </c>
      <c r="R39" s="753" t="s">
        <v>28</v>
      </c>
      <c r="S39" s="754">
        <f t="shared" si="12"/>
        <v>100</v>
      </c>
      <c r="T39" s="753" t="s">
        <v>28</v>
      </c>
      <c r="U39" s="754">
        <f t="shared" si="13"/>
        <v>100</v>
      </c>
      <c r="V39" s="753" t="s">
        <v>28</v>
      </c>
      <c r="W39" s="754">
        <f t="shared" si="14"/>
        <v>100</v>
      </c>
      <c r="X39" s="1896"/>
      <c r="Y39" s="3011"/>
      <c r="Z39" s="1898" t="str">
        <f t="shared" si="15"/>
        <v>市政基础设施</v>
      </c>
      <c r="AA39" s="1899">
        <f t="shared" si="3"/>
        <v>1</v>
      </c>
      <c r="AB39" s="1899">
        <f t="shared" si="4"/>
        <v>1</v>
      </c>
      <c r="AC39" s="1899">
        <f t="shared" si="5"/>
        <v>1</v>
      </c>
    </row>
    <row r="40" spans="1:29" ht="15">
      <c r="A40" s="453"/>
      <c r="B40" s="402" t="s">
        <v>2378</v>
      </c>
      <c r="C40" s="2404"/>
      <c r="D40" s="415">
        <v>100</v>
      </c>
      <c r="E40" s="2403"/>
      <c r="F40" s="442">
        <f>SUMIF(118:118,E40,119:119)-SUMIF(118:118,C40,119:119)+100</f>
        <v>100</v>
      </c>
      <c r="G40" s="2404"/>
      <c r="H40" s="415">
        <f>SUMIF(118:118,G40,119:119)-SUMIF(118:118,C40,119:119)+100</f>
        <v>100</v>
      </c>
      <c r="I40" s="2403"/>
      <c r="J40" s="415">
        <f>SUMIF(118:118,I40,119:119)-SUMIF(118:118,C40,119:119)+100</f>
        <v>100</v>
      </c>
      <c r="K40" s="406"/>
      <c r="L40" s="1249"/>
      <c r="M40" s="1240"/>
      <c r="N40" s="1240"/>
      <c r="O40" s="1240"/>
      <c r="P40" s="3044"/>
      <c r="Q40" s="1895" t="str">
        <f t="shared" si="11"/>
        <v>房型</v>
      </c>
      <c r="R40" s="753" t="s">
        <v>28</v>
      </c>
      <c r="S40" s="754">
        <f t="shared" si="12"/>
        <v>100</v>
      </c>
      <c r="T40" s="753" t="s">
        <v>28</v>
      </c>
      <c r="U40" s="754">
        <f t="shared" si="13"/>
        <v>100</v>
      </c>
      <c r="V40" s="753" t="s">
        <v>28</v>
      </c>
      <c r="W40" s="754">
        <f t="shared" si="14"/>
        <v>100</v>
      </c>
      <c r="X40" s="1896"/>
      <c r="Y40" s="3011"/>
      <c r="Z40" s="1898" t="str">
        <f t="shared" si="15"/>
        <v>房型</v>
      </c>
      <c r="AA40" s="1899">
        <f t="shared" si="3"/>
        <v>1</v>
      </c>
      <c r="AB40" s="1899">
        <f t="shared" si="4"/>
        <v>1</v>
      </c>
      <c r="AC40" s="1899">
        <f t="shared" si="5"/>
        <v>1</v>
      </c>
    </row>
    <row r="41" spans="1:29" s="452" customFormat="1" ht="28.5">
      <c r="A41" s="449"/>
      <c r="B41" s="402" t="s">
        <v>2379</v>
      </c>
      <c r="C41" s="450"/>
      <c r="D41" s="52">
        <v>100</v>
      </c>
      <c r="E41" s="410"/>
      <c r="F41" s="405">
        <f>SUMIF(120:120,E41,121:121)-SUMIF(120:120,C41,121:121)+100</f>
        <v>100</v>
      </c>
      <c r="G41" s="409"/>
      <c r="H41" s="52">
        <f>SUMIF(120:120,G41,121:121)-SUMIF(120:120,C41,121:121)+100</f>
        <v>100</v>
      </c>
      <c r="I41" s="458"/>
      <c r="J41" s="415">
        <f>SUMIF(120:120,I41,121:121)-SUMIF(120:120,C41,121:121)+100</f>
        <v>100</v>
      </c>
      <c r="K41" s="2393"/>
      <c r="L41" s="1247"/>
      <c r="M41" s="1250"/>
      <c r="N41" s="1250"/>
      <c r="O41" s="1250"/>
      <c r="P41" s="3044"/>
      <c r="Q41" s="755" t="str">
        <f t="shared" si="11"/>
        <v>单套/主力户型建筑面积</v>
      </c>
      <c r="R41" s="756" t="s">
        <v>28</v>
      </c>
      <c r="S41" s="757">
        <f t="shared" si="12"/>
        <v>100</v>
      </c>
      <c r="T41" s="756" t="s">
        <v>28</v>
      </c>
      <c r="U41" s="757">
        <f t="shared" si="13"/>
        <v>100</v>
      </c>
      <c r="V41" s="756" t="s">
        <v>28</v>
      </c>
      <c r="W41" s="757">
        <f t="shared" si="14"/>
        <v>100</v>
      </c>
      <c r="X41" s="758"/>
      <c r="Y41" s="3011"/>
      <c r="Z41" s="759" t="str">
        <f t="shared" si="15"/>
        <v>单套/主力户型建筑面积</v>
      </c>
      <c r="AA41" s="1899">
        <f t="shared" si="3"/>
        <v>1</v>
      </c>
      <c r="AB41" s="1899">
        <f t="shared" si="4"/>
        <v>1</v>
      </c>
      <c r="AC41" s="1899">
        <f t="shared" si="5"/>
        <v>1</v>
      </c>
    </row>
    <row r="42" spans="1:29" ht="15">
      <c r="A42" s="453"/>
      <c r="B42" s="402" t="s">
        <v>2380</v>
      </c>
      <c r="C42" s="2404"/>
      <c r="D42" s="415">
        <v>100</v>
      </c>
      <c r="E42" s="2403"/>
      <c r="F42" s="442">
        <f>SUMIF(122:122,E42,123:123)-SUMIF(122:122,C42,123:123)+100</f>
        <v>100</v>
      </c>
      <c r="G42" s="2404"/>
      <c r="H42" s="415">
        <f>SUMIF(122:122,G42,123:123)-SUMIF(122:122,C42,123:123)+100</f>
        <v>100</v>
      </c>
      <c r="I42" s="2403"/>
      <c r="J42" s="415">
        <f>SUMIF(122:122,I42,123:123)-SUMIF(122:122,C42,123:123)+100</f>
        <v>100</v>
      </c>
      <c r="K42" s="406"/>
      <c r="L42" s="1249"/>
      <c r="M42" s="1240"/>
      <c r="N42" s="1240"/>
      <c r="O42" s="1240"/>
      <c r="P42" s="3044"/>
      <c r="Q42" s="1895" t="str">
        <f t="shared" si="11"/>
        <v>内部装修</v>
      </c>
      <c r="R42" s="753" t="s">
        <v>28</v>
      </c>
      <c r="S42" s="754">
        <f t="shared" si="12"/>
        <v>100</v>
      </c>
      <c r="T42" s="753" t="s">
        <v>28</v>
      </c>
      <c r="U42" s="754">
        <f t="shared" si="13"/>
        <v>100</v>
      </c>
      <c r="V42" s="753" t="s">
        <v>28</v>
      </c>
      <c r="W42" s="754">
        <f t="shared" si="14"/>
        <v>100</v>
      </c>
      <c r="X42" s="1896"/>
      <c r="Y42" s="3011"/>
      <c r="Z42" s="1898" t="str">
        <f t="shared" si="15"/>
        <v>内部装修</v>
      </c>
      <c r="AA42" s="1899">
        <f t="shared" si="3"/>
        <v>1</v>
      </c>
      <c r="AB42" s="1899">
        <f t="shared" si="4"/>
        <v>1</v>
      </c>
      <c r="AC42" s="1899">
        <f t="shared" si="5"/>
        <v>1</v>
      </c>
    </row>
    <row r="43" spans="1:29" ht="15">
      <c r="A43" s="453"/>
      <c r="B43" s="402" t="s">
        <v>2381</v>
      </c>
      <c r="C43" s="2404"/>
      <c r="D43" s="415">
        <v>100</v>
      </c>
      <c r="E43" s="2403"/>
      <c r="F43" s="442">
        <f>SUMIF(124:124,E43,125:125)-SUMIF(124:124,C43,125:125)+100</f>
        <v>100</v>
      </c>
      <c r="G43" s="2404"/>
      <c r="H43" s="415">
        <f>SUMIF(124:124,G43,125:125)-SUMIF(124:124,C43,125:125)+100</f>
        <v>100</v>
      </c>
      <c r="I43" s="2403"/>
      <c r="J43" s="415">
        <f>SUMIF(124:124,I43,125:125)-SUMIF(124:124,C43,125:125)+100</f>
        <v>100</v>
      </c>
      <c r="K43" s="406"/>
      <c r="L43" s="1249"/>
      <c r="M43" s="1240"/>
      <c r="N43" s="1240"/>
      <c r="O43" s="1240"/>
      <c r="P43" s="3044"/>
      <c r="Q43" s="1895" t="str">
        <f t="shared" si="11"/>
        <v>内部装修维护情况</v>
      </c>
      <c r="R43" s="753" t="s">
        <v>28</v>
      </c>
      <c r="S43" s="754">
        <f t="shared" si="12"/>
        <v>100</v>
      </c>
      <c r="T43" s="753" t="s">
        <v>28</v>
      </c>
      <c r="U43" s="754">
        <f t="shared" si="13"/>
        <v>100</v>
      </c>
      <c r="V43" s="753" t="s">
        <v>28</v>
      </c>
      <c r="W43" s="754">
        <f t="shared" si="14"/>
        <v>100</v>
      </c>
      <c r="X43" s="1896"/>
      <c r="Y43" s="3011"/>
      <c r="Z43" s="1898" t="str">
        <f t="shared" si="15"/>
        <v>内部装修维护情况</v>
      </c>
      <c r="AA43" s="1899">
        <f t="shared" si="3"/>
        <v>1</v>
      </c>
      <c r="AB43" s="1899">
        <f t="shared" si="4"/>
        <v>1</v>
      </c>
      <c r="AC43" s="1899">
        <f t="shared" si="5"/>
        <v>1</v>
      </c>
    </row>
    <row r="44" spans="1:29" s="35" customFormat="1" ht="15">
      <c r="A44" s="454"/>
      <c r="B44" s="2405">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3"/>
      <c r="L44" s="1241"/>
      <c r="M44" s="1242"/>
      <c r="N44" s="1242"/>
      <c r="O44" s="1242"/>
      <c r="P44" s="3044"/>
      <c r="Q44" s="1883">
        <f t="shared" si="11"/>
        <v>111</v>
      </c>
      <c r="R44" s="749" t="s">
        <v>28</v>
      </c>
      <c r="S44" s="750">
        <f t="shared" si="12"/>
        <v>100</v>
      </c>
      <c r="T44" s="749" t="s">
        <v>28</v>
      </c>
      <c r="U44" s="750">
        <f t="shared" si="13"/>
        <v>100</v>
      </c>
      <c r="V44" s="749" t="s">
        <v>28</v>
      </c>
      <c r="W44" s="750">
        <f t="shared" si="14"/>
        <v>100</v>
      </c>
      <c r="X44" s="751"/>
      <c r="Y44" s="3011"/>
      <c r="Z44" s="23">
        <f t="shared" si="15"/>
        <v>111</v>
      </c>
      <c r="AA44" s="752">
        <f t="shared" si="3"/>
        <v>1</v>
      </c>
      <c r="AB44" s="752">
        <f t="shared" si="4"/>
        <v>1</v>
      </c>
      <c r="AC44" s="752">
        <f t="shared" si="5"/>
        <v>1</v>
      </c>
    </row>
    <row r="45" spans="1:29" ht="15">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3"/>
      <c r="L45" s="1249"/>
      <c r="M45" s="1240"/>
      <c r="N45" s="1240"/>
      <c r="O45" s="1240"/>
      <c r="P45" s="3044"/>
      <c r="Q45" s="1895">
        <f t="shared" si="11"/>
        <v>111</v>
      </c>
      <c r="R45" s="753" t="s">
        <v>28</v>
      </c>
      <c r="S45" s="754">
        <f t="shared" si="12"/>
        <v>100</v>
      </c>
      <c r="T45" s="753" t="s">
        <v>28</v>
      </c>
      <c r="U45" s="754">
        <f t="shared" si="13"/>
        <v>100</v>
      </c>
      <c r="V45" s="753" t="s">
        <v>28</v>
      </c>
      <c r="W45" s="754">
        <f t="shared" si="14"/>
        <v>100</v>
      </c>
      <c r="X45" s="1896"/>
      <c r="Y45" s="3011"/>
      <c r="Z45" s="1898">
        <f t="shared" si="15"/>
        <v>111</v>
      </c>
      <c r="AA45" s="1899">
        <f t="shared" si="3"/>
        <v>1</v>
      </c>
      <c r="AB45" s="1899">
        <f t="shared" si="4"/>
        <v>1</v>
      </c>
      <c r="AC45" s="1899">
        <f t="shared" si="5"/>
        <v>1</v>
      </c>
    </row>
    <row r="46" spans="1:29" ht="15.75" thickBot="1">
      <c r="A46" s="459"/>
      <c r="B46" s="2394">
        <v>111</v>
      </c>
      <c r="C46" s="2395"/>
      <c r="D46" s="417">
        <v>100</v>
      </c>
      <c r="E46" s="2395"/>
      <c r="F46" s="418">
        <f>SUMIF(130:130,E46,131:131)-SUMIF(130:130,C46,131:131)+100</f>
        <v>100</v>
      </c>
      <c r="G46" s="2395"/>
      <c r="H46" s="417">
        <f>SUMIF(130:130,G46,131:131)-SUMIF(130:130,C46,131:131)+100</f>
        <v>100</v>
      </c>
      <c r="I46" s="2395"/>
      <c r="J46" s="417">
        <f>SUMIF(130:130,I46,131:131)-SUMIF(130:130,C46,131:131)+100</f>
        <v>100</v>
      </c>
      <c r="K46" s="2393"/>
      <c r="L46" s="1249"/>
      <c r="M46" s="1240"/>
      <c r="N46" s="1240"/>
      <c r="O46" s="1240"/>
      <c r="P46" s="3045"/>
      <c r="Q46" s="1895">
        <f t="shared" si="11"/>
        <v>111</v>
      </c>
      <c r="R46" s="753" t="s">
        <v>27</v>
      </c>
      <c r="S46" s="754">
        <f t="shared" si="12"/>
        <v>100</v>
      </c>
      <c r="T46" s="753" t="s">
        <v>27</v>
      </c>
      <c r="U46" s="754">
        <f t="shared" si="13"/>
        <v>100</v>
      </c>
      <c r="V46" s="753" t="s">
        <v>27</v>
      </c>
      <c r="W46" s="754">
        <f t="shared" si="14"/>
        <v>100</v>
      </c>
      <c r="X46" s="1896"/>
      <c r="Y46" s="3012"/>
      <c r="Z46" s="1898">
        <f t="shared" si="15"/>
        <v>111</v>
      </c>
      <c r="AA46" s="1899">
        <f t="shared" si="3"/>
        <v>1</v>
      </c>
      <c r="AB46" s="1899">
        <f t="shared" si="4"/>
        <v>1</v>
      </c>
      <c r="AC46" s="1899">
        <f t="shared" si="5"/>
        <v>1</v>
      </c>
    </row>
    <row r="47" spans="1:29" ht="15">
      <c r="A47" s="460" t="s">
        <v>2382</v>
      </c>
      <c r="B47" s="461"/>
      <c r="C47" s="1498" t="s">
        <v>26</v>
      </c>
      <c r="D47" s="1499"/>
      <c r="E47" s="1500">
        <f>ROUND(31818*J56,0)</f>
        <v>28636</v>
      </c>
      <c r="F47" s="1501"/>
      <c r="G47" s="1502">
        <f>ROUND(36559*J56,0)</f>
        <v>32903</v>
      </c>
      <c r="H47" s="1503"/>
      <c r="I47" s="1500">
        <f>ROUND(35909*J56,0)</f>
        <v>32318</v>
      </c>
      <c r="J47" s="1503"/>
      <c r="K47" s="2410"/>
      <c r="L47" s="1252"/>
      <c r="M47" s="1253"/>
      <c r="N47" s="1240"/>
      <c r="O47" s="1253"/>
      <c r="P47" s="3013" t="str">
        <f>A47</f>
        <v>成交单价（元/平方米）</v>
      </c>
      <c r="Q47" s="3013"/>
      <c r="R47" s="3014">
        <f>E47</f>
        <v>28636</v>
      </c>
      <c r="S47" s="3014"/>
      <c r="T47" s="3014">
        <f>G47</f>
        <v>32903</v>
      </c>
      <c r="U47" s="3014"/>
      <c r="V47" s="3014">
        <f>I47</f>
        <v>32318</v>
      </c>
      <c r="W47" s="3014"/>
      <c r="X47" s="738"/>
      <c r="Y47" s="760"/>
      <c r="Z47" s="738"/>
      <c r="AA47" s="738"/>
      <c r="AB47" s="738"/>
      <c r="AC47" s="738"/>
    </row>
    <row r="48" spans="1:29" ht="15.75" thickBot="1">
      <c r="A48" s="467" t="s">
        <v>2383</v>
      </c>
      <c r="B48" s="468"/>
      <c r="C48" s="1504">
        <f>R49</f>
        <v>29515</v>
      </c>
      <c r="D48" s="1505"/>
      <c r="E48" s="1506">
        <f>R48</f>
        <v>27015</v>
      </c>
      <c r="F48" s="1506"/>
      <c r="G48" s="1504">
        <f>T48</f>
        <v>31041</v>
      </c>
      <c r="H48" s="1505"/>
      <c r="I48" s="1506">
        <f>V48</f>
        <v>30489</v>
      </c>
      <c r="J48" s="1505"/>
      <c r="K48" s="2411"/>
      <c r="L48" s="1252"/>
      <c r="M48" s="1253"/>
      <c r="N48" s="1253"/>
      <c r="O48" s="1253"/>
      <c r="P48" s="3013" t="str">
        <f>A48</f>
        <v>比较价值（元/平方米）</v>
      </c>
      <c r="Q48" s="3013"/>
      <c r="R48" s="3014">
        <f>IF(E1="售价",ROUND(PRODUCT(R47,AA7:AA46),0),ROUND(PRODUCT(R47,AA7:AA46),1))</f>
        <v>27015</v>
      </c>
      <c r="S48" s="3014"/>
      <c r="T48" s="3049">
        <f>IF(E1="售价",ROUND(PRODUCT(T47,AB7:AB46),0),ROUND(PRODUCT(T47,AB7:AB46),1))</f>
        <v>31041</v>
      </c>
      <c r="U48" s="3050"/>
      <c r="V48" s="3014">
        <f>IF(E1="售价",ROUND(PRODUCT(V47,AC7:AC46),0),ROUND(PRODUCT(V47,AC7:AC46),1))</f>
        <v>30489</v>
      </c>
      <c r="W48" s="3014"/>
      <c r="X48" s="738"/>
      <c r="Y48" s="738"/>
      <c r="Z48" s="738"/>
      <c r="AA48" s="738"/>
      <c r="AB48" s="738"/>
      <c r="AC48" s="738"/>
    </row>
    <row r="49" spans="1:29" ht="15.75" thickBot="1">
      <c r="A49" s="473" t="s">
        <v>2384</v>
      </c>
      <c r="B49" s="474"/>
      <c r="C49" s="1507">
        <f>R49</f>
        <v>29515</v>
      </c>
      <c r="D49" s="1508"/>
      <c r="E49" s="1508"/>
      <c r="F49" s="1508"/>
      <c r="G49" s="1508"/>
      <c r="H49" s="1508"/>
      <c r="I49" s="1508"/>
      <c r="J49" s="1508"/>
      <c r="K49" s="2412"/>
      <c r="L49" s="1252"/>
      <c r="M49" s="1253"/>
      <c r="N49" s="1253"/>
      <c r="O49" s="1253"/>
      <c r="P49" s="3051" t="str">
        <f>A49</f>
        <v>估价对象XX用房的比较价值（楼面单价，元/平方米）</v>
      </c>
      <c r="Q49" s="2977"/>
      <c r="R49" s="3016">
        <f>IF(E1="售价",ROUND(AVERAGE(R48:V48),0),ROUND(AVERAGE(R48:V48),1))</f>
        <v>29515</v>
      </c>
      <c r="S49" s="3016"/>
      <c r="T49" s="3016"/>
      <c r="U49" s="3016"/>
      <c r="V49" s="3016"/>
      <c r="W49" s="3016"/>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2385</v>
      </c>
      <c r="D52" s="479"/>
      <c r="E52" s="480">
        <f>IF(E47&lt;E48,E48/E47-1,E47/E48-1)</f>
        <v>6.000370164723301E-2</v>
      </c>
      <c r="F52" s="481" t="str">
        <f>IF(OR(E52&gt;=0.3,E52&lt;=-0.3),"超过30%","")</f>
        <v/>
      </c>
      <c r="G52" s="480">
        <f>IF(G47&lt;G48,G48/G47-1,G47/G48-1)</f>
        <v>5.9985180889790879E-2</v>
      </c>
      <c r="H52" s="481" t="str">
        <f>IF(OR(G52&gt;=0.3,G52&lt;=-0.3),"超过30%","")</f>
        <v/>
      </c>
      <c r="I52" s="480">
        <f>IF(I47&lt;I48,I48/I47-1,I47/I48-1)</f>
        <v>5.9988848437141362E-2</v>
      </c>
      <c r="J52" s="481" t="str">
        <f>IF(OR(I52&gt;=0.3,I52&lt;=-0.3),"超过30%","")</f>
        <v/>
      </c>
      <c r="K52" s="1258"/>
      <c r="L52" s="1254"/>
      <c r="M52" s="1253"/>
      <c r="N52" s="1253"/>
      <c r="O52" s="1253"/>
    </row>
    <row r="53" spans="1:29" ht="13.5" customHeight="1">
      <c r="A53" s="1253"/>
      <c r="B53" s="1253"/>
      <c r="C53" s="478" t="s">
        <v>2386</v>
      </c>
      <c r="D53" s="482"/>
      <c r="E53" s="480">
        <f>IF(E48&lt;G48,G48/E48-1,E48/G48-1)</f>
        <v>0.14902831760133251</v>
      </c>
      <c r="F53" s="481" t="str">
        <f>IF(OR(E53&gt;=0.2,E53&lt;=-0.2),"超过20%","")</f>
        <v/>
      </c>
      <c r="G53" s="480">
        <f>IF(G48&lt;I48,I48/G48-1,G48/I48-1)</f>
        <v>1.8104890288300757E-2</v>
      </c>
      <c r="H53" s="481" t="str">
        <f>IF(OR(G53&gt;=0.2,G53&lt;=-0.2),"超过20%","")</f>
        <v/>
      </c>
      <c r="I53" s="480">
        <f>IF(I48&lt;E48,E48/I48-1,I48/E48-1)</f>
        <v>0.12859522487506947</v>
      </c>
      <c r="J53" s="481" t="str">
        <f>IF(OR(I53&gt;=0.2,I53&lt;=-0.2),"超过20%","")</f>
        <v/>
      </c>
      <c r="K53" s="1258"/>
      <c r="L53" s="1254"/>
      <c r="M53" s="1253"/>
      <c r="N53" s="1253"/>
      <c r="O53" s="1253"/>
    </row>
    <row r="54" spans="1:29" s="483" customFormat="1" ht="13.5" customHeight="1">
      <c r="A54" s="1255"/>
      <c r="B54" s="1255"/>
      <c r="C54" s="478" t="s">
        <v>2387</v>
      </c>
      <c r="D54" s="482"/>
      <c r="E54" s="480">
        <f>IF(E47&lt;G47,G47/E47-1,E47/G47-1)</f>
        <v>0.14900824137449376</v>
      </c>
      <c r="F54" s="481" t="str">
        <f>IF(OR(E54&gt;=0.3,E54&lt;=-0.3),"超过30%","")</f>
        <v/>
      </c>
      <c r="G54" s="480">
        <f>IF(G47&lt;I47,I47/G47-1,G47/I47-1)</f>
        <v>1.81013676588897E-2</v>
      </c>
      <c r="H54" s="481" t="str">
        <f>IF(OR(G54&gt;=0.3,G54&lt;=-0.3),"超过30%","")</f>
        <v/>
      </c>
      <c r="I54" s="480">
        <f>IF(I47&lt;E47,E47/I47-1,I47/E47-1)</f>
        <v>0.12857941053219712</v>
      </c>
      <c r="J54" s="481" t="str">
        <f>IF(OR(I54&gt;=0.3,I54&lt;=-0.3),"超过30%","")</f>
        <v/>
      </c>
      <c r="K54" s="1259"/>
      <c r="L54" s="1260"/>
      <c r="M54" s="1255"/>
      <c r="N54" s="1255"/>
      <c r="O54" s="1255"/>
      <c r="P54" s="2414"/>
    </row>
    <row r="55" spans="1:29" s="483" customFormat="1">
      <c r="A55" s="1255"/>
      <c r="B55" s="1256"/>
      <c r="C55" s="1261"/>
      <c r="D55" s="1255"/>
      <c r="E55" s="1255"/>
      <c r="F55" s="1255"/>
      <c r="G55" s="1255"/>
      <c r="H55" s="1255"/>
      <c r="I55" s="1255"/>
      <c r="J55" s="1255"/>
      <c r="K55" s="1259"/>
      <c r="L55" s="1260"/>
      <c r="M55" s="1255"/>
      <c r="N55" s="1255"/>
      <c r="O55" s="1255"/>
      <c r="P55" s="2414"/>
    </row>
    <row r="56" spans="1:29">
      <c r="A56" s="1253"/>
      <c r="B56" s="1256"/>
      <c r="C56" s="1261"/>
      <c r="D56" s="1253"/>
      <c r="E56" s="1253"/>
      <c r="F56" s="1253"/>
      <c r="G56" s="1253"/>
      <c r="H56" s="1253"/>
      <c r="I56" s="1253"/>
      <c r="J56" s="1253">
        <v>0.9</v>
      </c>
      <c r="K56" s="1258"/>
      <c r="L56" s="1254"/>
      <c r="M56" s="1253"/>
      <c r="N56" s="1253"/>
      <c r="O56" s="1253"/>
    </row>
    <row r="57" spans="1:29" ht="21.75" thickBot="1">
      <c r="A57" s="742" t="s">
        <v>2388</v>
      </c>
      <c r="B57" s="738"/>
      <c r="C57" s="743"/>
      <c r="D57" s="743"/>
      <c r="E57" s="743"/>
      <c r="F57" s="744"/>
      <c r="G57" s="744"/>
      <c r="H57" s="743"/>
      <c r="I57" s="743"/>
      <c r="J57" s="743"/>
      <c r="K57" s="745"/>
      <c r="L57" s="746"/>
      <c r="M57" s="743"/>
      <c r="N57" s="743"/>
      <c r="O57" s="743"/>
      <c r="P57" s="2415"/>
      <c r="Q57" s="485"/>
    </row>
    <row r="58" spans="1:29" s="489" customFormat="1" ht="15">
      <c r="A58" s="486" t="s">
        <v>2389</v>
      </c>
      <c r="B58" s="487"/>
      <c r="C58" s="1674" t="str">
        <f>YEAR(C7)&amp;"-"&amp;MONTH(C7)</f>
        <v>2018-6</v>
      </c>
      <c r="D58" s="1675">
        <f>EDATE(C58,-1)</f>
        <v>43221</v>
      </c>
      <c r="E58" s="1675">
        <f t="shared" ref="E58:O58" si="16">EDATE(D58,-1)</f>
        <v>43191</v>
      </c>
      <c r="F58" s="1675">
        <f t="shared" si="16"/>
        <v>43160</v>
      </c>
      <c r="G58" s="1675">
        <f t="shared" si="16"/>
        <v>43132</v>
      </c>
      <c r="H58" s="1675">
        <f t="shared" si="16"/>
        <v>43101</v>
      </c>
      <c r="I58" s="1675">
        <f t="shared" si="16"/>
        <v>43070</v>
      </c>
      <c r="J58" s="1675">
        <f t="shared" si="16"/>
        <v>43040</v>
      </c>
      <c r="K58" s="1675">
        <f t="shared" si="16"/>
        <v>43009</v>
      </c>
      <c r="L58" s="1675">
        <f t="shared" si="16"/>
        <v>42979</v>
      </c>
      <c r="M58" s="1675">
        <f t="shared" si="16"/>
        <v>42948</v>
      </c>
      <c r="N58" s="1675">
        <f t="shared" si="16"/>
        <v>42917</v>
      </c>
      <c r="O58" s="1675">
        <f t="shared" si="16"/>
        <v>42887</v>
      </c>
      <c r="P58" s="2416"/>
    </row>
    <row r="59" spans="1:29" s="35" customFormat="1" ht="15">
      <c r="A59" s="490"/>
      <c r="B59" s="491"/>
      <c r="C59" s="623">
        <v>100</v>
      </c>
      <c r="D59" s="493">
        <v>100</v>
      </c>
      <c r="E59" s="493">
        <v>99</v>
      </c>
      <c r="F59" s="493">
        <v>99</v>
      </c>
      <c r="G59" s="493">
        <v>99</v>
      </c>
      <c r="H59" s="493">
        <v>98</v>
      </c>
      <c r="I59" s="493">
        <v>98</v>
      </c>
      <c r="J59" s="493">
        <v>98</v>
      </c>
      <c r="K59" s="493">
        <v>97</v>
      </c>
      <c r="L59" s="493">
        <v>97</v>
      </c>
      <c r="M59" s="494">
        <v>97</v>
      </c>
      <c r="N59" s="493">
        <v>96</v>
      </c>
      <c r="O59" s="494"/>
      <c r="P59" s="2417"/>
    </row>
    <row r="60" spans="1:29" s="35" customFormat="1" ht="15.75" thickBot="1">
      <c r="A60" s="496" t="s">
        <v>2390</v>
      </c>
      <c r="B60" s="497"/>
      <c r="C60" s="498"/>
      <c r="D60" s="499"/>
      <c r="E60" s="499"/>
      <c r="F60" s="499"/>
      <c r="G60" s="499"/>
      <c r="H60" s="499"/>
      <c r="I60" s="499"/>
      <c r="J60" s="499"/>
      <c r="K60" s="499"/>
      <c r="L60" s="499"/>
      <c r="M60" s="500"/>
      <c r="N60" s="499"/>
      <c r="O60" s="500"/>
      <c r="P60" s="2417"/>
      <c r="Q60" s="485"/>
    </row>
    <row r="61" spans="1:29" s="35" customFormat="1" ht="15">
      <c r="A61" s="502" t="s">
        <v>2391</v>
      </c>
      <c r="B61" s="491"/>
      <c r="C61" s="503" t="s">
        <v>2392</v>
      </c>
      <c r="D61" s="504"/>
      <c r="E61" s="504"/>
      <c r="F61" s="504"/>
      <c r="G61" s="504"/>
      <c r="H61" s="504"/>
      <c r="I61" s="504"/>
      <c r="J61" s="504"/>
      <c r="K61" s="504"/>
      <c r="L61" s="505"/>
      <c r="M61" s="506"/>
      <c r="N61" s="1262"/>
      <c r="O61" s="1262"/>
      <c r="P61" s="2418"/>
      <c r="Q61" s="485"/>
    </row>
    <row r="62" spans="1:29" s="35" customFormat="1" ht="15.75" thickBot="1">
      <c r="A62" s="502"/>
      <c r="B62" s="491"/>
      <c r="C62" s="492">
        <v>100</v>
      </c>
      <c r="D62" s="493"/>
      <c r="E62" s="493"/>
      <c r="F62" s="493"/>
      <c r="G62" s="493"/>
      <c r="H62" s="493"/>
      <c r="I62" s="493"/>
      <c r="J62" s="493"/>
      <c r="K62" s="493"/>
      <c r="L62" s="493"/>
      <c r="M62" s="495"/>
      <c r="N62" s="1262"/>
      <c r="O62" s="1262"/>
      <c r="P62" s="2417"/>
      <c r="Q62" s="485"/>
    </row>
    <row r="63" spans="1:29">
      <c r="A63" s="508" t="s">
        <v>2393</v>
      </c>
      <c r="B63" s="509" t="s">
        <v>2358</v>
      </c>
      <c r="C63" s="510">
        <f>C9</f>
        <v>0</v>
      </c>
      <c r="D63" s="511"/>
      <c r="E63" s="511"/>
      <c r="F63" s="511"/>
      <c r="G63" s="511"/>
      <c r="H63" s="511"/>
      <c r="I63" s="511"/>
      <c r="J63" s="511"/>
      <c r="K63" s="512"/>
      <c r="L63" s="513"/>
      <c r="M63" s="514"/>
      <c r="N63" s="1263"/>
      <c r="O63" s="1263"/>
      <c r="P63" s="2419"/>
      <c r="Q63" s="485"/>
    </row>
    <row r="64" spans="1:29" ht="15.75" thickBot="1">
      <c r="A64" s="516"/>
      <c r="B64" s="517"/>
      <c r="C64" s="518">
        <v>100</v>
      </c>
      <c r="D64" s="518"/>
      <c r="E64" s="518"/>
      <c r="F64" s="518"/>
      <c r="G64" s="518"/>
      <c r="H64" s="518"/>
      <c r="I64" s="518"/>
      <c r="J64" s="518"/>
      <c r="K64" s="518"/>
      <c r="L64" s="518"/>
      <c r="M64" s="519"/>
      <c r="N64" s="1264"/>
      <c r="O64" s="1264"/>
      <c r="P64" s="2419"/>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3"/>
      <c r="O65" s="1263"/>
      <c r="P65" s="2419"/>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4"/>
      <c r="O66" s="1264"/>
      <c r="P66" s="2419"/>
      <c r="Q66" s="485"/>
    </row>
    <row r="67" spans="1:17" ht="15.75" thickTop="1">
      <c r="A67" s="516"/>
      <c r="B67" s="529" t="s">
        <v>2362</v>
      </c>
      <c r="C67" s="530" t="str">
        <f>C68&amp;"（含）"&amp;"-"&amp;D68</f>
        <v>0（含）-1</v>
      </c>
      <c r="D67" s="530" t="str">
        <f t="shared" ref="D67:L67" si="18">D68&amp;"（含）"&amp;"-"&amp;E68</f>
        <v>1（含）-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19"/>
      <c r="Q67" s="485"/>
    </row>
    <row r="68" spans="1:17" ht="15">
      <c r="A68" s="516"/>
      <c r="B68" s="531"/>
      <c r="C68" s="532">
        <v>0</v>
      </c>
      <c r="D68" s="532">
        <v>1</v>
      </c>
      <c r="E68" s="532"/>
      <c r="F68" s="532"/>
      <c r="G68" s="532"/>
      <c r="H68" s="532"/>
      <c r="I68" s="532"/>
      <c r="J68" s="532"/>
      <c r="K68" s="533"/>
      <c r="L68" s="534"/>
      <c r="M68" s="535"/>
      <c r="N68" s="1263"/>
      <c r="O68" s="1263"/>
      <c r="P68" s="2419"/>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4"/>
      <c r="O69" s="1264"/>
      <c r="P69" s="2419"/>
      <c r="Q69" s="485"/>
    </row>
    <row r="70" spans="1:17" s="452" customFormat="1" ht="15.75" thickTop="1">
      <c r="A70" s="536"/>
      <c r="B70" s="521">
        <f>B12</f>
        <v>111</v>
      </c>
      <c r="C70" s="537"/>
      <c r="D70" s="537"/>
      <c r="E70" s="537"/>
      <c r="F70" s="537"/>
      <c r="G70" s="537"/>
      <c r="H70" s="538"/>
      <c r="I70" s="538"/>
      <c r="J70" s="538"/>
      <c r="K70" s="538"/>
      <c r="L70" s="539"/>
      <c r="M70" s="540"/>
      <c r="N70" s="1265"/>
      <c r="O70" s="1265"/>
      <c r="P70" s="2420"/>
      <c r="Q70" s="543"/>
    </row>
    <row r="71" spans="1:17" s="452" customFormat="1" ht="15.75" thickBot="1">
      <c r="A71" s="536"/>
      <c r="B71" s="526"/>
      <c r="C71" s="544"/>
      <c r="D71" s="518"/>
      <c r="E71" s="518"/>
      <c r="F71" s="518"/>
      <c r="G71" s="518"/>
      <c r="H71" s="518"/>
      <c r="I71" s="518"/>
      <c r="J71" s="518"/>
      <c r="K71" s="518"/>
      <c r="L71" s="518"/>
      <c r="M71" s="519"/>
      <c r="N71" s="1264"/>
      <c r="O71" s="1264"/>
      <c r="P71" s="2420"/>
      <c r="Q71" s="543"/>
    </row>
    <row r="72" spans="1:17" s="452" customFormat="1" ht="15.75" thickTop="1">
      <c r="A72" s="536"/>
      <c r="B72" s="521">
        <f>B13</f>
        <v>111</v>
      </c>
      <c r="C72" s="537"/>
      <c r="D72" s="537"/>
      <c r="E72" s="537"/>
      <c r="F72" s="537"/>
      <c r="G72" s="537"/>
      <c r="H72" s="538"/>
      <c r="I72" s="538"/>
      <c r="J72" s="538"/>
      <c r="K72" s="538"/>
      <c r="L72" s="539"/>
      <c r="M72" s="540"/>
      <c r="N72" s="1265"/>
      <c r="O72" s="1265"/>
      <c r="P72" s="2421"/>
      <c r="Q72" s="545"/>
    </row>
    <row r="73" spans="1:17" s="452" customFormat="1" ht="15.75" thickBot="1">
      <c r="A73" s="536"/>
      <c r="B73" s="526"/>
      <c r="C73" s="544"/>
      <c r="D73" s="544"/>
      <c r="E73" s="544"/>
      <c r="F73" s="544"/>
      <c r="G73" s="544"/>
      <c r="H73" s="546"/>
      <c r="I73" s="546"/>
      <c r="J73" s="546"/>
      <c r="K73" s="546"/>
      <c r="L73" s="546"/>
      <c r="M73" s="547"/>
      <c r="N73" s="1265"/>
      <c r="O73" s="1265"/>
      <c r="P73" s="2420"/>
      <c r="Q73" s="543"/>
    </row>
    <row r="74" spans="1:17" s="452" customFormat="1" ht="15.75" thickTop="1">
      <c r="A74" s="536"/>
      <c r="B74" s="529">
        <f>B14</f>
        <v>111</v>
      </c>
      <c r="C74" s="537"/>
      <c r="D74" s="537"/>
      <c r="E74" s="537"/>
      <c r="F74" s="537"/>
      <c r="G74" s="504"/>
      <c r="H74" s="548"/>
      <c r="I74" s="548"/>
      <c r="J74" s="548"/>
      <c r="K74" s="548"/>
      <c r="L74" s="549"/>
      <c r="M74" s="550"/>
      <c r="N74" s="1265"/>
      <c r="O74" s="1265"/>
      <c r="P74" s="2422"/>
      <c r="Q74" s="543"/>
    </row>
    <row r="75" spans="1:17" s="452" customFormat="1" ht="15.75" thickBot="1">
      <c r="A75" s="552"/>
      <c r="B75" s="553"/>
      <c r="C75" s="554"/>
      <c r="D75" s="554"/>
      <c r="E75" s="554"/>
      <c r="F75" s="554"/>
      <c r="G75" s="554"/>
      <c r="H75" s="555"/>
      <c r="I75" s="555"/>
      <c r="J75" s="555"/>
      <c r="K75" s="555"/>
      <c r="L75" s="555"/>
      <c r="M75" s="556"/>
      <c r="N75" s="1265"/>
      <c r="O75" s="1265"/>
      <c r="P75" s="2420"/>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3"/>
      <c r="O76" s="1263"/>
      <c r="P76" s="2423"/>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19"/>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3"/>
      <c r="O78" s="1263"/>
      <c r="P78" s="2419"/>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19"/>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3"/>
      <c r="O80" s="1263"/>
      <c r="P80" s="2419"/>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19"/>
      <c r="Q81" s="485"/>
    </row>
    <row r="82" spans="1:17" ht="15.75" thickTop="1">
      <c r="A82" s="516"/>
      <c r="B82" s="529" t="s">
        <v>1749</v>
      </c>
      <c r="C82" s="522" t="s">
        <v>2409</v>
      </c>
      <c r="D82" s="522" t="s">
        <v>2410</v>
      </c>
      <c r="E82" s="522" t="s">
        <v>2411</v>
      </c>
      <c r="F82" s="522" t="s">
        <v>2412</v>
      </c>
      <c r="G82" s="522" t="s">
        <v>2413</v>
      </c>
      <c r="H82" s="522"/>
      <c r="I82" s="522"/>
      <c r="J82" s="522"/>
      <c r="K82" s="522"/>
      <c r="L82" s="522"/>
      <c r="M82" s="1463"/>
      <c r="N82" s="1264"/>
      <c r="O82" s="1264"/>
      <c r="P82" s="2419"/>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19"/>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3"/>
      <c r="O84" s="1263"/>
      <c r="P84" s="2419"/>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19"/>
      <c r="Q85" s="485"/>
    </row>
    <row r="86" spans="1:17" s="35" customFormat="1" ht="15.75" thickTop="1">
      <c r="A86" s="563"/>
      <c r="B86" s="521" t="s">
        <v>2415</v>
      </c>
      <c r="C86" s="537"/>
      <c r="D86" s="537"/>
      <c r="E86" s="537"/>
      <c r="F86" s="537"/>
      <c r="G86" s="537"/>
      <c r="H86" s="537"/>
      <c r="I86" s="537"/>
      <c r="J86" s="537"/>
      <c r="K86" s="537"/>
      <c r="L86" s="564"/>
      <c r="M86" s="565"/>
      <c r="N86" s="1262"/>
      <c r="O86" s="1262"/>
      <c r="P86" s="2419"/>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4"/>
      <c r="O87" s="1264"/>
      <c r="P87" s="2419"/>
      <c r="Q87" s="485"/>
    </row>
    <row r="88" spans="1:17" s="35" customFormat="1" ht="15.75" thickTop="1">
      <c r="A88" s="563"/>
      <c r="B88" s="521" t="s">
        <v>2416</v>
      </c>
      <c r="C88" s="537"/>
      <c r="D88" s="537"/>
      <c r="E88" s="537"/>
      <c r="F88" s="2424"/>
      <c r="G88" s="537"/>
      <c r="H88" s="537"/>
      <c r="I88" s="537"/>
      <c r="J88" s="537"/>
      <c r="K88" s="537"/>
      <c r="L88" s="537"/>
      <c r="M88" s="565"/>
      <c r="N88" s="1262"/>
      <c r="O88" s="1262"/>
      <c r="P88" s="2419"/>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4"/>
      <c r="O89" s="1264"/>
      <c r="P89" s="2419"/>
      <c r="Q89" s="485"/>
    </row>
    <row r="90" spans="1:17" s="452" customFormat="1" ht="15.75" thickTop="1">
      <c r="A90" s="536"/>
      <c r="B90" s="521" t="str">
        <f>B27</f>
        <v>道路级别</v>
      </c>
      <c r="C90" s="537"/>
      <c r="D90" s="537"/>
      <c r="E90" s="537"/>
      <c r="F90" s="537"/>
      <c r="G90" s="537"/>
      <c r="H90" s="538"/>
      <c r="I90" s="538"/>
      <c r="J90" s="538"/>
      <c r="K90" s="538"/>
      <c r="L90" s="539"/>
      <c r="M90" s="540"/>
      <c r="N90" s="1265"/>
      <c r="O90" s="1265"/>
      <c r="P90" s="2420"/>
      <c r="Q90" s="543"/>
    </row>
    <row r="91" spans="1:17" s="452" customFormat="1" ht="15.75" thickBot="1">
      <c r="A91" s="536"/>
      <c r="B91" s="526"/>
      <c r="C91" s="544"/>
      <c r="D91" s="544"/>
      <c r="E91" s="544"/>
      <c r="F91" s="544"/>
      <c r="G91" s="544"/>
      <c r="H91" s="546"/>
      <c r="I91" s="546"/>
      <c r="J91" s="546"/>
      <c r="K91" s="546"/>
      <c r="L91" s="546"/>
      <c r="M91" s="547"/>
      <c r="N91" s="1265"/>
      <c r="O91" s="1265"/>
      <c r="P91" s="2420"/>
      <c r="Q91" s="543"/>
    </row>
    <row r="92" spans="1:17" ht="15.75" thickTop="1">
      <c r="A92" s="516"/>
      <c r="B92" s="521">
        <f>B28</f>
        <v>111</v>
      </c>
      <c r="C92" s="537"/>
      <c r="D92" s="537"/>
      <c r="E92" s="537"/>
      <c r="F92" s="537"/>
      <c r="G92" s="567"/>
      <c r="H92" s="567"/>
      <c r="I92" s="567"/>
      <c r="J92" s="567"/>
      <c r="K92" s="568"/>
      <c r="L92" s="569"/>
      <c r="M92" s="570"/>
      <c r="N92" s="1263"/>
      <c r="O92" s="1263"/>
      <c r="P92" s="2419"/>
      <c r="Q92" s="485"/>
    </row>
    <row r="93" spans="1:17" ht="15.75" thickBot="1">
      <c r="A93" s="516"/>
      <c r="B93" s="526"/>
      <c r="C93" s="544"/>
      <c r="D93" s="518"/>
      <c r="E93" s="518"/>
      <c r="F93" s="518"/>
      <c r="G93" s="518"/>
      <c r="H93" s="518"/>
      <c r="I93" s="518"/>
      <c r="J93" s="518"/>
      <c r="K93" s="518"/>
      <c r="L93" s="518"/>
      <c r="M93" s="519"/>
      <c r="N93" s="1264"/>
      <c r="O93" s="1264"/>
      <c r="P93" s="2419"/>
      <c r="Q93" s="485"/>
    </row>
    <row r="94" spans="1:17" ht="15.75" thickTop="1">
      <c r="A94" s="516"/>
      <c r="B94" s="521">
        <f>B29</f>
        <v>111</v>
      </c>
      <c r="C94" s="537"/>
      <c r="D94" s="537"/>
      <c r="E94" s="537"/>
      <c r="F94" s="537"/>
      <c r="G94" s="567"/>
      <c r="H94" s="567"/>
      <c r="I94" s="567"/>
      <c r="J94" s="567"/>
      <c r="K94" s="568"/>
      <c r="L94" s="569"/>
      <c r="M94" s="570"/>
      <c r="N94" s="1263"/>
      <c r="O94" s="1263"/>
      <c r="P94" s="2419"/>
      <c r="Q94" s="485"/>
    </row>
    <row r="95" spans="1:17" ht="15.75" thickBot="1">
      <c r="A95" s="516"/>
      <c r="B95" s="526"/>
      <c r="C95" s="544"/>
      <c r="D95" s="544"/>
      <c r="E95" s="544"/>
      <c r="F95" s="544"/>
      <c r="G95" s="518"/>
      <c r="H95" s="518"/>
      <c r="I95" s="518"/>
      <c r="J95" s="518"/>
      <c r="K95" s="518"/>
      <c r="L95" s="518"/>
      <c r="M95" s="519"/>
      <c r="N95" s="1264"/>
      <c r="O95" s="1264"/>
      <c r="P95" s="2419"/>
      <c r="Q95" s="485"/>
    </row>
    <row r="96" spans="1:17" ht="15.75" thickTop="1">
      <c r="A96" s="516"/>
      <c r="B96" s="521">
        <f>B30</f>
        <v>111</v>
      </c>
      <c r="C96" s="537"/>
      <c r="D96" s="537"/>
      <c r="E96" s="537"/>
      <c r="F96" s="537"/>
      <c r="G96" s="567"/>
      <c r="H96" s="567"/>
      <c r="I96" s="567"/>
      <c r="J96" s="567"/>
      <c r="K96" s="568"/>
      <c r="L96" s="569"/>
      <c r="M96" s="570"/>
      <c r="N96" s="1263"/>
      <c r="O96" s="1263"/>
      <c r="P96" s="2419"/>
      <c r="Q96" s="485"/>
    </row>
    <row r="97" spans="1:17" ht="15.75" thickBot="1">
      <c r="A97" s="516"/>
      <c r="B97" s="526"/>
      <c r="C97" s="554"/>
      <c r="D97" s="554"/>
      <c r="E97" s="554"/>
      <c r="F97" s="554"/>
      <c r="G97" s="518"/>
      <c r="H97" s="518"/>
      <c r="I97" s="518"/>
      <c r="J97" s="518"/>
      <c r="K97" s="518"/>
      <c r="L97" s="518"/>
      <c r="M97" s="519"/>
      <c r="N97" s="1264"/>
      <c r="O97" s="1264"/>
      <c r="P97" s="2419"/>
      <c r="Q97" s="485"/>
    </row>
    <row r="98" spans="1:17" ht="15.75" thickTop="1">
      <c r="A98" s="516"/>
      <c r="B98" s="529">
        <f>B31</f>
        <v>111</v>
      </c>
      <c r="C98" s="571"/>
      <c r="D98" s="571"/>
      <c r="E98" s="571"/>
      <c r="F98" s="571"/>
      <c r="G98" s="571"/>
      <c r="H98" s="571"/>
      <c r="I98" s="571"/>
      <c r="J98" s="571"/>
      <c r="K98" s="572"/>
      <c r="L98" s="573"/>
      <c r="M98" s="574"/>
      <c r="N98" s="1263"/>
      <c r="O98" s="1263"/>
      <c r="P98" s="2419"/>
      <c r="Q98" s="485"/>
    </row>
    <row r="99" spans="1:17" ht="15.75" thickBot="1">
      <c r="A99" s="2425"/>
      <c r="B99" s="553"/>
      <c r="C99" s="575"/>
      <c r="D99" s="575"/>
      <c r="E99" s="575"/>
      <c r="F99" s="575"/>
      <c r="G99" s="575"/>
      <c r="H99" s="575"/>
      <c r="I99" s="575"/>
      <c r="J99" s="575"/>
      <c r="K99" s="575"/>
      <c r="L99" s="575"/>
      <c r="M99" s="576"/>
      <c r="N99" s="1264"/>
      <c r="O99" s="1264"/>
      <c r="P99" s="2419"/>
      <c r="Q99" s="485"/>
    </row>
    <row r="100" spans="1:17">
      <c r="A100" s="508" t="s">
        <v>2368</v>
      </c>
      <c r="B100" s="509" t="s">
        <v>2417</v>
      </c>
      <c r="C100" s="511"/>
      <c r="D100" s="511"/>
      <c r="E100" s="511"/>
      <c r="F100" s="511"/>
      <c r="G100" s="511"/>
      <c r="H100" s="511"/>
      <c r="I100" s="511"/>
      <c r="J100" s="511"/>
      <c r="K100" s="512"/>
      <c r="L100" s="513"/>
      <c r="M100" s="514"/>
      <c r="N100" s="1263"/>
      <c r="O100" s="1263"/>
      <c r="P100" s="2419"/>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4"/>
      <c r="O101" s="1264"/>
      <c r="P101" s="2419"/>
      <c r="Q101" s="485"/>
    </row>
    <row r="102" spans="1:17" ht="15.75" thickTop="1">
      <c r="A102" s="516"/>
      <c r="B102" s="521" t="s">
        <v>2418</v>
      </c>
      <c r="C102" s="562" t="str">
        <f>C103&amp;"(含)"&amp;"-"&amp;D103</f>
        <v>0(含)-100</v>
      </c>
      <c r="D102" s="562" t="str">
        <f t="shared" ref="D102:L102" si="23">D103&amp;"(含)"&amp;"-"&amp;E103</f>
        <v>100(含)-200</v>
      </c>
      <c r="E102" s="562" t="str">
        <f t="shared" si="23"/>
        <v>200(含)-300</v>
      </c>
      <c r="F102" s="562" t="str">
        <f t="shared" si="23"/>
        <v>300(含)-400</v>
      </c>
      <c r="G102" s="562" t="str">
        <f t="shared" si="23"/>
        <v>400(含)-500</v>
      </c>
      <c r="H102" s="562" t="str">
        <f t="shared" si="23"/>
        <v>500(含)-600</v>
      </c>
      <c r="I102" s="562" t="str">
        <f t="shared" si="23"/>
        <v>600(含)-</v>
      </c>
      <c r="J102" s="562" t="str">
        <f t="shared" si="23"/>
        <v>(含)-</v>
      </c>
      <c r="K102" s="562" t="str">
        <f t="shared" si="23"/>
        <v>(含)-</v>
      </c>
      <c r="L102" s="562" t="str">
        <f t="shared" si="23"/>
        <v>(含)-</v>
      </c>
      <c r="M102" s="562" t="str">
        <f>M103&amp;"(含)"&amp;"-"&amp;P103</f>
        <v>(含)-</v>
      </c>
      <c r="N102" s="1262"/>
      <c r="O102" s="1262"/>
      <c r="P102" s="2419"/>
      <c r="Q102" s="485"/>
    </row>
    <row r="103" spans="1:17" s="452" customFormat="1">
      <c r="A103" s="577"/>
      <c r="B103" s="578"/>
      <c r="C103" s="579">
        <v>0</v>
      </c>
      <c r="D103" s="579">
        <v>100</v>
      </c>
      <c r="E103" s="579">
        <v>200</v>
      </c>
      <c r="F103" s="579">
        <v>300</v>
      </c>
      <c r="G103" s="579">
        <v>400</v>
      </c>
      <c r="H103" s="579">
        <v>500</v>
      </c>
      <c r="I103" s="579">
        <v>600</v>
      </c>
      <c r="J103" s="580"/>
      <c r="K103" s="580"/>
      <c r="L103" s="581"/>
      <c r="M103" s="582"/>
      <c r="N103" s="1265"/>
      <c r="O103" s="1265"/>
      <c r="P103" s="2420"/>
      <c r="Q103" s="543"/>
    </row>
    <row r="104" spans="1:17" s="452" customFormat="1" ht="15.75" thickBot="1">
      <c r="A104" s="536"/>
      <c r="B104" s="526"/>
      <c r="C104" s="544">
        <v>100</v>
      </c>
      <c r="D104" s="518">
        <v>102</v>
      </c>
      <c r="E104" s="518">
        <v>104</v>
      </c>
      <c r="F104" s="518">
        <v>102</v>
      </c>
      <c r="G104" s="518">
        <v>100</v>
      </c>
      <c r="H104" s="518">
        <v>98</v>
      </c>
      <c r="I104" s="518"/>
      <c r="J104" s="518"/>
      <c r="K104" s="518"/>
      <c r="L104" s="518"/>
      <c r="M104" s="518"/>
      <c r="N104" s="1264"/>
      <c r="O104" s="1264"/>
      <c r="P104" s="2420"/>
      <c r="Q104" s="543"/>
    </row>
    <row r="105" spans="1:17" ht="15" thickTop="1">
      <c r="A105" s="583"/>
      <c r="B105" s="521" t="s">
        <v>2419</v>
      </c>
      <c r="C105" s="537"/>
      <c r="D105" s="537"/>
      <c r="E105" s="567"/>
      <c r="F105" s="567"/>
      <c r="G105" s="567"/>
      <c r="H105" s="567"/>
      <c r="I105" s="567"/>
      <c r="J105" s="567"/>
      <c r="K105" s="568"/>
      <c r="L105" s="569"/>
      <c r="M105" s="570"/>
      <c r="N105" s="1263"/>
      <c r="O105" s="1263"/>
      <c r="P105" s="2419"/>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4"/>
      <c r="O106" s="1264"/>
      <c r="P106" s="2419"/>
      <c r="Q106" s="485"/>
    </row>
    <row r="107" spans="1:17" ht="15" thickTop="1">
      <c r="A107" s="583"/>
      <c r="B107" s="521" t="s">
        <v>2420</v>
      </c>
      <c r="C107" s="567"/>
      <c r="D107" s="567"/>
      <c r="E107" s="567"/>
      <c r="F107" s="567"/>
      <c r="G107" s="567"/>
      <c r="H107" s="567"/>
      <c r="I107" s="567"/>
      <c r="J107" s="567"/>
      <c r="K107" s="568"/>
      <c r="L107" s="569"/>
      <c r="M107" s="570"/>
      <c r="N107" s="1263"/>
      <c r="O107" s="1263"/>
      <c r="P107" s="2419"/>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4"/>
      <c r="O108" s="1264"/>
      <c r="P108" s="2419"/>
      <c r="Q108" s="485"/>
    </row>
    <row r="109" spans="1:17" ht="15" thickTop="1">
      <c r="A109" s="583"/>
      <c r="B109" s="521" t="s">
        <v>2421</v>
      </c>
      <c r="C109" s="537"/>
      <c r="D109" s="537"/>
      <c r="E109" s="537"/>
      <c r="F109" s="567"/>
      <c r="G109" s="567"/>
      <c r="H109" s="567"/>
      <c r="I109" s="567"/>
      <c r="J109" s="567"/>
      <c r="K109" s="568"/>
      <c r="L109" s="569"/>
      <c r="M109" s="570"/>
      <c r="N109" s="1263"/>
      <c r="O109" s="1263"/>
      <c r="P109" s="2419"/>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4"/>
      <c r="O110" s="1264"/>
      <c r="P110" s="2419"/>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20"/>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20"/>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5"/>
      <c r="O113" s="1265"/>
      <c r="P113" s="2420"/>
      <c r="Q113" s="543"/>
    </row>
    <row r="114" spans="1:17" ht="15" thickTop="1">
      <c r="A114" s="583"/>
      <c r="B114" s="521" t="s">
        <v>2423</v>
      </c>
      <c r="C114" s="537"/>
      <c r="D114" s="537"/>
      <c r="E114" s="567"/>
      <c r="F114" s="567"/>
      <c r="G114" s="567"/>
      <c r="H114" s="567"/>
      <c r="I114" s="567"/>
      <c r="J114" s="567"/>
      <c r="K114" s="568"/>
      <c r="L114" s="569"/>
      <c r="M114" s="570"/>
      <c r="N114" s="1263"/>
      <c r="O114" s="1263"/>
      <c r="P114" s="2419"/>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4"/>
      <c r="O115" s="1264"/>
      <c r="P115" s="2419"/>
      <c r="Q115" s="485"/>
    </row>
    <row r="116" spans="1:17" ht="15" thickTop="1">
      <c r="A116" s="583"/>
      <c r="B116" s="521" t="s">
        <v>2424</v>
      </c>
      <c r="C116" s="537"/>
      <c r="D116" s="537"/>
      <c r="E116" s="537"/>
      <c r="F116" s="537"/>
      <c r="G116" s="537"/>
      <c r="H116" s="567"/>
      <c r="I116" s="567"/>
      <c r="J116" s="567"/>
      <c r="K116" s="568"/>
      <c r="L116" s="569"/>
      <c r="M116" s="570"/>
      <c r="N116" s="1263"/>
      <c r="O116" s="1263"/>
      <c r="P116" s="2419"/>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19"/>
      <c r="Q117" s="485"/>
    </row>
    <row r="118" spans="1:17" ht="15" thickTop="1">
      <c r="A118" s="583"/>
      <c r="B118" s="521" t="s">
        <v>2425</v>
      </c>
      <c r="C118" s="567"/>
      <c r="D118" s="567"/>
      <c r="E118" s="567"/>
      <c r="F118" s="567"/>
      <c r="G118" s="567"/>
      <c r="H118" s="567"/>
      <c r="I118" s="567"/>
      <c r="J118" s="567"/>
      <c r="K118" s="568"/>
      <c r="L118" s="569"/>
      <c r="M118" s="570"/>
      <c r="N118" s="1263"/>
      <c r="O118" s="1263"/>
      <c r="P118" s="2419"/>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4"/>
      <c r="O119" s="1264"/>
      <c r="P119" s="2419"/>
      <c r="Q119" s="485"/>
    </row>
    <row r="120" spans="1:17" s="452" customFormat="1" ht="28.5" thickTop="1">
      <c r="A120" s="577"/>
      <c r="B120" s="521" t="s">
        <v>2379</v>
      </c>
      <c r="C120" s="537"/>
      <c r="D120" s="537"/>
      <c r="E120" s="537"/>
      <c r="F120" s="537"/>
      <c r="G120" s="537"/>
      <c r="H120" s="537"/>
      <c r="I120" s="537"/>
      <c r="J120" s="537"/>
      <c r="K120" s="537"/>
      <c r="L120" s="564"/>
      <c r="M120" s="565"/>
      <c r="N120" s="1265"/>
      <c r="O120" s="1265"/>
      <c r="P120" s="2420"/>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20"/>
      <c r="Q121" s="543"/>
    </row>
    <row r="122" spans="1:17" ht="15" thickTop="1">
      <c r="A122" s="583"/>
      <c r="B122" s="521" t="s">
        <v>2426</v>
      </c>
      <c r="C122" s="537"/>
      <c r="D122" s="537"/>
      <c r="E122" s="537"/>
      <c r="F122" s="567"/>
      <c r="G122" s="567"/>
      <c r="H122" s="567"/>
      <c r="I122" s="567"/>
      <c r="J122" s="567"/>
      <c r="K122" s="568"/>
      <c r="L122" s="569"/>
      <c r="M122" s="570"/>
      <c r="N122" s="1263"/>
      <c r="O122" s="1263"/>
      <c r="P122" s="2419"/>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4"/>
      <c r="O123" s="1264"/>
      <c r="P123" s="2419"/>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3"/>
      <c r="O124" s="1263"/>
      <c r="P124" s="2420"/>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19"/>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0"/>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0"/>
      <c r="Q127" s="543"/>
    </row>
    <row r="128" spans="1:17" ht="15" thickTop="1">
      <c r="A128" s="583"/>
      <c r="B128" s="521">
        <f>B45</f>
        <v>111</v>
      </c>
      <c r="C128" s="537"/>
      <c r="D128" s="537"/>
      <c r="E128" s="537"/>
      <c r="F128" s="537"/>
      <c r="G128" s="567"/>
      <c r="H128" s="567"/>
      <c r="I128" s="567"/>
      <c r="J128" s="567"/>
      <c r="K128" s="568"/>
      <c r="L128" s="569"/>
      <c r="M128" s="570"/>
      <c r="N128" s="1263"/>
      <c r="O128" s="1263"/>
      <c r="P128" s="2419"/>
      <c r="Q128" s="485"/>
    </row>
    <row r="129" spans="1:17" ht="15.75" thickBot="1">
      <c r="A129" s="516"/>
      <c r="B129" s="526"/>
      <c r="C129" s="544"/>
      <c r="D129" s="544"/>
      <c r="E129" s="544"/>
      <c r="F129" s="544"/>
      <c r="G129" s="518"/>
      <c r="H129" s="518"/>
      <c r="I129" s="518"/>
      <c r="J129" s="518"/>
      <c r="K129" s="518"/>
      <c r="L129" s="518"/>
      <c r="M129" s="519"/>
      <c r="N129" s="1264"/>
      <c r="O129" s="1264"/>
      <c r="P129" s="2419"/>
      <c r="Q129" s="485"/>
    </row>
    <row r="130" spans="1:17" ht="15" thickTop="1">
      <c r="A130" s="583"/>
      <c r="B130" s="529">
        <f>B46</f>
        <v>111</v>
      </c>
      <c r="C130" s="537"/>
      <c r="D130" s="537"/>
      <c r="E130" s="537"/>
      <c r="F130" s="537"/>
      <c r="G130" s="571"/>
      <c r="H130" s="571"/>
      <c r="I130" s="571"/>
      <c r="J130" s="571"/>
      <c r="K130" s="504"/>
      <c r="L130" s="505"/>
      <c r="M130" s="574"/>
      <c r="N130" s="1263"/>
      <c r="O130" s="1263"/>
      <c r="P130" s="2419"/>
      <c r="Q130" s="485"/>
    </row>
    <row r="131" spans="1:17" ht="15.75" thickBot="1">
      <c r="A131" s="2425"/>
      <c r="B131" s="553"/>
      <c r="C131" s="554"/>
      <c r="D131" s="554"/>
      <c r="E131" s="554"/>
      <c r="F131" s="554"/>
      <c r="G131" s="575"/>
      <c r="H131" s="575"/>
      <c r="I131" s="575"/>
      <c r="J131" s="575"/>
      <c r="K131" s="575"/>
      <c r="L131" s="575"/>
      <c r="M131" s="576"/>
      <c r="N131" s="1264"/>
      <c r="O131" s="1264"/>
      <c r="P131" s="2419"/>
      <c r="Q131" s="485"/>
    </row>
    <row r="136" spans="1:17" ht="15" thickBot="1">
      <c r="B136" s="2426" t="s">
        <v>2428</v>
      </c>
    </row>
    <row r="137" spans="1:17" ht="15">
      <c r="B137" s="2427" t="s">
        <v>2429</v>
      </c>
      <c r="C137" s="2428"/>
      <c r="D137" s="2428"/>
      <c r="E137" s="2428"/>
      <c r="F137" s="2428"/>
      <c r="G137" s="2429"/>
      <c r="H137" s="2430"/>
      <c r="I137" s="2431" t="s">
        <v>2430</v>
      </c>
      <c r="J137" s="2428"/>
      <c r="K137" s="2432"/>
    </row>
    <row r="138" spans="1:17" ht="15">
      <c r="B138" s="2433"/>
      <c r="C138" s="62" t="s">
        <v>2431</v>
      </c>
      <c r="D138" s="62" t="s">
        <v>2432</v>
      </c>
      <c r="E138" s="2434" t="s">
        <v>2433</v>
      </c>
      <c r="F138" s="2435" t="s">
        <v>2434</v>
      </c>
      <c r="G138" s="62" t="s">
        <v>2432</v>
      </c>
      <c r="H138" s="63" t="s">
        <v>2433</v>
      </c>
      <c r="I138" s="2436"/>
      <c r="J138" s="62" t="s">
        <v>2435</v>
      </c>
      <c r="K138" s="63" t="s">
        <v>2436</v>
      </c>
    </row>
    <row r="139" spans="1:17" ht="15">
      <c r="B139" s="1121">
        <v>6</v>
      </c>
      <c r="C139" s="1129">
        <v>96</v>
      </c>
      <c r="D139" s="2437" t="s">
        <v>2437</v>
      </c>
      <c r="E139" s="1130">
        <v>100</v>
      </c>
      <c r="F139" s="1131">
        <v>102.5</v>
      </c>
      <c r="G139" s="2437" t="s">
        <v>2437</v>
      </c>
      <c r="H139" s="1132">
        <v>105</v>
      </c>
      <c r="I139" s="2438" t="s">
        <v>2438</v>
      </c>
      <c r="J139" s="1129">
        <v>20</v>
      </c>
      <c r="K139" s="1123">
        <f>C145/(J139-2)</f>
        <v>4.0555555555555553E-3</v>
      </c>
    </row>
    <row r="140" spans="1:17" ht="15">
      <c r="B140" s="1122">
        <v>5</v>
      </c>
      <c r="C140" s="1133">
        <v>100</v>
      </c>
      <c r="D140" s="1133"/>
      <c r="E140" s="1134"/>
      <c r="F140" s="1135">
        <v>102</v>
      </c>
      <c r="G140" s="1133"/>
      <c r="H140" s="1136"/>
      <c r="I140" s="2439" t="s">
        <v>2439</v>
      </c>
      <c r="J140" s="217">
        <f>ROUNDUP((J139-1)/2,0)</f>
        <v>10</v>
      </c>
      <c r="K140" s="1124">
        <v>100</v>
      </c>
    </row>
    <row r="141" spans="1:17" ht="15">
      <c r="B141" s="1122">
        <v>4</v>
      </c>
      <c r="C141" s="1133">
        <v>102</v>
      </c>
      <c r="D141" s="1133"/>
      <c r="E141" s="1134"/>
      <c r="F141" s="1135">
        <v>101.5</v>
      </c>
      <c r="G141" s="1133"/>
      <c r="H141" s="1136"/>
      <c r="I141" s="2439" t="s">
        <v>2440</v>
      </c>
      <c r="J141" s="217">
        <v>1</v>
      </c>
      <c r="K141" s="1125">
        <f>ROUND(100+(J141-J140)*K139*100,1)</f>
        <v>96.4</v>
      </c>
    </row>
    <row r="142" spans="1:17" ht="15">
      <c r="B142" s="1122">
        <v>3</v>
      </c>
      <c r="C142" s="1133">
        <v>103</v>
      </c>
      <c r="D142" s="1133"/>
      <c r="E142" s="1134"/>
      <c r="F142" s="1135">
        <v>101</v>
      </c>
      <c r="G142" s="1133"/>
      <c r="H142" s="1136"/>
      <c r="I142" s="2439" t="s">
        <v>2441</v>
      </c>
      <c r="J142" s="217">
        <f>J139</f>
        <v>20</v>
      </c>
      <c r="K142" s="1138">
        <v>95</v>
      </c>
    </row>
    <row r="143" spans="1:17" ht="15">
      <c r="B143" s="1122">
        <v>2</v>
      </c>
      <c r="C143" s="1133">
        <v>100</v>
      </c>
      <c r="D143" s="1133"/>
      <c r="E143" s="1134"/>
      <c r="F143" s="1135">
        <v>100.5</v>
      </c>
      <c r="G143" s="1133"/>
      <c r="H143" s="1136"/>
      <c r="I143" s="2439" t="s">
        <v>2442</v>
      </c>
      <c r="J143" s="1133">
        <v>15</v>
      </c>
      <c r="K143" s="1125">
        <f>ROUND(100+(J143-J140)*K139*100,1)</f>
        <v>102</v>
      </c>
    </row>
    <row r="144" spans="1:17" ht="15">
      <c r="B144" s="1122">
        <v>1</v>
      </c>
      <c r="C144" s="1133">
        <v>98</v>
      </c>
      <c r="D144" s="2440" t="s">
        <v>2443</v>
      </c>
      <c r="E144" s="1134">
        <v>102</v>
      </c>
      <c r="F144" s="1137">
        <v>100</v>
      </c>
      <c r="G144" s="2440" t="s">
        <v>2443</v>
      </c>
      <c r="H144" s="1136">
        <v>105</v>
      </c>
      <c r="I144" s="2439" t="s">
        <v>2442</v>
      </c>
      <c r="J144" s="1133">
        <v>18</v>
      </c>
      <c r="K144" s="1125">
        <f>ROUND(100+(J144-J140)*K139*100,1)</f>
        <v>103.2</v>
      </c>
    </row>
    <row r="145" spans="2:11" ht="15.75" thickBot="1">
      <c r="B145" s="2441" t="s">
        <v>2444</v>
      </c>
      <c r="C145" s="1127">
        <f>ROUND(MAX(C139:C144)/MIN(C139:C144)-1,3)</f>
        <v>7.2999999999999995E-2</v>
      </c>
      <c r="D145" s="1128"/>
      <c r="E145" s="1128"/>
      <c r="F145" s="2442" t="s">
        <v>2445</v>
      </c>
      <c r="G145" s="2443"/>
      <c r="H145" s="2444"/>
      <c r="I145" s="2445" t="s">
        <v>2442</v>
      </c>
      <c r="J145" s="1139">
        <v>8</v>
      </c>
      <c r="K145" s="1126">
        <f>ROUND(100+(J145-J140)*K139*100,1)</f>
        <v>99.2</v>
      </c>
    </row>
    <row r="147" spans="2:11">
      <c r="B147" s="2426" t="s">
        <v>2446</v>
      </c>
    </row>
    <row r="148" spans="2:11">
      <c r="B148" s="2426" t="s">
        <v>2447</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40" activePane="bottomLeft" state="frozen"/>
      <selection activeCell="A11" sqref="A11:D11"/>
      <selection pane="bottomLeft" activeCell="C26" sqref="C2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0.25">
      <c r="A1" s="373" t="s">
        <v>2301</v>
      </c>
      <c r="B1" s="1140"/>
      <c r="C1" s="84"/>
      <c r="D1" s="84"/>
      <c r="E1" s="84"/>
      <c r="F1" s="84"/>
      <c r="G1" s="84"/>
      <c r="H1" s="84"/>
      <c r="I1" s="84"/>
      <c r="J1" s="84"/>
      <c r="K1" s="84"/>
      <c r="L1" s="84"/>
      <c r="M1" s="84"/>
      <c r="N1" s="84"/>
      <c r="O1" s="84"/>
      <c r="P1" s="84"/>
      <c r="Q1" s="84"/>
      <c r="R1" s="769"/>
      <c r="S1" s="54"/>
      <c r="T1" s="54"/>
      <c r="U1" s="1308"/>
      <c r="V1" s="1308"/>
      <c r="X1" s="1308"/>
      <c r="Y1" s="1308"/>
    </row>
    <row r="2" spans="1:44" ht="15.75">
      <c r="A2" s="165" t="s">
        <v>2302</v>
      </c>
      <c r="B2" s="334">
        <f>B23</f>
        <v>0</v>
      </c>
      <c r="C2" s="1179" t="str">
        <f>C23</f>
        <v>元</v>
      </c>
      <c r="D2" s="84"/>
      <c r="E2" s="84"/>
      <c r="F2" s="84"/>
      <c r="G2" s="84"/>
      <c r="H2" s="84"/>
      <c r="I2" s="84"/>
      <c r="J2" s="84"/>
      <c r="K2" s="84"/>
      <c r="L2" s="84"/>
      <c r="M2" s="84"/>
      <c r="N2" s="84"/>
      <c r="O2" s="84"/>
      <c r="P2" s="84"/>
      <c r="Q2" s="84"/>
      <c r="R2" s="769"/>
      <c r="S2" s="54"/>
      <c r="T2" s="54"/>
      <c r="U2" s="1308"/>
      <c r="V2" s="1308"/>
      <c r="X2" s="1308"/>
      <c r="Y2" s="1308"/>
    </row>
    <row r="3" spans="1:44" ht="15.75">
      <c r="A3" s="167" t="s">
        <v>2303</v>
      </c>
      <c r="B3" s="334">
        <f>B24</f>
        <v>0</v>
      </c>
      <c r="C3" s="1179" t="s">
        <v>2304</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2305</v>
      </c>
      <c r="C4" s="3055" t="s">
        <v>2306</v>
      </c>
      <c r="D4" s="3056"/>
      <c r="E4" s="3056"/>
      <c r="F4" s="3056"/>
      <c r="G4" s="3056"/>
      <c r="H4" s="3056"/>
      <c r="I4" s="3056"/>
      <c r="J4" s="3056"/>
      <c r="K4" s="3056"/>
      <c r="L4" s="3056"/>
      <c r="M4" s="3056"/>
      <c r="N4" s="3056"/>
      <c r="O4" s="3056"/>
      <c r="P4" s="3056"/>
      <c r="Q4" s="3056"/>
      <c r="R4" s="3056"/>
      <c r="S4" s="3057"/>
      <c r="T4" s="678" t="s">
        <v>2307</v>
      </c>
      <c r="U4" s="1308"/>
      <c r="V4" s="1308"/>
      <c r="X4" s="1308"/>
      <c r="Y4" s="1308"/>
    </row>
    <row r="5" spans="1:44" s="692" customFormat="1">
      <c r="A5" s="1318"/>
      <c r="B5" s="687" t="s">
        <v>2308</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c r="D6" s="695"/>
      <c r="E6" s="695"/>
      <c r="F6" s="695"/>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0"/>
      <c r="B7" s="1159"/>
      <c r="C7" s="1160"/>
      <c r="D7" s="1161"/>
      <c r="E7" s="1161"/>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2309</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2310</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2311</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2312</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2313</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2314</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2" t="s">
        <v>2315</v>
      </c>
      <c r="B20" s="2363" t="s">
        <v>2316</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5"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64" t="s">
        <v>2317</v>
      </c>
      <c r="G22" s="1874"/>
      <c r="H22" s="1874"/>
      <c r="I22" s="1874"/>
      <c r="J22" s="1875"/>
      <c r="K22" s="84"/>
      <c r="L22" s="84"/>
      <c r="M22" s="84"/>
      <c r="N22" s="84"/>
      <c r="O22" s="84"/>
      <c r="P22" s="84"/>
      <c r="Q22" s="84"/>
      <c r="R22" s="769"/>
      <c r="S22" s="54"/>
      <c r="T22" s="54"/>
      <c r="U22" s="1308"/>
      <c r="V22" s="1309"/>
      <c r="W22" s="801"/>
      <c r="X22" s="36"/>
      <c r="Y22" s="36"/>
      <c r="Z22" s="801"/>
    </row>
    <row r="23" spans="1:45" ht="16.5" thickBot="1">
      <c r="A23" s="165" t="s">
        <v>2318</v>
      </c>
      <c r="B23" s="308">
        <f>IF(F23="——",IF(C23="万元",T25,S25),IF(C23="万元",T25-H23,S25-H23))</f>
        <v>0</v>
      </c>
      <c r="C23" s="2365" t="str">
        <f>'数据-取费表'!B3</f>
        <v>元</v>
      </c>
      <c r="D23" s="84"/>
      <c r="E23" s="84"/>
      <c r="F23" s="2366" t="s">
        <v>1253</v>
      </c>
      <c r="G23" s="1876"/>
      <c r="H23" s="678" t="e">
        <f ca="1">SUMIF(INDIRECT("'"&amp;J23&amp;"'"&amp;"!A:A"),"承租人权益价值",INDIRECT("'"&amp;J23&amp;"'"&amp;"!c:c"))</f>
        <v>#REF!</v>
      </c>
      <c r="I23" s="678" t="str">
        <f>C2</f>
        <v>元</v>
      </c>
      <c r="J23" s="2367"/>
      <c r="K23" s="84"/>
      <c r="L23" s="84"/>
      <c r="M23" s="84"/>
      <c r="N23" s="84"/>
      <c r="O23" s="84"/>
      <c r="P23" s="84"/>
      <c r="Q23" s="84"/>
      <c r="R23" s="769"/>
      <c r="S23" s="54"/>
      <c r="T23" s="54"/>
      <c r="V23" s="1309"/>
      <c r="W23" s="801"/>
      <c r="X23" s="36"/>
      <c r="Y23" s="36"/>
      <c r="Z23" s="801"/>
    </row>
    <row r="24" spans="1:45" ht="15.75">
      <c r="A24" s="2365" t="s">
        <v>2319</v>
      </c>
      <c r="B24" s="308">
        <f>R25</f>
        <v>0</v>
      </c>
      <c r="C24" s="1140"/>
      <c r="D24" s="84"/>
      <c r="E24" s="84"/>
      <c r="F24" s="84"/>
      <c r="G24" s="84"/>
      <c r="H24" s="84"/>
      <c r="I24" s="84"/>
      <c r="J24" s="84"/>
      <c r="K24" s="84"/>
      <c r="L24" s="84"/>
      <c r="M24" s="84"/>
      <c r="N24" s="84"/>
      <c r="O24" s="84"/>
      <c r="P24" s="84"/>
      <c r="Q24" s="84"/>
      <c r="R24" s="769"/>
      <c r="S24" s="14" t="s">
        <v>2320</v>
      </c>
      <c r="T24" s="1893" t="s">
        <v>2321</v>
      </c>
      <c r="U24" s="2368" t="s">
        <v>2322</v>
      </c>
      <c r="V24" s="1338"/>
      <c r="W24" s="2369" t="s">
        <v>2323</v>
      </c>
      <c r="X24" s="2368" t="s">
        <v>2324</v>
      </c>
      <c r="Y24" s="1338"/>
      <c r="Z24" s="2370" t="s">
        <v>2323</v>
      </c>
    </row>
    <row r="25" spans="1:45">
      <c r="A25" s="334" t="s">
        <v>2325</v>
      </c>
      <c r="B25" s="14">
        <f>SUM(B27:B10000)</f>
        <v>573.89</v>
      </c>
      <c r="C25" s="3052" t="s">
        <v>45</v>
      </c>
      <c r="D25" s="3053"/>
      <c r="E25" s="3053"/>
      <c r="F25" s="3053"/>
      <c r="G25" s="3053"/>
      <c r="H25" s="3053"/>
      <c r="I25" s="3053"/>
      <c r="J25" s="3053"/>
      <c r="K25" s="3053"/>
      <c r="L25" s="3053"/>
      <c r="M25" s="3053"/>
      <c r="N25" s="3053"/>
      <c r="O25" s="3053"/>
      <c r="P25" s="3053"/>
      <c r="Q25" s="3054"/>
      <c r="R25" s="703">
        <f>IF(C23="万元",ROUND(T25*10000/B25,0),ROUND(S25/B25,0))</f>
        <v>0</v>
      </c>
      <c r="S25" s="14">
        <f>SUM(S27:S10000)</f>
        <v>0</v>
      </c>
      <c r="T25" s="14">
        <f>SUM(T27:T10000)</f>
        <v>0</v>
      </c>
      <c r="U25" s="19">
        <f>SUM(U27:U10000)</f>
        <v>0</v>
      </c>
      <c r="V25" s="19">
        <f>SUM(V27:V10000)</f>
        <v>0</v>
      </c>
      <c r="W25" s="14"/>
      <c r="X25" s="19">
        <f>SUM(X27:X10000)</f>
        <v>0</v>
      </c>
      <c r="Y25" s="19">
        <f>SUM(Y27:Y10000)</f>
        <v>0</v>
      </c>
      <c r="Z25" s="2371"/>
    </row>
    <row r="26" spans="1:45" s="11" customFormat="1" ht="24">
      <c r="A26" s="10" t="s">
        <v>2326</v>
      </c>
      <c r="B26" s="10" t="s">
        <v>2327</v>
      </c>
      <c r="C26" s="10" t="s">
        <v>2328</v>
      </c>
      <c r="D26" s="10" t="str">
        <f>B8</f>
        <v>修正项2</v>
      </c>
      <c r="E26" s="10" t="s">
        <v>2328</v>
      </c>
      <c r="F26" s="10" t="str">
        <f>B10</f>
        <v>修正项3</v>
      </c>
      <c r="G26" s="10" t="s">
        <v>2328</v>
      </c>
      <c r="H26" s="10" t="str">
        <f>B12</f>
        <v>修正项4</v>
      </c>
      <c r="I26" s="10" t="s">
        <v>2328</v>
      </c>
      <c r="J26" s="10" t="str">
        <f>B14</f>
        <v>修正项5</v>
      </c>
      <c r="K26" s="10" t="s">
        <v>2328</v>
      </c>
      <c r="L26" s="10" t="str">
        <f>B16</f>
        <v>修正项6</v>
      </c>
      <c r="M26" s="10" t="s">
        <v>2328</v>
      </c>
      <c r="N26" s="10" t="str">
        <f>B18</f>
        <v>修正项7</v>
      </c>
      <c r="O26" s="10" t="s">
        <v>2328</v>
      </c>
      <c r="P26" s="10" t="str">
        <f>B20</f>
        <v>楼层</v>
      </c>
      <c r="Q26" s="10" t="s">
        <v>2328</v>
      </c>
      <c r="R26" s="704" t="s">
        <v>2329</v>
      </c>
      <c r="S26" s="10" t="s">
        <v>2330</v>
      </c>
      <c r="T26" s="10" t="s">
        <v>2330</v>
      </c>
      <c r="U26" s="1879" t="s">
        <v>2331</v>
      </c>
      <c r="V26" s="2372" t="s">
        <v>2332</v>
      </c>
      <c r="W26" s="2373" t="s">
        <v>2333</v>
      </c>
      <c r="X26" s="1879" t="s">
        <v>2331</v>
      </c>
      <c r="Y26" s="2372" t="s">
        <v>2332</v>
      </c>
      <c r="Z26" s="2373" t="s">
        <v>2333</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2334</v>
      </c>
      <c r="B27" s="706">
        <f>'数据-取费表'!E5</f>
        <v>573.89</v>
      </c>
      <c r="C27" s="706">
        <v>1</v>
      </c>
      <c r="D27" s="707"/>
      <c r="E27" s="706">
        <v>1</v>
      </c>
      <c r="F27" s="707"/>
      <c r="G27" s="706">
        <v>1</v>
      </c>
      <c r="H27" s="707"/>
      <c r="I27" s="706">
        <v>1</v>
      </c>
      <c r="J27" s="707"/>
      <c r="K27" s="706">
        <v>1</v>
      </c>
      <c r="L27" s="707"/>
      <c r="M27" s="706">
        <v>1</v>
      </c>
      <c r="N27" s="707"/>
      <c r="O27" s="706">
        <v>1</v>
      </c>
      <c r="P27" s="707"/>
      <c r="Q27" s="706">
        <v>1</v>
      </c>
      <c r="R27" s="1188"/>
      <c r="S27" s="706">
        <f>ROUND(R27*B27,0)</f>
        <v>0</v>
      </c>
      <c r="T27" s="706">
        <f>ROUND(R27*B27/10000,0)</f>
        <v>0</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25" zoomScale="90" zoomScaleNormal="90" workbookViewId="0">
      <selection activeCell="D2" sqref="D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3"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2335</v>
      </c>
      <c r="B1" s="1730" t="s">
        <v>2448</v>
      </c>
      <c r="C1" s="1722" t="s">
        <v>2830</v>
      </c>
      <c r="D1" s="2446"/>
      <c r="E1" s="2375" t="s">
        <v>2831</v>
      </c>
      <c r="F1" s="1736" t="s">
        <v>2337</v>
      </c>
      <c r="G1" s="1735"/>
      <c r="H1" s="1735"/>
      <c r="I1" s="1735"/>
      <c r="J1" s="1735"/>
      <c r="K1" s="1737"/>
      <c r="L1" s="1729"/>
      <c r="M1" s="1730"/>
      <c r="N1" s="1730"/>
      <c r="O1" s="1730"/>
      <c r="P1" s="2376"/>
      <c r="Q1" s="1731"/>
      <c r="R1" s="1731"/>
      <c r="S1" s="1731"/>
      <c r="T1" s="1731"/>
      <c r="U1" s="1731"/>
      <c r="V1" s="1731"/>
      <c r="W1" s="1731"/>
      <c r="X1" s="1731"/>
      <c r="Y1" s="1731"/>
      <c r="Z1" s="1731"/>
      <c r="AA1" s="1731"/>
      <c r="AB1" s="1731"/>
      <c r="AC1" s="1732"/>
    </row>
    <row r="2" spans="1:29" s="377" customFormat="1" ht="28.5" customHeight="1" thickTop="1">
      <c r="A2" s="1723" t="s">
        <v>2005</v>
      </c>
      <c r="B2" s="1721">
        <f>IF(D2="——",IF(C2="元",ROUND(C49*D3,0),ROUND(C49*D3/10000,0)),IF(C2="元",ROUND(C49*D3,0),ROUND(C49*D3/10000,0))-E2)</f>
        <v>20984288</v>
      </c>
      <c r="C2" s="163" t="str">
        <f>'数据-取费表'!B3</f>
        <v>元</v>
      </c>
      <c r="D2" s="2377" t="s">
        <v>1253</v>
      </c>
      <c r="E2" s="2447" t="e">
        <f ca="1">SUMIF(INDIRECT("'"&amp;G2&amp;"'"&amp;"!A:A"),"承租人权益价值",INDIRECT("'"&amp;G2&amp;"'"&amp;"!c:c"))</f>
        <v>#REF!</v>
      </c>
      <c r="F2" s="2378" t="str">
        <f>C2</f>
        <v>元</v>
      </c>
      <c r="G2" s="2379"/>
      <c r="H2" s="981"/>
      <c r="I2" s="981"/>
      <c r="J2" s="981"/>
      <c r="K2" s="981"/>
      <c r="L2" s="1237"/>
      <c r="M2" s="1238"/>
      <c r="N2" s="1238"/>
      <c r="O2" s="1238"/>
      <c r="P2" s="2448"/>
      <c r="Q2" s="747"/>
      <c r="R2" s="747"/>
      <c r="S2" s="747"/>
      <c r="T2" s="747"/>
      <c r="U2" s="747"/>
      <c r="V2" s="747"/>
      <c r="W2" s="747"/>
      <c r="X2" s="747"/>
      <c r="Y2" s="747"/>
      <c r="Z2" s="747"/>
      <c r="AA2" s="747"/>
      <c r="AB2" s="747"/>
      <c r="AC2" s="748"/>
    </row>
    <row r="3" spans="1:29" s="377" customFormat="1" ht="28.5" customHeight="1" thickBot="1">
      <c r="A3" s="167" t="s">
        <v>2006</v>
      </c>
      <c r="B3" s="593">
        <f>ROUND(IF(D2="——",C49,IF(C2="万元",B2*10000/D3,B2/D3)),0)</f>
        <v>36565</v>
      </c>
      <c r="C3" s="379" t="s">
        <v>2338</v>
      </c>
      <c r="D3" s="378">
        <f>IF(C1="仅计算典型户型",'数据-取费表'!E5,'数据-取费表'!B5)</f>
        <v>573.89</v>
      </c>
      <c r="E3" s="2449"/>
      <c r="F3" s="982"/>
      <c r="G3" s="981"/>
      <c r="H3" s="981"/>
      <c r="I3" s="981"/>
      <c r="J3" s="981"/>
      <c r="K3" s="983"/>
      <c r="L3" s="1237"/>
      <c r="M3" s="1238"/>
      <c r="N3" s="1238"/>
      <c r="O3" s="1238"/>
      <c r="P3" s="2448"/>
      <c r="Q3" s="747"/>
      <c r="R3" s="747"/>
      <c r="S3" s="747"/>
      <c r="T3" s="747"/>
      <c r="U3" s="747"/>
      <c r="V3" s="747"/>
      <c r="W3" s="747"/>
      <c r="X3" s="747"/>
      <c r="Y3" s="747"/>
      <c r="Z3" s="747"/>
      <c r="AA3" s="747"/>
      <c r="AB3" s="747"/>
      <c r="AC3" s="761"/>
    </row>
    <row r="4" spans="1:29" ht="15">
      <c r="A4" s="380" t="s">
        <v>2339</v>
      </c>
      <c r="B4" s="381"/>
      <c r="C4" s="2985" t="s">
        <v>2340</v>
      </c>
      <c r="D4" s="2986"/>
      <c r="E4" s="2987" t="s">
        <v>2341</v>
      </c>
      <c r="F4" s="2988"/>
      <c r="G4" s="2985" t="s">
        <v>2342</v>
      </c>
      <c r="H4" s="2986"/>
      <c r="I4" s="2985" t="s">
        <v>2343</v>
      </c>
      <c r="J4" s="2986"/>
      <c r="K4" s="594" t="s">
        <v>2344</v>
      </c>
      <c r="L4" s="1239"/>
      <c r="M4" s="1240"/>
      <c r="N4" s="1240"/>
      <c r="O4" s="1240"/>
      <c r="P4" s="3040" t="s">
        <v>2345</v>
      </c>
      <c r="Q4" s="2990"/>
      <c r="R4" s="2995" t="s">
        <v>2341</v>
      </c>
      <c r="S4" s="2996"/>
      <c r="T4" s="2995" t="s">
        <v>2342</v>
      </c>
      <c r="U4" s="2996"/>
      <c r="V4" s="3001" t="s">
        <v>2343</v>
      </c>
      <c r="W4" s="3001"/>
      <c r="X4" s="1896"/>
      <c r="Y4" s="2995" t="s">
        <v>2345</v>
      </c>
      <c r="Z4" s="2996"/>
      <c r="AA4" s="2982" t="s">
        <v>2341</v>
      </c>
      <c r="AB4" s="3001" t="s">
        <v>2342</v>
      </c>
      <c r="AC4" s="2982" t="s">
        <v>2343</v>
      </c>
    </row>
    <row r="5" spans="1:29" ht="15">
      <c r="A5" s="383"/>
      <c r="B5" s="384"/>
      <c r="C5" s="3004" t="s">
        <v>2346</v>
      </c>
      <c r="D5" s="2979"/>
      <c r="E5" s="3002" t="s">
        <v>2840</v>
      </c>
      <c r="F5" s="3003"/>
      <c r="G5" s="2978" t="s">
        <v>2841</v>
      </c>
      <c r="H5" s="2979"/>
      <c r="I5" s="2978" t="s">
        <v>2842</v>
      </c>
      <c r="J5" s="2979"/>
      <c r="K5" s="594"/>
      <c r="L5" s="1239"/>
      <c r="M5" s="1240"/>
      <c r="N5" s="1240"/>
      <c r="O5" s="1240"/>
      <c r="P5" s="3041"/>
      <c r="Q5" s="2992"/>
      <c r="R5" s="2997"/>
      <c r="S5" s="2998"/>
      <c r="T5" s="2997"/>
      <c r="U5" s="2998"/>
      <c r="V5" s="3001"/>
      <c r="W5" s="3001"/>
      <c r="X5" s="1896"/>
      <c r="Y5" s="2997"/>
      <c r="Z5" s="2998"/>
      <c r="AA5" s="2983"/>
      <c r="AB5" s="3001"/>
      <c r="AC5" s="2983"/>
    </row>
    <row r="6" spans="1:29" ht="15.75" thickBot="1">
      <c r="A6" s="385"/>
      <c r="B6" s="386"/>
      <c r="C6" s="2975" t="s">
        <v>2350</v>
      </c>
      <c r="D6" s="2976"/>
      <c r="E6" s="2973" t="s">
        <v>2350</v>
      </c>
      <c r="F6" s="2974"/>
      <c r="G6" s="2975" t="s">
        <v>2350</v>
      </c>
      <c r="H6" s="2976"/>
      <c r="I6" s="2975" t="s">
        <v>2350</v>
      </c>
      <c r="J6" s="2976"/>
      <c r="K6" s="594" t="s">
        <v>2351</v>
      </c>
      <c r="L6" s="1239"/>
      <c r="M6" s="1240"/>
      <c r="N6" s="1240"/>
      <c r="O6" s="1240"/>
      <c r="P6" s="3042"/>
      <c r="Q6" s="2994"/>
      <c r="R6" s="2997"/>
      <c r="S6" s="2998"/>
      <c r="T6" s="2999"/>
      <c r="U6" s="3000"/>
      <c r="V6" s="3001"/>
      <c r="W6" s="3001"/>
      <c r="X6" s="1896"/>
      <c r="Y6" s="2999"/>
      <c r="Z6" s="3000"/>
      <c r="AA6" s="2984"/>
      <c r="AB6" s="3001"/>
      <c r="AC6" s="2984"/>
    </row>
    <row r="7" spans="1:29" s="35" customFormat="1" ht="15.75" thickBot="1">
      <c r="A7" s="387" t="s">
        <v>2352</v>
      </c>
      <c r="B7" s="388"/>
      <c r="C7" s="389">
        <f>'数据-取费表'!B2</f>
        <v>43257</v>
      </c>
      <c r="D7" s="390">
        <v>100</v>
      </c>
      <c r="E7" s="391">
        <v>43191</v>
      </c>
      <c r="F7" s="392">
        <f>SUMIF(58:58,YEAR(E7)&amp;"-"&amp;MONTH(E7),59:59)</f>
        <v>99</v>
      </c>
      <c r="G7" s="391">
        <v>43191</v>
      </c>
      <c r="H7" s="390">
        <f>SUMIF(58:58,YEAR(G7)&amp;"-"&amp;MONTH(G7),59:59)</f>
        <v>99</v>
      </c>
      <c r="I7" s="391">
        <v>43191</v>
      </c>
      <c r="J7" s="390">
        <f>SUMIF(58:58,YEAR(I7)&amp;"-"&amp;MONTH(I7),59:59)</f>
        <v>99</v>
      </c>
      <c r="K7" s="595"/>
      <c r="L7" s="1241"/>
      <c r="M7" s="1242"/>
      <c r="N7" s="1242"/>
      <c r="O7" s="1242"/>
      <c r="P7" s="3005" t="s">
        <v>2353</v>
      </c>
      <c r="Q7" s="2980"/>
      <c r="R7" s="749" t="s">
        <v>25</v>
      </c>
      <c r="S7" s="750">
        <f t="shared" ref="S7:S15" si="0">F7</f>
        <v>99</v>
      </c>
      <c r="T7" s="749" t="s">
        <v>25</v>
      </c>
      <c r="U7" s="750">
        <f t="shared" ref="U7:U15" si="1">H7</f>
        <v>99</v>
      </c>
      <c r="V7" s="749" t="s">
        <v>25</v>
      </c>
      <c r="W7" s="750">
        <f t="shared" ref="W7:W15" si="2">J7</f>
        <v>99</v>
      </c>
      <c r="X7" s="751"/>
      <c r="Y7" s="3005" t="s">
        <v>2353</v>
      </c>
      <c r="Z7" s="2981"/>
      <c r="AA7" s="752">
        <f>D7/F7</f>
        <v>1.0101010101010102</v>
      </c>
      <c r="AB7" s="752">
        <f>D7/H7</f>
        <v>1.0101010101010102</v>
      </c>
      <c r="AC7" s="752">
        <f>D7/J7</f>
        <v>1.0101010101010102</v>
      </c>
    </row>
    <row r="8" spans="1:29" s="35" customFormat="1" ht="15.75" thickBot="1">
      <c r="A8" s="387" t="s">
        <v>2354</v>
      </c>
      <c r="B8" s="388"/>
      <c r="C8" s="394" t="s">
        <v>2355</v>
      </c>
      <c r="D8" s="390">
        <v>100</v>
      </c>
      <c r="E8" s="394" t="s">
        <v>2832</v>
      </c>
      <c r="F8" s="392">
        <f>SUMIF(61:61,E8,62:62)-SUMIF(61:61,C8,62:62)+100</f>
        <v>100</v>
      </c>
      <c r="G8" s="394" t="s">
        <v>2832</v>
      </c>
      <c r="H8" s="390">
        <f>SUMIF(61:61,G8,62:62)-SUMIF(61:61,C8,62:62)+100</f>
        <v>100</v>
      </c>
      <c r="I8" s="394" t="s">
        <v>2832</v>
      </c>
      <c r="J8" s="390">
        <f>SUMIF(61:61,I8,62:62)-SUMIF(61:61,C8,62:62)+100</f>
        <v>100</v>
      </c>
      <c r="K8" s="595"/>
      <c r="L8" s="1241"/>
      <c r="M8" s="1242"/>
      <c r="N8" s="1242"/>
      <c r="O8" s="1242"/>
      <c r="P8" s="3005" t="s">
        <v>2356</v>
      </c>
      <c r="Q8" s="2981"/>
      <c r="R8" s="749" t="s">
        <v>25</v>
      </c>
      <c r="S8" s="750">
        <f t="shared" si="0"/>
        <v>100</v>
      </c>
      <c r="T8" s="749" t="s">
        <v>25</v>
      </c>
      <c r="U8" s="750">
        <f t="shared" si="1"/>
        <v>100</v>
      </c>
      <c r="V8" s="749" t="s">
        <v>25</v>
      </c>
      <c r="W8" s="750">
        <f t="shared" si="2"/>
        <v>100</v>
      </c>
      <c r="X8" s="751"/>
      <c r="Y8" s="3005" t="s">
        <v>2356</v>
      </c>
      <c r="Z8" s="2981"/>
      <c r="AA8" s="752">
        <f t="shared" ref="AA8:AA46" si="3">D8/F8</f>
        <v>1</v>
      </c>
      <c r="AB8" s="752">
        <f t="shared" ref="AB8:AB46" si="4">D8/H8</f>
        <v>1</v>
      </c>
      <c r="AC8" s="752">
        <f t="shared" ref="AC8:AC46" si="5">D8/J8</f>
        <v>1</v>
      </c>
    </row>
    <row r="9" spans="1:29" s="35" customFormat="1">
      <c r="A9" s="395" t="s">
        <v>2357</v>
      </c>
      <c r="B9" s="28" t="s">
        <v>2358</v>
      </c>
      <c r="C9" s="396"/>
      <c r="D9" s="51">
        <v>100</v>
      </c>
      <c r="E9" s="397"/>
      <c r="F9" s="398">
        <f>SUMIF(63:63,E9,64:64)-SUMIF(63:63,C9,64:64)+100</f>
        <v>100</v>
      </c>
      <c r="G9" s="397"/>
      <c r="H9" s="51">
        <f>SUMIF(63:63,G9,64:64)-SUMIF(63:63,C9,64:64)+100</f>
        <v>100</v>
      </c>
      <c r="I9" s="397"/>
      <c r="J9" s="51">
        <f>SUMIF(63:63,I9,64:64)-SUMIF(63:63,C9,64:64)+100</f>
        <v>100</v>
      </c>
      <c r="K9" s="595"/>
      <c r="L9" s="1241"/>
      <c r="M9" s="1242"/>
      <c r="N9" s="1242"/>
      <c r="O9" s="1242"/>
      <c r="P9" s="3046" t="s">
        <v>2359</v>
      </c>
      <c r="Q9" s="1883" t="str">
        <f t="shared" ref="Q9:Q15" si="6">B9</f>
        <v>用途</v>
      </c>
      <c r="R9" s="749" t="s">
        <v>25</v>
      </c>
      <c r="S9" s="750">
        <f t="shared" si="0"/>
        <v>100</v>
      </c>
      <c r="T9" s="749" t="s">
        <v>25</v>
      </c>
      <c r="U9" s="750">
        <f t="shared" si="1"/>
        <v>100</v>
      </c>
      <c r="V9" s="749" t="s">
        <v>25</v>
      </c>
      <c r="W9" s="750">
        <f t="shared" si="2"/>
        <v>100</v>
      </c>
      <c r="X9" s="751"/>
      <c r="Y9" s="2853"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596"/>
      <c r="L10" s="1244"/>
      <c r="M10" s="1245"/>
      <c r="N10" s="1245"/>
      <c r="O10" s="1245"/>
      <c r="P10" s="3046"/>
      <c r="Q10" s="1883" t="str">
        <f t="shared" si="6"/>
        <v>土地使用年限（年）</v>
      </c>
      <c r="R10" s="749" t="s">
        <v>25</v>
      </c>
      <c r="S10" s="750">
        <f t="shared" si="0"/>
        <v>100</v>
      </c>
      <c r="T10" s="749" t="s">
        <v>25</v>
      </c>
      <c r="U10" s="750">
        <f t="shared" si="1"/>
        <v>100</v>
      </c>
      <c r="V10" s="749" t="s">
        <v>25</v>
      </c>
      <c r="W10" s="750">
        <f t="shared" si="2"/>
        <v>100</v>
      </c>
      <c r="X10" s="751"/>
      <c r="Y10" s="2853"/>
      <c r="Z10" s="23" t="str">
        <f t="shared" si="7"/>
        <v>土地使用年限（年）</v>
      </c>
      <c r="AA10" s="752">
        <f t="shared" si="3"/>
        <v>1</v>
      </c>
      <c r="AB10" s="752">
        <f t="shared" si="4"/>
        <v>1</v>
      </c>
      <c r="AC10" s="752">
        <f t="shared" si="5"/>
        <v>1</v>
      </c>
    </row>
    <row r="11" spans="1:29" ht="15">
      <c r="A11" s="408"/>
      <c r="B11" s="402" t="s">
        <v>2362</v>
      </c>
      <c r="C11" s="409"/>
      <c r="D11" s="52">
        <v>100</v>
      </c>
      <c r="E11" s="410"/>
      <c r="F11" s="405">
        <f>LOOKUP(E11,68:68,69:69)-LOOKUP(C11,68:68,69:69)+100</f>
        <v>100</v>
      </c>
      <c r="G11" s="409"/>
      <c r="H11" s="52">
        <f>LOOKUP(G11,68:68,69:69)-LOOKUP(C11,68:68,69:69)+100</f>
        <v>100</v>
      </c>
      <c r="I11" s="409"/>
      <c r="J11" s="52">
        <f>LOOKUP(I11,68:68,69:69)-LOOKUP(C11,68:68,69:69)+100</f>
        <v>100</v>
      </c>
      <c r="K11" s="596"/>
      <c r="L11" s="1247"/>
      <c r="M11" s="1240"/>
      <c r="N11" s="1240"/>
      <c r="O11" s="1240"/>
      <c r="P11" s="3046"/>
      <c r="Q11" s="1883" t="str">
        <f t="shared" si="6"/>
        <v>容积率</v>
      </c>
      <c r="R11" s="749" t="s">
        <v>25</v>
      </c>
      <c r="S11" s="750">
        <f t="shared" si="0"/>
        <v>100</v>
      </c>
      <c r="T11" s="749" t="s">
        <v>25</v>
      </c>
      <c r="U11" s="750">
        <f t="shared" si="1"/>
        <v>100</v>
      </c>
      <c r="V11" s="749" t="s">
        <v>25</v>
      </c>
      <c r="W11" s="750">
        <f t="shared" si="2"/>
        <v>100</v>
      </c>
      <c r="X11" s="751"/>
      <c r="Y11" s="2853"/>
      <c r="Z11" s="23" t="str">
        <f t="shared" si="7"/>
        <v>容积率</v>
      </c>
      <c r="AA11" s="752">
        <f t="shared" si="3"/>
        <v>1</v>
      </c>
      <c r="AB11" s="752">
        <f t="shared" si="4"/>
        <v>1</v>
      </c>
      <c r="AC11" s="752">
        <f t="shared" si="5"/>
        <v>1</v>
      </c>
    </row>
    <row r="12" spans="1:29" s="35" customFormat="1" ht="15">
      <c r="A12" s="411"/>
      <c r="B12" s="2392">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046"/>
      <c r="Q12" s="1883">
        <f t="shared" si="6"/>
        <v>111</v>
      </c>
      <c r="R12" s="749" t="s">
        <v>25</v>
      </c>
      <c r="S12" s="750">
        <f t="shared" si="0"/>
        <v>100</v>
      </c>
      <c r="T12" s="749" t="s">
        <v>25</v>
      </c>
      <c r="U12" s="750">
        <f t="shared" si="1"/>
        <v>100</v>
      </c>
      <c r="V12" s="749" t="s">
        <v>25</v>
      </c>
      <c r="W12" s="750">
        <f t="shared" si="2"/>
        <v>100</v>
      </c>
      <c r="X12" s="751"/>
      <c r="Y12" s="2853"/>
      <c r="Z12" s="23">
        <f t="shared" si="7"/>
        <v>111</v>
      </c>
      <c r="AA12" s="752">
        <f>D12/F12</f>
        <v>1</v>
      </c>
      <c r="AB12" s="752">
        <f>D12/H12</f>
        <v>1</v>
      </c>
      <c r="AC12" s="752">
        <f>D12/J12</f>
        <v>1</v>
      </c>
    </row>
    <row r="13" spans="1:29" ht="15">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046"/>
      <c r="Q13" s="1883">
        <f t="shared" si="6"/>
        <v>111</v>
      </c>
      <c r="R13" s="749" t="s">
        <v>25</v>
      </c>
      <c r="S13" s="750">
        <f t="shared" si="0"/>
        <v>100</v>
      </c>
      <c r="T13" s="749" t="s">
        <v>25</v>
      </c>
      <c r="U13" s="750">
        <f t="shared" si="1"/>
        <v>100</v>
      </c>
      <c r="V13" s="749" t="s">
        <v>25</v>
      </c>
      <c r="W13" s="750">
        <f t="shared" si="2"/>
        <v>100</v>
      </c>
      <c r="X13" s="751"/>
      <c r="Y13" s="2853"/>
      <c r="Z13" s="23">
        <f t="shared" si="7"/>
        <v>111</v>
      </c>
      <c r="AA13" s="752">
        <f t="shared" si="3"/>
        <v>1</v>
      </c>
      <c r="AB13" s="752">
        <f t="shared" si="4"/>
        <v>1</v>
      </c>
      <c r="AC13" s="752">
        <f t="shared" si="5"/>
        <v>1</v>
      </c>
    </row>
    <row r="14" spans="1:29" ht="15.75" thickBot="1">
      <c r="A14" s="416"/>
      <c r="B14" s="2394">
        <v>111</v>
      </c>
      <c r="C14" s="2395"/>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046"/>
      <c r="Q14" s="1883">
        <f t="shared" si="6"/>
        <v>111</v>
      </c>
      <c r="R14" s="749" t="s">
        <v>25</v>
      </c>
      <c r="S14" s="750">
        <f t="shared" si="0"/>
        <v>100</v>
      </c>
      <c r="T14" s="749" t="s">
        <v>25</v>
      </c>
      <c r="U14" s="750">
        <f t="shared" si="1"/>
        <v>100</v>
      </c>
      <c r="V14" s="749" t="s">
        <v>25</v>
      </c>
      <c r="W14" s="750">
        <f t="shared" si="2"/>
        <v>100</v>
      </c>
      <c r="X14" s="751"/>
      <c r="Y14" s="2853"/>
      <c r="Z14" s="23">
        <f t="shared" si="7"/>
        <v>111</v>
      </c>
      <c r="AA14" s="752">
        <f t="shared" si="3"/>
        <v>1</v>
      </c>
      <c r="AB14" s="752">
        <f t="shared" si="4"/>
        <v>1</v>
      </c>
      <c r="AC14" s="752">
        <f t="shared" si="5"/>
        <v>1</v>
      </c>
    </row>
    <row r="15" spans="1:29" ht="15">
      <c r="A15" s="419" t="s">
        <v>2363</v>
      </c>
      <c r="B15" s="26" t="s">
        <v>2449</v>
      </c>
      <c r="C15" s="2396" t="str">
        <f>估价对象房地状况!C4</f>
        <v>——</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047" t="s">
        <v>2364</v>
      </c>
      <c r="Q15" s="1895" t="str">
        <f t="shared" si="6"/>
        <v>商业繁华度</v>
      </c>
      <c r="R15" s="753" t="s">
        <v>25</v>
      </c>
      <c r="S15" s="754">
        <f t="shared" si="0"/>
        <v>100</v>
      </c>
      <c r="T15" s="753" t="s">
        <v>25</v>
      </c>
      <c r="U15" s="754">
        <f t="shared" si="1"/>
        <v>100</v>
      </c>
      <c r="V15" s="753" t="s">
        <v>25</v>
      </c>
      <c r="W15" s="754">
        <f t="shared" si="2"/>
        <v>100</v>
      </c>
      <c r="X15" s="1896"/>
      <c r="Y15" s="3006" t="s">
        <v>2364</v>
      </c>
      <c r="Z15" s="1898" t="str">
        <f t="shared" si="7"/>
        <v>商业繁华度</v>
      </c>
      <c r="AA15" s="1899">
        <f t="shared" si="3"/>
        <v>1</v>
      </c>
      <c r="AB15" s="1899">
        <f t="shared" si="4"/>
        <v>1</v>
      </c>
      <c r="AC15" s="1899">
        <f t="shared" si="5"/>
        <v>1</v>
      </c>
    </row>
    <row r="16" spans="1:29" ht="15">
      <c r="A16" s="408"/>
      <c r="B16" s="425"/>
      <c r="C16" s="426"/>
      <c r="D16" s="427"/>
      <c r="E16" s="426"/>
      <c r="F16" s="429"/>
      <c r="G16" s="426"/>
      <c r="H16" s="430"/>
      <c r="I16" s="426"/>
      <c r="J16" s="427"/>
      <c r="K16" s="599"/>
      <c r="L16" s="1249"/>
      <c r="M16" s="1240"/>
      <c r="N16" s="1240"/>
      <c r="O16" s="1240"/>
      <c r="P16" s="3048"/>
      <c r="Q16" s="1895"/>
      <c r="R16" s="753"/>
      <c r="S16" s="754"/>
      <c r="T16" s="753"/>
      <c r="U16" s="754"/>
      <c r="V16" s="753"/>
      <c r="W16" s="754"/>
      <c r="X16" s="1896"/>
      <c r="Y16" s="3007"/>
      <c r="Z16" s="1898"/>
      <c r="AA16" s="1899">
        <v>1</v>
      </c>
      <c r="AB16" s="1899">
        <v>1</v>
      </c>
      <c r="AC16" s="1899">
        <v>1</v>
      </c>
    </row>
    <row r="17" spans="1:29" ht="114">
      <c r="A17" s="408"/>
      <c r="B17" s="431" t="s">
        <v>1748</v>
      </c>
      <c r="C17" s="2399" t="str">
        <f>估价对象房地状况!C6</f>
        <v>估价对象周边道路状况为临近金榆路、通8路、快专55路公交线路经过、停车便捷程度较好，综合评价交通便捷度一般</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048"/>
      <c r="Q17" s="1895" t="str">
        <f>B17</f>
        <v>交通便捷度</v>
      </c>
      <c r="R17" s="753" t="s">
        <v>25</v>
      </c>
      <c r="S17" s="754">
        <f>F17</f>
        <v>100</v>
      </c>
      <c r="T17" s="753" t="s">
        <v>25</v>
      </c>
      <c r="U17" s="754">
        <f>H17</f>
        <v>100</v>
      </c>
      <c r="V17" s="753" t="s">
        <v>25</v>
      </c>
      <c r="W17" s="754">
        <f>J17</f>
        <v>100</v>
      </c>
      <c r="X17" s="1896"/>
      <c r="Y17" s="3007"/>
      <c r="Z17" s="1898" t="str">
        <f>Q17</f>
        <v>交通便捷度</v>
      </c>
      <c r="AA17" s="1899">
        <f t="shared" si="3"/>
        <v>1</v>
      </c>
      <c r="AB17" s="1899">
        <f t="shared" si="4"/>
        <v>1</v>
      </c>
      <c r="AC17" s="1899">
        <f t="shared" si="5"/>
        <v>1</v>
      </c>
    </row>
    <row r="18" spans="1:29" ht="15">
      <c r="A18" s="408"/>
      <c r="B18" s="436"/>
      <c r="C18" s="437"/>
      <c r="D18" s="430"/>
      <c r="E18" s="1464"/>
      <c r="F18" s="433"/>
      <c r="G18" s="2400"/>
      <c r="H18" s="427"/>
      <c r="I18" s="1464"/>
      <c r="J18" s="427"/>
      <c r="K18" s="599"/>
      <c r="L18" s="1249"/>
      <c r="M18" s="1240"/>
      <c r="N18" s="1240"/>
      <c r="O18" s="1240"/>
      <c r="P18" s="3048"/>
      <c r="Q18" s="1895"/>
      <c r="R18" s="753"/>
      <c r="S18" s="754"/>
      <c r="T18" s="753"/>
      <c r="U18" s="754"/>
      <c r="V18" s="753"/>
      <c r="W18" s="754"/>
      <c r="X18" s="1896"/>
      <c r="Y18" s="3007"/>
      <c r="Z18" s="1898"/>
      <c r="AA18" s="1899">
        <v>1</v>
      </c>
      <c r="AB18" s="1899">
        <v>1</v>
      </c>
      <c r="AC18" s="1899">
        <v>1</v>
      </c>
    </row>
    <row r="19" spans="1:29" ht="42.75">
      <c r="A19" s="408"/>
      <c r="B19" s="431" t="s">
        <v>2450</v>
      </c>
      <c r="C19" s="2399" t="str">
        <f>估价对象房地状况!C7</f>
        <v>估价对象所在区域公共配套设施齐备情况一般</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048"/>
      <c r="Q19" s="1895" t="str">
        <f>B19</f>
        <v>公共配套设施</v>
      </c>
      <c r="R19" s="753" t="s">
        <v>25</v>
      </c>
      <c r="S19" s="754">
        <f>F19</f>
        <v>100</v>
      </c>
      <c r="T19" s="753" t="s">
        <v>25</v>
      </c>
      <c r="U19" s="754">
        <f>H19</f>
        <v>100</v>
      </c>
      <c r="V19" s="753" t="s">
        <v>25</v>
      </c>
      <c r="W19" s="754">
        <f>J19</f>
        <v>100</v>
      </c>
      <c r="X19" s="1896"/>
      <c r="Y19" s="3007"/>
      <c r="Z19" s="1898" t="str">
        <f>Q19</f>
        <v>公共配套设施</v>
      </c>
      <c r="AA19" s="1899">
        <f t="shared" si="3"/>
        <v>1</v>
      </c>
      <c r="AB19" s="1899">
        <f t="shared" si="4"/>
        <v>1</v>
      </c>
      <c r="AC19" s="1899">
        <f t="shared" si="5"/>
        <v>1</v>
      </c>
    </row>
    <row r="20" spans="1:29" ht="15">
      <c r="A20" s="408"/>
      <c r="B20" s="436"/>
      <c r="C20" s="426"/>
      <c r="D20" s="427"/>
      <c r="E20" s="428"/>
      <c r="F20" s="429"/>
      <c r="G20" s="2397"/>
      <c r="H20" s="427"/>
      <c r="I20" s="428"/>
      <c r="J20" s="427"/>
      <c r="K20" s="599"/>
      <c r="L20" s="1249"/>
      <c r="M20" s="1240"/>
      <c r="N20" s="1240"/>
      <c r="O20" s="1240"/>
      <c r="P20" s="3048"/>
      <c r="Q20" s="1895"/>
      <c r="R20" s="753"/>
      <c r="S20" s="754"/>
      <c r="T20" s="753"/>
      <c r="U20" s="754"/>
      <c r="V20" s="753"/>
      <c r="W20" s="754"/>
      <c r="X20" s="1896"/>
      <c r="Y20" s="3007"/>
      <c r="Z20" s="1898"/>
      <c r="AA20" s="1899">
        <v>1</v>
      </c>
      <c r="AB20" s="1899">
        <v>1</v>
      </c>
      <c r="AC20" s="1899">
        <v>1</v>
      </c>
    </row>
    <row r="21" spans="1:29" ht="42.75">
      <c r="A21" s="408"/>
      <c r="B21" s="2401" t="s">
        <v>2451</v>
      </c>
      <c r="C21" s="2399"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048"/>
      <c r="Q21" s="1895" t="str">
        <f>B21</f>
        <v>基础设施水平</v>
      </c>
      <c r="R21" s="753" t="s">
        <v>25</v>
      </c>
      <c r="S21" s="754">
        <f>F21</f>
        <v>100</v>
      </c>
      <c r="T21" s="753" t="s">
        <v>25</v>
      </c>
      <c r="U21" s="754">
        <f>H21</f>
        <v>100</v>
      </c>
      <c r="V21" s="753" t="s">
        <v>25</v>
      </c>
      <c r="W21" s="754">
        <f>J21</f>
        <v>100</v>
      </c>
      <c r="X21" s="1896"/>
      <c r="Y21" s="3007"/>
      <c r="Z21" s="1898" t="str">
        <f>Q21</f>
        <v>基础设施水平</v>
      </c>
      <c r="AA21" s="1899">
        <f t="shared" ref="AA21" si="8">D21/F21</f>
        <v>1</v>
      </c>
      <c r="AB21" s="1899">
        <f t="shared" ref="AB21" si="9">D21/H21</f>
        <v>1</v>
      </c>
      <c r="AC21" s="1899">
        <f t="shared" ref="AC21" si="10">D21/J21</f>
        <v>1</v>
      </c>
    </row>
    <row r="22" spans="1:29" ht="15">
      <c r="A22" s="408"/>
      <c r="B22" s="2401"/>
      <c r="C22" s="437"/>
      <c r="D22" s="427"/>
      <c r="E22" s="426"/>
      <c r="F22" s="429"/>
      <c r="G22" s="426"/>
      <c r="H22" s="427"/>
      <c r="I22" s="426"/>
      <c r="J22" s="427"/>
      <c r="K22" s="1465"/>
      <c r="L22" s="1249"/>
      <c r="M22" s="1240"/>
      <c r="N22" s="1240"/>
      <c r="O22" s="1240"/>
      <c r="P22" s="3048"/>
      <c r="Q22" s="1895"/>
      <c r="R22" s="753"/>
      <c r="S22" s="754"/>
      <c r="T22" s="753"/>
      <c r="U22" s="754"/>
      <c r="V22" s="753"/>
      <c r="W22" s="754"/>
      <c r="X22" s="1896"/>
      <c r="Y22" s="3007"/>
      <c r="Z22" s="1898"/>
      <c r="AA22" s="1899">
        <v>1</v>
      </c>
      <c r="AB22" s="1899">
        <v>1</v>
      </c>
      <c r="AC22" s="1899">
        <v>1</v>
      </c>
    </row>
    <row r="23" spans="1:29" ht="85.5">
      <c r="A23" s="408"/>
      <c r="B23" s="431" t="s">
        <v>1753</v>
      </c>
      <c r="C23" s="2450" t="str">
        <f>估价对象房地状况!C9</f>
        <v>区域2公里内有自然环境：温榆河；人文环境：北京物资学院；综合评价环境状况较好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048"/>
      <c r="Q23" s="1895" t="str">
        <f>B23</f>
        <v>自然及人文环境</v>
      </c>
      <c r="R23" s="753" t="s">
        <v>25</v>
      </c>
      <c r="S23" s="754">
        <f>F23</f>
        <v>100</v>
      </c>
      <c r="T23" s="753" t="s">
        <v>25</v>
      </c>
      <c r="U23" s="754">
        <f>H23</f>
        <v>100</v>
      </c>
      <c r="V23" s="753" t="s">
        <v>25</v>
      </c>
      <c r="W23" s="754">
        <f>J23</f>
        <v>100</v>
      </c>
      <c r="X23" s="1896"/>
      <c r="Y23" s="3007"/>
      <c r="Z23" s="1898" t="str">
        <f>Q23</f>
        <v>自然及人文环境</v>
      </c>
      <c r="AA23" s="1899">
        <f t="shared" si="3"/>
        <v>1</v>
      </c>
      <c r="AB23" s="1899">
        <f t="shared" si="4"/>
        <v>1</v>
      </c>
      <c r="AC23" s="1899">
        <f t="shared" si="5"/>
        <v>1</v>
      </c>
    </row>
    <row r="24" spans="1:29" ht="15">
      <c r="A24" s="408"/>
      <c r="B24" s="436"/>
      <c r="C24" s="426"/>
      <c r="D24" s="427"/>
      <c r="E24" s="428"/>
      <c r="F24" s="429"/>
      <c r="G24" s="2397"/>
      <c r="H24" s="427"/>
      <c r="I24" s="428"/>
      <c r="J24" s="427"/>
      <c r="K24" s="599"/>
      <c r="L24" s="1249"/>
      <c r="M24" s="1240"/>
      <c r="N24" s="1240"/>
      <c r="O24" s="1240"/>
      <c r="P24" s="3048"/>
      <c r="Q24" s="1895"/>
      <c r="R24" s="753"/>
      <c r="S24" s="754"/>
      <c r="T24" s="753"/>
      <c r="U24" s="754"/>
      <c r="V24" s="753"/>
      <c r="W24" s="754"/>
      <c r="X24" s="1896"/>
      <c r="Y24" s="3007"/>
      <c r="Z24" s="1898"/>
      <c r="AA24" s="1899">
        <v>1</v>
      </c>
      <c r="AB24" s="1899">
        <v>1</v>
      </c>
      <c r="AC24" s="1899">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49"/>
      <c r="M25" s="1240"/>
      <c r="N25" s="1240"/>
      <c r="O25" s="1240"/>
      <c r="P25" s="3048"/>
      <c r="Q25" s="1895" t="str">
        <f t="shared" ref="Q25:Q46" si="11">B25</f>
        <v>临街状况</v>
      </c>
      <c r="R25" s="753" t="s">
        <v>25</v>
      </c>
      <c r="S25" s="754">
        <f>F25</f>
        <v>100</v>
      </c>
      <c r="T25" s="753" t="s">
        <v>25</v>
      </c>
      <c r="U25" s="754">
        <f>H25</f>
        <v>100</v>
      </c>
      <c r="V25" s="753" t="s">
        <v>25</v>
      </c>
      <c r="W25" s="754">
        <f>J25</f>
        <v>100</v>
      </c>
      <c r="X25" s="1896"/>
      <c r="Y25" s="3007"/>
      <c r="Z25" s="1898" t="str">
        <f>Q25</f>
        <v>临街状况</v>
      </c>
      <c r="AA25" s="1899">
        <f t="shared" si="3"/>
        <v>1</v>
      </c>
      <c r="AB25" s="1899">
        <f t="shared" si="4"/>
        <v>1</v>
      </c>
      <c r="AC25" s="1899">
        <f t="shared" si="5"/>
        <v>1</v>
      </c>
    </row>
    <row r="26" spans="1:29" ht="15">
      <c r="A26" s="408"/>
      <c r="B26" s="2405" t="s">
        <v>2453</v>
      </c>
      <c r="C26" s="414"/>
      <c r="D26" s="415">
        <v>100</v>
      </c>
      <c r="E26" s="414"/>
      <c r="F26" s="442">
        <f>SUMIF(88:88,E26,89:89)-SUMIF(88:88,C26,89:89)+100</f>
        <v>100</v>
      </c>
      <c r="G26" s="414"/>
      <c r="H26" s="415">
        <f>SUMIF(88:88,G26,89:89)-SUMIF(88:88,C26,89:89)+100</f>
        <v>100</v>
      </c>
      <c r="I26" s="414"/>
      <c r="J26" s="415">
        <f>SUMIF(88:88,I26,89:89)-SUMIF(88:88,C26,89:89)+100</f>
        <v>100</v>
      </c>
      <c r="K26" s="597"/>
      <c r="L26" s="1249"/>
      <c r="M26" s="1240"/>
      <c r="N26" s="1240"/>
      <c r="O26" s="1240"/>
      <c r="P26" s="3048"/>
      <c r="Q26" s="1895" t="str">
        <f t="shared" si="11"/>
        <v>平面位置/可视性</v>
      </c>
      <c r="R26" s="753" t="s">
        <v>25</v>
      </c>
      <c r="S26" s="754">
        <f>F26</f>
        <v>100</v>
      </c>
      <c r="T26" s="753" t="s">
        <v>25</v>
      </c>
      <c r="U26" s="754">
        <f>H26</f>
        <v>100</v>
      </c>
      <c r="V26" s="753" t="s">
        <v>25</v>
      </c>
      <c r="W26" s="754">
        <f>J26</f>
        <v>100</v>
      </c>
      <c r="X26" s="1896"/>
      <c r="Y26" s="3007"/>
      <c r="Z26" s="1898" t="str">
        <f>Q26</f>
        <v>平面位置/可视性</v>
      </c>
      <c r="AA26" s="1899">
        <f t="shared" si="3"/>
        <v>1</v>
      </c>
      <c r="AB26" s="1899">
        <f t="shared" si="4"/>
        <v>1</v>
      </c>
      <c r="AC26" s="1899">
        <f t="shared" si="5"/>
        <v>1</v>
      </c>
    </row>
    <row r="27" spans="1:29" s="35" customFormat="1" ht="15">
      <c r="A27" s="411"/>
      <c r="B27" s="431" t="s">
        <v>2454</v>
      </c>
      <c r="C27" s="2451"/>
      <c r="D27" s="443">
        <v>100</v>
      </c>
      <c r="E27" s="2451"/>
      <c r="F27" s="445">
        <f>SUMIF(90:90,E27,91:91)-SUMIF(90:90,C27,91:91)+100</f>
        <v>100</v>
      </c>
      <c r="G27" s="2451"/>
      <c r="H27" s="443">
        <f>SUMIF(90:90,G27,91:91)-SUMIF(90:90,C27,91:91)+100</f>
        <v>100</v>
      </c>
      <c r="I27" s="2451"/>
      <c r="J27" s="443">
        <f>SUMIF(90:90,I27,91:91)-SUMIF(90:90,C27,91:91)+100</f>
        <v>100</v>
      </c>
      <c r="K27" s="596"/>
      <c r="L27" s="1241"/>
      <c r="M27" s="1242"/>
      <c r="N27" s="1242"/>
      <c r="O27" s="1242"/>
      <c r="P27" s="3048"/>
      <c r="Q27" s="1883" t="str">
        <f t="shared" si="11"/>
        <v>人流量</v>
      </c>
      <c r="R27" s="749" t="s">
        <v>25</v>
      </c>
      <c r="S27" s="750">
        <f>F27</f>
        <v>100</v>
      </c>
      <c r="T27" s="749" t="s">
        <v>25</v>
      </c>
      <c r="U27" s="750">
        <f>H27</f>
        <v>100</v>
      </c>
      <c r="V27" s="749" t="s">
        <v>25</v>
      </c>
      <c r="W27" s="750">
        <f>J27</f>
        <v>100</v>
      </c>
      <c r="X27" s="751"/>
      <c r="Y27" s="3007"/>
      <c r="Z27" s="23" t="str">
        <f>Q27</f>
        <v>人流量</v>
      </c>
      <c r="AA27" s="1899">
        <f>D27/F27</f>
        <v>1</v>
      </c>
      <c r="AB27" s="1899">
        <f>D27/H27</f>
        <v>1</v>
      </c>
      <c r="AC27" s="1899">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048"/>
      <c r="Q28" s="1895" t="str">
        <f t="shared" si="11"/>
        <v>楼层</v>
      </c>
      <c r="R28" s="753" t="s">
        <v>25</v>
      </c>
      <c r="S28" s="754">
        <f t="shared" ref="S28:S46" si="12">F28</f>
        <v>100</v>
      </c>
      <c r="T28" s="753" t="s">
        <v>25</v>
      </c>
      <c r="U28" s="754">
        <f t="shared" ref="U28:U46" si="13">H28</f>
        <v>100</v>
      </c>
      <c r="V28" s="753" t="s">
        <v>25</v>
      </c>
      <c r="W28" s="754">
        <f t="shared" ref="W28:W46" si="14">J28</f>
        <v>100</v>
      </c>
      <c r="X28" s="1896"/>
      <c r="Y28" s="3007"/>
      <c r="Z28" s="1898" t="str">
        <f t="shared" ref="Z28:Z46" si="15">Q28</f>
        <v>楼层</v>
      </c>
      <c r="AA28" s="1899">
        <f t="shared" si="3"/>
        <v>1</v>
      </c>
      <c r="AB28" s="1899">
        <f t="shared" si="4"/>
        <v>1</v>
      </c>
      <c r="AC28" s="1899">
        <f t="shared" si="5"/>
        <v>1</v>
      </c>
    </row>
    <row r="29" spans="1:29" ht="15">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597"/>
      <c r="L29" s="1249"/>
      <c r="M29" s="1240"/>
      <c r="N29" s="1240"/>
      <c r="O29" s="1240"/>
      <c r="P29" s="3048"/>
      <c r="Q29" s="1895">
        <f t="shared" si="11"/>
        <v>111</v>
      </c>
      <c r="R29" s="753" t="s">
        <v>25</v>
      </c>
      <c r="S29" s="754">
        <f t="shared" si="12"/>
        <v>100</v>
      </c>
      <c r="T29" s="753" t="s">
        <v>25</v>
      </c>
      <c r="U29" s="754">
        <f t="shared" si="13"/>
        <v>100</v>
      </c>
      <c r="V29" s="753" t="s">
        <v>25</v>
      </c>
      <c r="W29" s="754">
        <f t="shared" si="14"/>
        <v>100</v>
      </c>
      <c r="X29" s="1896"/>
      <c r="Y29" s="3007"/>
      <c r="Z29" s="1898">
        <f t="shared" si="15"/>
        <v>111</v>
      </c>
      <c r="AA29" s="1899">
        <f t="shared" si="3"/>
        <v>1</v>
      </c>
      <c r="AB29" s="1899">
        <f t="shared" si="4"/>
        <v>1</v>
      </c>
      <c r="AC29" s="1899">
        <f t="shared" si="5"/>
        <v>1</v>
      </c>
    </row>
    <row r="30" spans="1:29" ht="15">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048"/>
      <c r="Q30" s="1895">
        <f t="shared" si="11"/>
        <v>111</v>
      </c>
      <c r="R30" s="753" t="s">
        <v>25</v>
      </c>
      <c r="S30" s="754">
        <f t="shared" si="12"/>
        <v>100</v>
      </c>
      <c r="T30" s="753" t="s">
        <v>25</v>
      </c>
      <c r="U30" s="754">
        <f t="shared" si="13"/>
        <v>100</v>
      </c>
      <c r="V30" s="753" t="s">
        <v>25</v>
      </c>
      <c r="W30" s="754">
        <f t="shared" si="14"/>
        <v>100</v>
      </c>
      <c r="X30" s="1896"/>
      <c r="Y30" s="3007"/>
      <c r="Z30" s="1898">
        <f t="shared" si="15"/>
        <v>111</v>
      </c>
      <c r="AA30" s="1899">
        <f t="shared" si="3"/>
        <v>1</v>
      </c>
      <c r="AB30" s="1899">
        <f t="shared" si="4"/>
        <v>1</v>
      </c>
      <c r="AC30" s="1899">
        <f t="shared" si="5"/>
        <v>1</v>
      </c>
    </row>
    <row r="31" spans="1:29" ht="15.75" thickBot="1">
      <c r="A31" s="416"/>
      <c r="B31" s="2405">
        <v>111</v>
      </c>
      <c r="C31" s="2395"/>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048"/>
      <c r="Q31" s="1895">
        <f t="shared" si="11"/>
        <v>111</v>
      </c>
      <c r="R31" s="753" t="s">
        <v>25</v>
      </c>
      <c r="S31" s="754">
        <f t="shared" si="12"/>
        <v>100</v>
      </c>
      <c r="T31" s="753" t="s">
        <v>25</v>
      </c>
      <c r="U31" s="754">
        <f t="shared" si="13"/>
        <v>100</v>
      </c>
      <c r="V31" s="753" t="s">
        <v>25</v>
      </c>
      <c r="W31" s="754">
        <f t="shared" si="14"/>
        <v>100</v>
      </c>
      <c r="X31" s="1896"/>
      <c r="Y31" s="3007"/>
      <c r="Z31" s="1898">
        <f t="shared" si="15"/>
        <v>111</v>
      </c>
      <c r="AA31" s="1899">
        <f t="shared" si="3"/>
        <v>1</v>
      </c>
      <c r="AB31" s="1899">
        <f t="shared" si="4"/>
        <v>1</v>
      </c>
      <c r="AC31" s="1899">
        <f t="shared" si="5"/>
        <v>1</v>
      </c>
    </row>
    <row r="32" spans="1:29" ht="15">
      <c r="A32" s="419" t="s">
        <v>2368</v>
      </c>
      <c r="B32" s="28" t="s">
        <v>2456</v>
      </c>
      <c r="C32" s="2406"/>
      <c r="D32" s="448">
        <v>100</v>
      </c>
      <c r="E32" s="2406"/>
      <c r="F32" s="442">
        <f>SUMIF(100:100,E32,101:101)-SUMIF(100:100,C32,101:101)+100</f>
        <v>100</v>
      </c>
      <c r="G32" s="2406"/>
      <c r="H32" s="415">
        <f>SUMIF(100:100,G32,101:101)-SUMIF(100:100,C32,101:101)+100</f>
        <v>100</v>
      </c>
      <c r="I32" s="2406"/>
      <c r="J32" s="448">
        <f>SUMIF(100:100,I32,101:101)-SUMIF(100:100,C32,101:101)+100</f>
        <v>100</v>
      </c>
      <c r="K32" s="596"/>
      <c r="L32" s="1249"/>
      <c r="M32" s="1240"/>
      <c r="N32" s="1240"/>
      <c r="O32" s="1240"/>
      <c r="P32" s="3043" t="s">
        <v>2370</v>
      </c>
      <c r="Q32" s="1895" t="str">
        <f t="shared" si="11"/>
        <v>商业类型</v>
      </c>
      <c r="R32" s="753" t="s">
        <v>25</v>
      </c>
      <c r="S32" s="754">
        <f t="shared" si="12"/>
        <v>100</v>
      </c>
      <c r="T32" s="753" t="s">
        <v>25</v>
      </c>
      <c r="U32" s="754">
        <f t="shared" si="13"/>
        <v>100</v>
      </c>
      <c r="V32" s="753" t="s">
        <v>25</v>
      </c>
      <c r="W32" s="754">
        <f t="shared" si="14"/>
        <v>100</v>
      </c>
      <c r="X32" s="1896"/>
      <c r="Y32" s="3011" t="s">
        <v>2370</v>
      </c>
      <c r="Z32" s="1898" t="str">
        <f t="shared" si="15"/>
        <v>商业类型</v>
      </c>
      <c r="AA32" s="1899">
        <f t="shared" si="3"/>
        <v>1</v>
      </c>
      <c r="AB32" s="1899">
        <f t="shared" si="4"/>
        <v>1</v>
      </c>
      <c r="AC32" s="1899">
        <f t="shared" si="5"/>
        <v>1</v>
      </c>
    </row>
    <row r="33" spans="1:29" s="452" customFormat="1" ht="15">
      <c r="A33" s="449"/>
      <c r="B33" s="402" t="s">
        <v>2371</v>
      </c>
      <c r="C33" s="450"/>
      <c r="D33" s="52">
        <v>100</v>
      </c>
      <c r="E33" s="410"/>
      <c r="F33" s="405">
        <f>LOOKUP(E33,103:103,104:104)-LOOKUP(C33,103:103,104:104)+100</f>
        <v>100</v>
      </c>
      <c r="G33" s="409"/>
      <c r="H33" s="52">
        <f>LOOKUP(G33,103:103,104:104)-LOOKUP(C33,103:103,104:104)+100</f>
        <v>100</v>
      </c>
      <c r="I33" s="409"/>
      <c r="J33" s="52">
        <f>LOOKUP(I33,103:103,104:104)-LOOKUP(C33,103:103,104:104)+100</f>
        <v>100</v>
      </c>
      <c r="K33" s="597"/>
      <c r="L33" s="1247"/>
      <c r="M33" s="1250"/>
      <c r="N33" s="1250"/>
      <c r="O33" s="1250"/>
      <c r="P33" s="3044"/>
      <c r="Q33" s="755" t="str">
        <f t="shared" si="11"/>
        <v>项目建筑规模</v>
      </c>
      <c r="R33" s="756" t="s">
        <v>25</v>
      </c>
      <c r="S33" s="757">
        <f t="shared" si="12"/>
        <v>100</v>
      </c>
      <c r="T33" s="756" t="s">
        <v>25</v>
      </c>
      <c r="U33" s="757">
        <f t="shared" si="13"/>
        <v>100</v>
      </c>
      <c r="V33" s="756" t="s">
        <v>25</v>
      </c>
      <c r="W33" s="757">
        <f t="shared" si="14"/>
        <v>100</v>
      </c>
      <c r="X33" s="758"/>
      <c r="Y33" s="3011"/>
      <c r="Z33" s="759" t="str">
        <f t="shared" si="15"/>
        <v>项目建筑规模</v>
      </c>
      <c r="AA33" s="1899">
        <f t="shared" si="3"/>
        <v>1</v>
      </c>
      <c r="AB33" s="1899">
        <f t="shared" si="4"/>
        <v>1</v>
      </c>
      <c r="AC33" s="1899">
        <f t="shared" si="5"/>
        <v>1</v>
      </c>
    </row>
    <row r="34" spans="1:29" ht="15">
      <c r="A34" s="453"/>
      <c r="B34" s="402" t="s">
        <v>2372</v>
      </c>
      <c r="C34" s="2408"/>
      <c r="D34" s="415">
        <v>100</v>
      </c>
      <c r="E34" s="2409"/>
      <c r="F34" s="442">
        <f>SUMIF(105:105,E34,106:106)-SUMIF(105:105,C34,106:106)+100</f>
        <v>100</v>
      </c>
      <c r="G34" s="2408"/>
      <c r="H34" s="415">
        <f>SUMIF(105:105,G34,106:106)-SUMIF(105:105,C34,106:106)+100</f>
        <v>100</v>
      </c>
      <c r="I34" s="2408"/>
      <c r="J34" s="415">
        <f>SUMIF(105:105,I34,106:106)-SUMIF(105:105,C34,106:106)+100</f>
        <v>100</v>
      </c>
      <c r="K34" s="596"/>
      <c r="L34" s="1249"/>
      <c r="M34" s="1240"/>
      <c r="N34" s="1240"/>
      <c r="O34" s="1240"/>
      <c r="P34" s="3044"/>
      <c r="Q34" s="1895" t="str">
        <f t="shared" si="11"/>
        <v>建筑结构</v>
      </c>
      <c r="R34" s="753" t="s">
        <v>25</v>
      </c>
      <c r="S34" s="754">
        <f t="shared" si="12"/>
        <v>100</v>
      </c>
      <c r="T34" s="753" t="s">
        <v>25</v>
      </c>
      <c r="U34" s="754">
        <f t="shared" si="13"/>
        <v>100</v>
      </c>
      <c r="V34" s="753" t="s">
        <v>25</v>
      </c>
      <c r="W34" s="754">
        <f t="shared" si="14"/>
        <v>100</v>
      </c>
      <c r="X34" s="1896"/>
      <c r="Y34" s="3011"/>
      <c r="Z34" s="1898" t="str">
        <f t="shared" si="15"/>
        <v>建筑结构</v>
      </c>
      <c r="AA34" s="1899">
        <f t="shared" si="3"/>
        <v>1</v>
      </c>
      <c r="AB34" s="1899">
        <f t="shared" si="4"/>
        <v>1</v>
      </c>
      <c r="AC34" s="1899">
        <f t="shared" si="5"/>
        <v>1</v>
      </c>
    </row>
    <row r="35" spans="1:29" ht="15">
      <c r="A35" s="453"/>
      <c r="B35" s="402" t="s">
        <v>2457</v>
      </c>
      <c r="C35" s="2404"/>
      <c r="D35" s="415">
        <v>100</v>
      </c>
      <c r="E35" s="2404"/>
      <c r="F35" s="442">
        <f>SUMIF(107:107,E35,108:108)-SUMIF(107:107,C35,108:108)+100</f>
        <v>100</v>
      </c>
      <c r="G35" s="2404"/>
      <c r="H35" s="415">
        <f>SUMIF(107:107,G35,108:108)-SUMIF(107:107,C35,108:108)+100</f>
        <v>100</v>
      </c>
      <c r="I35" s="2404"/>
      <c r="J35" s="415">
        <f>SUMIF(107:107,I35,108:108)-SUMIF(107:107,C35,108:108)+100</f>
        <v>100</v>
      </c>
      <c r="K35" s="596"/>
      <c r="L35" s="1249"/>
      <c r="M35" s="1240"/>
      <c r="N35" s="1240"/>
      <c r="O35" s="1240"/>
      <c r="P35" s="3044"/>
      <c r="Q35" s="1895" t="str">
        <f t="shared" si="11"/>
        <v>公共部分装修</v>
      </c>
      <c r="R35" s="753" t="s">
        <v>25</v>
      </c>
      <c r="S35" s="754">
        <f t="shared" si="12"/>
        <v>100</v>
      </c>
      <c r="T35" s="753" t="s">
        <v>25</v>
      </c>
      <c r="U35" s="754">
        <f t="shared" si="13"/>
        <v>100</v>
      </c>
      <c r="V35" s="753" t="s">
        <v>25</v>
      </c>
      <c r="W35" s="754">
        <f t="shared" si="14"/>
        <v>100</v>
      </c>
      <c r="X35" s="1896"/>
      <c r="Y35" s="3011"/>
      <c r="Z35" s="1898" t="str">
        <f t="shared" si="15"/>
        <v>公共部分装修</v>
      </c>
      <c r="AA35" s="1899">
        <f t="shared" si="3"/>
        <v>1</v>
      </c>
      <c r="AB35" s="1899">
        <f t="shared" si="4"/>
        <v>1</v>
      </c>
      <c r="AC35" s="1899">
        <f t="shared" si="5"/>
        <v>1</v>
      </c>
    </row>
    <row r="36" spans="1:29" ht="15">
      <c r="A36" s="453"/>
      <c r="B36" s="402" t="s">
        <v>2458</v>
      </c>
      <c r="C36" s="455">
        <f>'数据-取费表'!E20</f>
        <v>0.9</v>
      </c>
      <c r="D36" s="415">
        <v>100</v>
      </c>
      <c r="E36" s="455">
        <v>1</v>
      </c>
      <c r="F36" s="442">
        <f>LOOKUP(E36,110:110,111:111)-LOOKUP(C36,110:110,111:111)+100</f>
        <v>100</v>
      </c>
      <c r="G36" s="455">
        <v>1</v>
      </c>
      <c r="H36" s="442">
        <f>LOOKUP(G36,110:110,111:111)-LOOKUP(C36,110:110,111:111)+100</f>
        <v>100</v>
      </c>
      <c r="I36" s="455">
        <v>0.78</v>
      </c>
      <c r="J36" s="415">
        <f>LOOKUP(I36,110:110,111:111)-LOOKUP(C36,110:110,111:111)+100</f>
        <v>100</v>
      </c>
      <c r="K36" s="596"/>
      <c r="L36" s="1249"/>
      <c r="M36" s="1240"/>
      <c r="N36" s="1240"/>
      <c r="O36" s="1240"/>
      <c r="P36" s="3044"/>
      <c r="Q36" s="1895" t="str">
        <f t="shared" si="11"/>
        <v>成新度</v>
      </c>
      <c r="R36" s="753" t="s">
        <v>25</v>
      </c>
      <c r="S36" s="754">
        <f t="shared" si="12"/>
        <v>100</v>
      </c>
      <c r="T36" s="753" t="s">
        <v>25</v>
      </c>
      <c r="U36" s="754">
        <f t="shared" si="13"/>
        <v>100</v>
      </c>
      <c r="V36" s="753" t="s">
        <v>25</v>
      </c>
      <c r="W36" s="754">
        <f t="shared" si="14"/>
        <v>100</v>
      </c>
      <c r="X36" s="1896"/>
      <c r="Y36" s="3011"/>
      <c r="Z36" s="1898" t="str">
        <f t="shared" si="15"/>
        <v>成新度</v>
      </c>
      <c r="AA36" s="1899">
        <f t="shared" si="3"/>
        <v>1</v>
      </c>
      <c r="AB36" s="1899">
        <f t="shared" si="4"/>
        <v>1</v>
      </c>
      <c r="AC36" s="1899">
        <f t="shared" si="5"/>
        <v>1</v>
      </c>
    </row>
    <row r="37" spans="1:29" s="35" customFormat="1" ht="15">
      <c r="A37" s="454"/>
      <c r="B37" s="402" t="s">
        <v>2459</v>
      </c>
      <c r="C37" s="2404"/>
      <c r="D37" s="52">
        <v>100</v>
      </c>
      <c r="E37" s="2404"/>
      <c r="F37" s="442">
        <f>SUMIF(112:112,E37,113:113)-SUMIF(112:112,C37,113:113)+100</f>
        <v>100</v>
      </c>
      <c r="G37" s="2404"/>
      <c r="H37" s="415">
        <f>SUMIF(112:112,G37,113:113)-SUMIF(112:112,C37,113:113)+100</f>
        <v>100</v>
      </c>
      <c r="I37" s="2404"/>
      <c r="J37" s="415">
        <f>SUMIF(112:112,I37,113:113)-SUMIF(112:112,C37,113:113)+100</f>
        <v>100</v>
      </c>
      <c r="K37" s="596"/>
      <c r="L37" s="1241"/>
      <c r="M37" s="1242"/>
      <c r="N37" s="1242"/>
      <c r="O37" s="1242"/>
      <c r="P37" s="3044"/>
      <c r="Q37" s="1883" t="str">
        <f t="shared" si="11"/>
        <v>市政基础设施</v>
      </c>
      <c r="R37" s="749" t="s">
        <v>25</v>
      </c>
      <c r="S37" s="750">
        <f t="shared" si="12"/>
        <v>100</v>
      </c>
      <c r="T37" s="749" t="s">
        <v>25</v>
      </c>
      <c r="U37" s="750">
        <f t="shared" si="13"/>
        <v>100</v>
      </c>
      <c r="V37" s="749" t="s">
        <v>25</v>
      </c>
      <c r="W37" s="750">
        <f t="shared" si="14"/>
        <v>100</v>
      </c>
      <c r="X37" s="751"/>
      <c r="Y37" s="3011"/>
      <c r="Z37" s="23" t="str">
        <f t="shared" si="15"/>
        <v>市政基础设施</v>
      </c>
      <c r="AA37" s="752">
        <f t="shared" si="3"/>
        <v>1</v>
      </c>
      <c r="AB37" s="752">
        <f t="shared" si="4"/>
        <v>1</v>
      </c>
      <c r="AC37" s="752">
        <f t="shared" si="5"/>
        <v>1</v>
      </c>
    </row>
    <row r="38" spans="1:29" ht="15">
      <c r="A38" s="453"/>
      <c r="B38" s="402" t="s">
        <v>2460</v>
      </c>
      <c r="C38" s="2404"/>
      <c r="D38" s="415">
        <v>100</v>
      </c>
      <c r="E38" s="2404"/>
      <c r="F38" s="442">
        <f>SUMIF(114:114,E38,115:115)-SUMIF(114:114,C38,115:115)+100</f>
        <v>100</v>
      </c>
      <c r="G38" s="2404"/>
      <c r="H38" s="415">
        <f>SUMIF(114:114,G38,115:115)-SUMIF(114:114,C38,115:115)+100</f>
        <v>100</v>
      </c>
      <c r="I38" s="2404"/>
      <c r="J38" s="415">
        <f>SUMIF(114:114,I38,115:115)-SUMIF(114:114,C38,115:115)+100</f>
        <v>100</v>
      </c>
      <c r="K38" s="596"/>
      <c r="L38" s="1249"/>
      <c r="M38" s="1240"/>
      <c r="N38" s="1240"/>
      <c r="O38" s="1240"/>
      <c r="P38" s="3044" t="s">
        <v>2370</v>
      </c>
      <c r="Q38" s="1895" t="str">
        <f t="shared" si="11"/>
        <v>业态</v>
      </c>
      <c r="R38" s="753" t="s">
        <v>25</v>
      </c>
      <c r="S38" s="754">
        <f t="shared" si="12"/>
        <v>100</v>
      </c>
      <c r="T38" s="753" t="s">
        <v>25</v>
      </c>
      <c r="U38" s="754">
        <f t="shared" si="13"/>
        <v>100</v>
      </c>
      <c r="V38" s="753" t="s">
        <v>25</v>
      </c>
      <c r="W38" s="754">
        <f t="shared" si="14"/>
        <v>100</v>
      </c>
      <c r="X38" s="1896"/>
      <c r="Y38" s="3011" t="s">
        <v>2370</v>
      </c>
      <c r="Z38" s="1898" t="str">
        <f t="shared" si="15"/>
        <v>业态</v>
      </c>
      <c r="AA38" s="1899">
        <f t="shared" si="3"/>
        <v>1</v>
      </c>
      <c r="AB38" s="1899">
        <f t="shared" si="4"/>
        <v>1</v>
      </c>
      <c r="AC38" s="1899">
        <f t="shared" si="5"/>
        <v>1</v>
      </c>
    </row>
    <row r="39" spans="1:29" ht="15">
      <c r="A39" s="453"/>
      <c r="B39" s="402" t="s">
        <v>2461</v>
      </c>
      <c r="C39" s="2404"/>
      <c r="D39" s="415">
        <v>100</v>
      </c>
      <c r="E39" s="2404"/>
      <c r="F39" s="442">
        <f>SUMIF(116:116,E39,117:117)-SUMIF(116:116,C39,117:117)+100</f>
        <v>100</v>
      </c>
      <c r="G39" s="2404"/>
      <c r="H39" s="415">
        <f>SUMIF(116:116,G39,117:117)-SUMIF(116:116,C39,117:117)+100</f>
        <v>100</v>
      </c>
      <c r="I39" s="2404"/>
      <c r="J39" s="415">
        <f>SUMIF(116:116,I39,117:117)-SUMIF(116:116,C39,117:117)+100</f>
        <v>100</v>
      </c>
      <c r="K39" s="596"/>
      <c r="L39" s="1249"/>
      <c r="M39" s="1240"/>
      <c r="N39" s="1240"/>
      <c r="O39" s="1240"/>
      <c r="P39" s="3044"/>
      <c r="Q39" s="1895" t="str">
        <f t="shared" si="11"/>
        <v>层高</v>
      </c>
      <c r="R39" s="753" t="s">
        <v>25</v>
      </c>
      <c r="S39" s="754">
        <f t="shared" si="12"/>
        <v>100</v>
      </c>
      <c r="T39" s="753" t="s">
        <v>25</v>
      </c>
      <c r="U39" s="754">
        <f t="shared" si="13"/>
        <v>100</v>
      </c>
      <c r="V39" s="753" t="s">
        <v>25</v>
      </c>
      <c r="W39" s="754">
        <f t="shared" si="14"/>
        <v>100</v>
      </c>
      <c r="X39" s="1896"/>
      <c r="Y39" s="3011"/>
      <c r="Z39" s="1898" t="str">
        <f t="shared" si="15"/>
        <v>层高</v>
      </c>
      <c r="AA39" s="1899">
        <f t="shared" si="3"/>
        <v>1</v>
      </c>
      <c r="AB39" s="1899">
        <f t="shared" si="4"/>
        <v>1</v>
      </c>
      <c r="AC39" s="1899">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044"/>
      <c r="Q40" s="1895" t="str">
        <f t="shared" si="11"/>
        <v>单套建筑面积</v>
      </c>
      <c r="R40" s="753" t="s">
        <v>25</v>
      </c>
      <c r="S40" s="754">
        <f t="shared" si="12"/>
        <v>100</v>
      </c>
      <c r="T40" s="753" t="s">
        <v>25</v>
      </c>
      <c r="U40" s="754">
        <f t="shared" si="13"/>
        <v>100</v>
      </c>
      <c r="V40" s="753" t="s">
        <v>25</v>
      </c>
      <c r="W40" s="754">
        <f t="shared" si="14"/>
        <v>100</v>
      </c>
      <c r="X40" s="1896"/>
      <c r="Y40" s="3011"/>
      <c r="Z40" s="1898" t="str">
        <f t="shared" si="15"/>
        <v>单套建筑面积</v>
      </c>
      <c r="AA40" s="1899">
        <f t="shared" si="3"/>
        <v>1</v>
      </c>
      <c r="AB40" s="1899">
        <f t="shared" si="4"/>
        <v>1</v>
      </c>
      <c r="AC40" s="1899">
        <f t="shared" si="5"/>
        <v>1</v>
      </c>
    </row>
    <row r="41" spans="1:29" s="452" customFormat="1" ht="15">
      <c r="A41" s="449"/>
      <c r="B41" s="1900"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044"/>
      <c r="Q41" s="755" t="str">
        <f t="shared" si="11"/>
        <v>进深比</v>
      </c>
      <c r="R41" s="756" t="s">
        <v>25</v>
      </c>
      <c r="S41" s="757">
        <f t="shared" si="12"/>
        <v>100</v>
      </c>
      <c r="T41" s="756" t="s">
        <v>25</v>
      </c>
      <c r="U41" s="757">
        <f t="shared" si="13"/>
        <v>100</v>
      </c>
      <c r="V41" s="756" t="s">
        <v>25</v>
      </c>
      <c r="W41" s="757">
        <f t="shared" si="14"/>
        <v>100</v>
      </c>
      <c r="X41" s="758"/>
      <c r="Y41" s="3011"/>
      <c r="Z41" s="759" t="str">
        <f t="shared" si="15"/>
        <v>进深比</v>
      </c>
      <c r="AA41" s="1899">
        <f t="shared" si="3"/>
        <v>1</v>
      </c>
      <c r="AB41" s="1899">
        <f t="shared" si="4"/>
        <v>1</v>
      </c>
      <c r="AC41" s="1899">
        <f t="shared" si="5"/>
        <v>1</v>
      </c>
    </row>
    <row r="42" spans="1:29" ht="15">
      <c r="A42" s="453"/>
      <c r="B42" s="402" t="s">
        <v>2464</v>
      </c>
      <c r="C42" s="2404"/>
      <c r="D42" s="415">
        <v>100</v>
      </c>
      <c r="E42" s="2404"/>
      <c r="F42" s="442">
        <f>SUMIF(122:122,E42,123:123)-SUMIF(122:122,C42,123:123)+100</f>
        <v>100</v>
      </c>
      <c r="G42" s="2404"/>
      <c r="H42" s="415">
        <f>SUMIF(122:122,G42,123:123)-SUMIF(122:122,C42,123:123)+100</f>
        <v>100</v>
      </c>
      <c r="I42" s="2404"/>
      <c r="J42" s="415">
        <f>SUMIF(122:122,I42,123:123)-SUMIF(122:122,C42,123:123)+100</f>
        <v>100</v>
      </c>
      <c r="K42" s="596"/>
      <c r="L42" s="1249"/>
      <c r="M42" s="1240"/>
      <c r="N42" s="1240"/>
      <c r="O42" s="1240"/>
      <c r="P42" s="3044"/>
      <c r="Q42" s="1895" t="str">
        <f t="shared" si="11"/>
        <v>内部装修</v>
      </c>
      <c r="R42" s="753" t="s">
        <v>25</v>
      </c>
      <c r="S42" s="754">
        <f t="shared" si="12"/>
        <v>100</v>
      </c>
      <c r="T42" s="753" t="s">
        <v>25</v>
      </c>
      <c r="U42" s="754">
        <f t="shared" si="13"/>
        <v>100</v>
      </c>
      <c r="V42" s="753" t="s">
        <v>25</v>
      </c>
      <c r="W42" s="754">
        <f t="shared" si="14"/>
        <v>100</v>
      </c>
      <c r="X42" s="1896"/>
      <c r="Y42" s="3011"/>
      <c r="Z42" s="1898" t="str">
        <f t="shared" si="15"/>
        <v>内部装修</v>
      </c>
      <c r="AA42" s="1899">
        <f t="shared" si="3"/>
        <v>1</v>
      </c>
      <c r="AB42" s="1899">
        <f t="shared" si="4"/>
        <v>1</v>
      </c>
      <c r="AC42" s="1899">
        <f t="shared" si="5"/>
        <v>1</v>
      </c>
    </row>
    <row r="43" spans="1:29" ht="15">
      <c r="A43" s="453"/>
      <c r="B43" s="402" t="s">
        <v>2381</v>
      </c>
      <c r="C43" s="2404"/>
      <c r="D43" s="415">
        <v>100</v>
      </c>
      <c r="E43" s="2404"/>
      <c r="F43" s="442">
        <f>SUMIF(124:124,E43,125:125)-SUMIF(124:124,C43,125:125)+100</f>
        <v>100</v>
      </c>
      <c r="G43" s="2404"/>
      <c r="H43" s="415">
        <f>SUMIF(124:124,G43,125:125)-SUMIF(124:124,C43,125:125)+100</f>
        <v>100</v>
      </c>
      <c r="I43" s="2404"/>
      <c r="J43" s="415">
        <f>SUMIF(124:124,I43,125:125)-SUMIF(124:124,C43,125:125)+100</f>
        <v>100</v>
      </c>
      <c r="K43" s="596"/>
      <c r="L43" s="1249"/>
      <c r="M43" s="1240"/>
      <c r="N43" s="1240"/>
      <c r="O43" s="1240"/>
      <c r="P43" s="3044"/>
      <c r="Q43" s="1895" t="str">
        <f t="shared" si="11"/>
        <v>内部装修维护情况</v>
      </c>
      <c r="R43" s="753" t="s">
        <v>25</v>
      </c>
      <c r="S43" s="754">
        <f t="shared" si="12"/>
        <v>100</v>
      </c>
      <c r="T43" s="753" t="s">
        <v>25</v>
      </c>
      <c r="U43" s="754">
        <f t="shared" si="13"/>
        <v>100</v>
      </c>
      <c r="V43" s="753" t="s">
        <v>25</v>
      </c>
      <c r="W43" s="754">
        <f t="shared" si="14"/>
        <v>100</v>
      </c>
      <c r="X43" s="1896"/>
      <c r="Y43" s="3011"/>
      <c r="Z43" s="1898" t="str">
        <f t="shared" si="15"/>
        <v>内部装修维护情况</v>
      </c>
      <c r="AA43" s="1899">
        <f t="shared" si="3"/>
        <v>1</v>
      </c>
      <c r="AB43" s="1899">
        <f t="shared" si="4"/>
        <v>1</v>
      </c>
      <c r="AC43" s="1899">
        <f t="shared" si="5"/>
        <v>1</v>
      </c>
    </row>
    <row r="44" spans="1:29" s="35" customFormat="1" ht="15">
      <c r="A44" s="454"/>
      <c r="B44" s="2405">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1"/>
      <c r="M44" s="1242"/>
      <c r="N44" s="1242"/>
      <c r="O44" s="1242"/>
      <c r="P44" s="3044"/>
      <c r="Q44" s="1883">
        <f t="shared" si="11"/>
        <v>111</v>
      </c>
      <c r="R44" s="749" t="s">
        <v>25</v>
      </c>
      <c r="S44" s="750">
        <f t="shared" si="12"/>
        <v>100</v>
      </c>
      <c r="T44" s="749" t="s">
        <v>25</v>
      </c>
      <c r="U44" s="750">
        <f t="shared" si="13"/>
        <v>100</v>
      </c>
      <c r="V44" s="749" t="s">
        <v>25</v>
      </c>
      <c r="W44" s="750">
        <f t="shared" si="14"/>
        <v>100</v>
      </c>
      <c r="X44" s="751"/>
      <c r="Y44" s="3011"/>
      <c r="Z44" s="23">
        <f t="shared" si="15"/>
        <v>111</v>
      </c>
      <c r="AA44" s="752">
        <f t="shared" si="3"/>
        <v>1</v>
      </c>
      <c r="AB44" s="752">
        <f t="shared" si="4"/>
        <v>1</v>
      </c>
      <c r="AC44" s="752">
        <f t="shared" si="5"/>
        <v>1</v>
      </c>
    </row>
    <row r="45" spans="1:29" ht="15">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9"/>
      <c r="M45" s="1240"/>
      <c r="N45" s="1240"/>
      <c r="O45" s="1240"/>
      <c r="P45" s="3044"/>
      <c r="Q45" s="1895">
        <f t="shared" si="11"/>
        <v>111</v>
      </c>
      <c r="R45" s="753" t="s">
        <v>25</v>
      </c>
      <c r="S45" s="754">
        <f t="shared" si="12"/>
        <v>100</v>
      </c>
      <c r="T45" s="753" t="s">
        <v>25</v>
      </c>
      <c r="U45" s="754">
        <f t="shared" si="13"/>
        <v>100</v>
      </c>
      <c r="V45" s="753" t="s">
        <v>25</v>
      </c>
      <c r="W45" s="754">
        <f t="shared" si="14"/>
        <v>100</v>
      </c>
      <c r="X45" s="1896"/>
      <c r="Y45" s="3011"/>
      <c r="Z45" s="1898">
        <f t="shared" si="15"/>
        <v>111</v>
      </c>
      <c r="AA45" s="1899">
        <f t="shared" si="3"/>
        <v>1</v>
      </c>
      <c r="AB45" s="1899">
        <f t="shared" si="4"/>
        <v>1</v>
      </c>
      <c r="AC45" s="1899">
        <f t="shared" si="5"/>
        <v>1</v>
      </c>
    </row>
    <row r="46" spans="1:29" ht="15.75" thickBot="1">
      <c r="A46" s="459"/>
      <c r="B46" s="2394">
        <v>111</v>
      </c>
      <c r="C46" s="2395"/>
      <c r="D46" s="417">
        <v>100</v>
      </c>
      <c r="E46" s="414"/>
      <c r="F46" s="418">
        <f>SUMIF(130:130,E46,131:131)-SUMIF(130:130,C46,131:131)+100</f>
        <v>100</v>
      </c>
      <c r="G46" s="414"/>
      <c r="H46" s="417">
        <f>SUMIF(130:130,G46,131:131)-SUMIF(130:130,C46,131:131)+100</f>
        <v>100</v>
      </c>
      <c r="I46" s="414"/>
      <c r="J46" s="417">
        <f>SUMIF(130:130,I46,131:131)-SUMIF(130:130,C46,131:131)+100</f>
        <v>100</v>
      </c>
      <c r="K46" s="597"/>
      <c r="L46" s="1249"/>
      <c r="M46" s="1240"/>
      <c r="N46" s="1240"/>
      <c r="O46" s="1240"/>
      <c r="P46" s="3045"/>
      <c r="Q46" s="1895">
        <f t="shared" si="11"/>
        <v>111</v>
      </c>
      <c r="R46" s="753" t="s">
        <v>25</v>
      </c>
      <c r="S46" s="754">
        <f t="shared" si="12"/>
        <v>100</v>
      </c>
      <c r="T46" s="753" t="s">
        <v>25</v>
      </c>
      <c r="U46" s="754">
        <f t="shared" si="13"/>
        <v>100</v>
      </c>
      <c r="V46" s="753" t="s">
        <v>25</v>
      </c>
      <c r="W46" s="754">
        <f t="shared" si="14"/>
        <v>100</v>
      </c>
      <c r="X46" s="1896"/>
      <c r="Y46" s="3012"/>
      <c r="Z46" s="1898">
        <f t="shared" si="15"/>
        <v>111</v>
      </c>
      <c r="AA46" s="1899">
        <f t="shared" si="3"/>
        <v>1</v>
      </c>
      <c r="AB46" s="1899">
        <f t="shared" si="4"/>
        <v>1</v>
      </c>
      <c r="AC46" s="1899">
        <f t="shared" si="5"/>
        <v>1</v>
      </c>
    </row>
    <row r="47" spans="1:29" ht="15">
      <c r="A47" s="460" t="s">
        <v>2382</v>
      </c>
      <c r="B47" s="461"/>
      <c r="C47" s="1498" t="s">
        <v>1</v>
      </c>
      <c r="D47" s="1499"/>
      <c r="E47" s="1500">
        <v>38399</v>
      </c>
      <c r="F47" s="1501"/>
      <c r="G47" s="1502">
        <v>36000</v>
      </c>
      <c r="H47" s="1503"/>
      <c r="I47" s="1500">
        <v>34200</v>
      </c>
      <c r="J47" s="1503"/>
      <c r="K47" s="762"/>
      <c r="L47" s="1252"/>
      <c r="M47" s="1253"/>
      <c r="N47" s="1240"/>
      <c r="O47" s="1253"/>
      <c r="P47" s="3013" t="str">
        <f>A47</f>
        <v>成交单价（元/平方米）</v>
      </c>
      <c r="Q47" s="3013"/>
      <c r="R47" s="3014">
        <f>E47</f>
        <v>38399</v>
      </c>
      <c r="S47" s="3014"/>
      <c r="T47" s="3014">
        <f>G47</f>
        <v>36000</v>
      </c>
      <c r="U47" s="3014"/>
      <c r="V47" s="3014">
        <f>I47</f>
        <v>34200</v>
      </c>
      <c r="W47" s="3014"/>
      <c r="X47" s="738"/>
      <c r="Y47" s="760"/>
      <c r="Z47" s="738"/>
      <c r="AA47" s="738"/>
      <c r="AB47" s="738"/>
      <c r="AC47" s="738"/>
    </row>
    <row r="48" spans="1:29" ht="15.75" thickBot="1">
      <c r="A48" s="467" t="s">
        <v>2465</v>
      </c>
      <c r="B48" s="468"/>
      <c r="C48" s="1504">
        <f>R49</f>
        <v>36565</v>
      </c>
      <c r="D48" s="1505"/>
      <c r="E48" s="1506">
        <f>R48</f>
        <v>38787</v>
      </c>
      <c r="F48" s="1506"/>
      <c r="G48" s="1504">
        <f>T48</f>
        <v>36364</v>
      </c>
      <c r="H48" s="1505"/>
      <c r="I48" s="1506">
        <f>V48</f>
        <v>34545</v>
      </c>
      <c r="J48" s="1505"/>
      <c r="K48" s="763"/>
      <c r="L48" s="1252"/>
      <c r="M48" s="1253"/>
      <c r="N48" s="1240"/>
      <c r="O48" s="1253"/>
      <c r="P48" s="3013" t="str">
        <f>A48</f>
        <v>比较价值（元/平方米）</v>
      </c>
      <c r="Q48" s="3013"/>
      <c r="R48" s="3014">
        <f>IF(E1="售价",ROUND(PRODUCT(R47,AA7:AA46),0),ROUND(PRODUCT(R47,AA7:AA46),1))</f>
        <v>38787</v>
      </c>
      <c r="S48" s="3014"/>
      <c r="T48" s="3014">
        <f>IF(E1="售价",ROUND(PRODUCT(T47,AB7:AB46),0),ROUND(PRODUCT(T47,AB7:AB46),1))</f>
        <v>36364</v>
      </c>
      <c r="U48" s="3014"/>
      <c r="V48" s="3014">
        <f>IF(E1="售价",ROUND(PRODUCT(V47,AC7:AC46),0),ROUND(PRODUCT(V47,AC7:AC46),1))</f>
        <v>34545</v>
      </c>
      <c r="W48" s="3014"/>
      <c r="X48" s="738"/>
      <c r="Y48" s="738"/>
      <c r="Z48" s="738"/>
      <c r="AA48" s="738"/>
      <c r="AB48" s="738"/>
      <c r="AC48" s="738"/>
    </row>
    <row r="49" spans="1:29" ht="15.75" thickBot="1">
      <c r="A49" s="473" t="s">
        <v>2466</v>
      </c>
      <c r="B49" s="474"/>
      <c r="C49" s="1508">
        <f>R49</f>
        <v>36565</v>
      </c>
      <c r="D49" s="1508"/>
      <c r="E49" s="1508"/>
      <c r="F49" s="1508"/>
      <c r="G49" s="1508"/>
      <c r="H49" s="1508"/>
      <c r="I49" s="1508"/>
      <c r="J49" s="1508"/>
      <c r="K49" s="764"/>
      <c r="L49" s="1252"/>
      <c r="M49" s="1253"/>
      <c r="N49" s="1240"/>
      <c r="O49" s="1253"/>
      <c r="P49" s="3051" t="str">
        <f>A49</f>
        <v>估价对象XX用房的比较价值（楼面单价，元/平方米）</v>
      </c>
      <c r="Q49" s="2977"/>
      <c r="R49" s="3016">
        <f>IF(E1="售价",ROUND(AVERAGE(R48:V48),0),ROUND(AVERAGE(R48:V48),1))</f>
        <v>36565</v>
      </c>
      <c r="S49" s="3016"/>
      <c r="T49" s="3016"/>
      <c r="U49" s="3016"/>
      <c r="V49" s="3016"/>
      <c r="W49" s="3016"/>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52"/>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2"/>
      <c r="Q51" s="1253"/>
      <c r="R51" s="1253"/>
      <c r="S51" s="1253"/>
      <c r="T51" s="1253"/>
      <c r="U51" s="1253"/>
      <c r="V51" s="1253"/>
      <c r="W51" s="1253"/>
      <c r="X51" s="1253"/>
      <c r="Y51" s="1253"/>
      <c r="Z51" s="1253"/>
      <c r="AA51" s="1253"/>
      <c r="AB51" s="1253"/>
      <c r="AC51" s="1253"/>
    </row>
    <row r="52" spans="1:29" ht="13.5" customHeight="1">
      <c r="A52" s="1253"/>
      <c r="B52" s="1253"/>
      <c r="C52" s="478" t="s">
        <v>2467</v>
      </c>
      <c r="D52" s="479"/>
      <c r="E52" s="480">
        <f>IF(E47&lt;E48,E48/E47-1,E47/E48-1)</f>
        <v>1.0104429802859416E-2</v>
      </c>
      <c r="F52" s="481" t="str">
        <f>IF(OR(E52&gt;=0.3,E52&lt;=-0.3),"超过30%","")</f>
        <v/>
      </c>
      <c r="G52" s="480">
        <f>IF(G47&lt;G48,G48/G47-1,G47/G48-1)</f>
        <v>1.0111111111111182E-2</v>
      </c>
      <c r="H52" s="481" t="str">
        <f>IF(OR(G52&gt;=0.3,G52&lt;=-0.3),"超过30%","")</f>
        <v/>
      </c>
      <c r="I52" s="480">
        <f>IF(I47&lt;I48,I48/I47-1,I47/I48-1)</f>
        <v>1.008771929824559E-2</v>
      </c>
      <c r="J52" s="481" t="str">
        <f>IF(OR(I52&gt;=0.3,I52&lt;=-0.3),"超过30%","")</f>
        <v/>
      </c>
      <c r="K52" s="1258"/>
      <c r="L52" s="1254"/>
      <c r="M52" s="1253"/>
      <c r="N52" s="1253"/>
      <c r="O52" s="1253"/>
      <c r="P52" s="2452"/>
      <c r="Q52" s="1253"/>
      <c r="R52" s="1253"/>
      <c r="S52" s="1253"/>
      <c r="T52" s="1253"/>
      <c r="U52" s="1253"/>
      <c r="V52" s="1253"/>
      <c r="W52" s="1253"/>
      <c r="X52" s="1253"/>
      <c r="Y52" s="1253"/>
      <c r="Z52" s="1253"/>
      <c r="AA52" s="1253"/>
      <c r="AB52" s="1253"/>
      <c r="AC52" s="1253"/>
    </row>
    <row r="53" spans="1:29" ht="13.5" customHeight="1">
      <c r="A53" s="1253"/>
      <c r="B53" s="1253"/>
      <c r="C53" s="478" t="s">
        <v>2468</v>
      </c>
      <c r="D53" s="482"/>
      <c r="E53" s="480">
        <f>IF(E48&lt;G48,G48/E48-1,E48/G48-1)</f>
        <v>6.6631833681663144E-2</v>
      </c>
      <c r="F53" s="481" t="str">
        <f>IF(OR(E53&gt;=0.2,E53&lt;=-0.2),"超过20%","")</f>
        <v/>
      </c>
      <c r="G53" s="480">
        <f>IF(G48&lt;I48,I48/G48-1,G48/I48-1)</f>
        <v>5.2655955999421078E-2</v>
      </c>
      <c r="H53" s="481" t="str">
        <f>IF(OR(G53&gt;=0.2,G53&lt;=-0.2),"超过20%","")</f>
        <v/>
      </c>
      <c r="I53" s="480">
        <f>IF(I48&lt;E48,E48/I48-1,I48/E48-1)</f>
        <v>0.12279635258358668</v>
      </c>
      <c r="J53" s="481" t="str">
        <f>IF(OR(I53&gt;=0.2,I53&lt;=-0.2),"超过20%","")</f>
        <v/>
      </c>
      <c r="K53" s="1258"/>
      <c r="L53" s="1254"/>
      <c r="M53" s="1253"/>
      <c r="N53" s="1253"/>
      <c r="O53" s="1253"/>
      <c r="P53" s="2452"/>
      <c r="Q53" s="1253"/>
      <c r="R53" s="1253"/>
      <c r="S53" s="1253"/>
      <c r="T53" s="1253"/>
      <c r="U53" s="1253"/>
      <c r="V53" s="1253"/>
      <c r="W53" s="1253"/>
      <c r="X53" s="1253"/>
      <c r="Y53" s="1253"/>
      <c r="Z53" s="1253"/>
      <c r="AA53" s="1253"/>
      <c r="AB53" s="1253"/>
      <c r="AC53" s="1253"/>
    </row>
    <row r="54" spans="1:29" s="483" customFormat="1" ht="13.5" customHeight="1">
      <c r="A54" s="1255"/>
      <c r="B54" s="1255"/>
      <c r="C54" s="478" t="s">
        <v>2469</v>
      </c>
      <c r="D54" s="482"/>
      <c r="E54" s="480">
        <f>IF(E47&lt;G47,G47/E47-1,E47/G47-1)</f>
        <v>6.6638888888888914E-2</v>
      </c>
      <c r="F54" s="481" t="str">
        <f>IF(OR(E54&gt;=0.3,E54&lt;=-0.3),"超过30%","")</f>
        <v/>
      </c>
      <c r="G54" s="480">
        <f>IF(G47&lt;I47,I47/G47-1,G47/I47-1)</f>
        <v>5.2631578947368363E-2</v>
      </c>
      <c r="H54" s="481" t="str">
        <f>IF(OR(G54&gt;=0.3,G54&lt;=-0.3),"超过30%","")</f>
        <v/>
      </c>
      <c r="I54" s="480">
        <f>IF(I47&lt;E47,E47/I47-1,I47/E47-1)</f>
        <v>0.12277777777777787</v>
      </c>
      <c r="J54" s="481" t="str">
        <f>IF(OR(I54&gt;=0.3,I54&lt;=-0.3),"超过30%","")</f>
        <v/>
      </c>
      <c r="K54" s="1259"/>
      <c r="L54" s="1260"/>
      <c r="M54" s="1255"/>
      <c r="N54" s="1255"/>
      <c r="O54" s="1255"/>
      <c r="P54" s="2453"/>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3"/>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2"/>
      <c r="Q56" s="1253"/>
      <c r="R56" s="1253"/>
      <c r="S56" s="1253"/>
      <c r="T56" s="1253"/>
      <c r="U56" s="1253"/>
      <c r="V56" s="1253"/>
      <c r="W56" s="1253"/>
      <c r="X56" s="1253"/>
      <c r="Y56" s="1253"/>
      <c r="Z56" s="1253"/>
      <c r="AA56" s="1253"/>
      <c r="AB56" s="1253"/>
      <c r="AC56" s="1253"/>
    </row>
    <row r="57" spans="1:29" ht="21.75" thickBot="1">
      <c r="A57" s="742" t="s">
        <v>2470</v>
      </c>
      <c r="B57" s="738"/>
      <c r="C57" s="743"/>
      <c r="D57" s="743"/>
      <c r="E57" s="743"/>
      <c r="F57" s="744"/>
      <c r="G57" s="744"/>
      <c r="H57" s="743"/>
      <c r="I57" s="743"/>
      <c r="J57" s="743"/>
      <c r="K57" s="745"/>
      <c r="L57" s="1268"/>
      <c r="M57" s="1269"/>
      <c r="N57" s="1269"/>
      <c r="O57" s="1269"/>
      <c r="P57" s="2454"/>
      <c r="Q57" s="2455"/>
      <c r="R57" s="1253"/>
      <c r="S57" s="1253"/>
      <c r="T57" s="1253"/>
      <c r="U57" s="1253"/>
      <c r="V57" s="1253"/>
      <c r="W57" s="1253"/>
      <c r="X57" s="1253"/>
      <c r="Y57" s="1253"/>
      <c r="Z57" s="1253"/>
      <c r="AA57" s="1253"/>
      <c r="AB57" s="1253"/>
      <c r="AC57" s="1253"/>
    </row>
    <row r="58" spans="1:29" s="489" customFormat="1" ht="15">
      <c r="A58" s="486" t="s">
        <v>2352</v>
      </c>
      <c r="B58" s="487"/>
      <c r="C58" s="1674" t="str">
        <f>YEAR(C7)&amp;"-"&amp;MONTH(C7)</f>
        <v>2018-6</v>
      </c>
      <c r="D58" s="1675">
        <f>EDATE(C58,-1)</f>
        <v>43221</v>
      </c>
      <c r="E58" s="1675">
        <f t="shared" ref="E58:O58" si="16">EDATE(D58,-1)</f>
        <v>43191</v>
      </c>
      <c r="F58" s="1675">
        <f t="shared" si="16"/>
        <v>43160</v>
      </c>
      <c r="G58" s="1675">
        <f t="shared" si="16"/>
        <v>43132</v>
      </c>
      <c r="H58" s="1675">
        <f t="shared" si="16"/>
        <v>43101</v>
      </c>
      <c r="I58" s="1675">
        <f t="shared" si="16"/>
        <v>43070</v>
      </c>
      <c r="J58" s="1675">
        <f t="shared" si="16"/>
        <v>43040</v>
      </c>
      <c r="K58" s="1675">
        <f t="shared" si="16"/>
        <v>43009</v>
      </c>
      <c r="L58" s="1675">
        <f t="shared" si="16"/>
        <v>42979</v>
      </c>
      <c r="M58" s="1675">
        <f t="shared" si="16"/>
        <v>42948</v>
      </c>
      <c r="N58" s="1675">
        <f t="shared" si="16"/>
        <v>42917</v>
      </c>
      <c r="O58" s="1675">
        <f t="shared" si="16"/>
        <v>42887</v>
      </c>
      <c r="P58" s="2416"/>
    </row>
    <row r="59" spans="1:29" s="35" customFormat="1" ht="15">
      <c r="A59" s="490"/>
      <c r="B59" s="491"/>
      <c r="C59" s="623">
        <v>100</v>
      </c>
      <c r="D59" s="493">
        <v>99.5</v>
      </c>
      <c r="E59" s="493">
        <v>99</v>
      </c>
      <c r="F59" s="493">
        <v>98.5</v>
      </c>
      <c r="G59" s="493">
        <v>98</v>
      </c>
      <c r="H59" s="493"/>
      <c r="I59" s="493"/>
      <c r="J59" s="493"/>
      <c r="K59" s="493"/>
      <c r="L59" s="493"/>
      <c r="M59" s="494"/>
      <c r="N59" s="493"/>
      <c r="O59" s="494"/>
      <c r="P59" s="2417"/>
    </row>
    <row r="60" spans="1:29" s="35" customFormat="1" ht="15.75" thickBot="1">
      <c r="A60" s="496" t="s">
        <v>2390</v>
      </c>
      <c r="B60" s="497"/>
      <c r="C60" s="498"/>
      <c r="D60" s="499"/>
      <c r="E60" s="499"/>
      <c r="F60" s="499"/>
      <c r="G60" s="499"/>
      <c r="H60" s="499"/>
      <c r="I60" s="499"/>
      <c r="J60" s="499"/>
      <c r="K60" s="499"/>
      <c r="L60" s="499"/>
      <c r="M60" s="500"/>
      <c r="N60" s="499"/>
      <c r="O60" s="500"/>
      <c r="P60" s="2417"/>
      <c r="Q60" s="485"/>
    </row>
    <row r="61" spans="1:29" s="35" customFormat="1" ht="15">
      <c r="A61" s="502" t="s">
        <v>2354</v>
      </c>
      <c r="B61" s="491"/>
      <c r="C61" s="503" t="s">
        <v>2355</v>
      </c>
      <c r="D61" s="504"/>
      <c r="E61" s="504"/>
      <c r="F61" s="504"/>
      <c r="G61" s="504"/>
      <c r="H61" s="504"/>
      <c r="I61" s="504"/>
      <c r="J61" s="504"/>
      <c r="K61" s="504"/>
      <c r="L61" s="505"/>
      <c r="M61" s="506"/>
      <c r="N61" s="1262"/>
      <c r="O61" s="1262"/>
      <c r="P61" s="2418"/>
      <c r="Q61" s="485"/>
    </row>
    <row r="62" spans="1:29" s="35" customFormat="1" ht="15.75" thickBot="1">
      <c r="A62" s="502"/>
      <c r="B62" s="491"/>
      <c r="C62" s="492">
        <v>100</v>
      </c>
      <c r="D62" s="493"/>
      <c r="E62" s="493"/>
      <c r="F62" s="493"/>
      <c r="G62" s="493"/>
      <c r="H62" s="493"/>
      <c r="I62" s="493"/>
      <c r="J62" s="493"/>
      <c r="K62" s="493"/>
      <c r="L62" s="493"/>
      <c r="M62" s="495"/>
      <c r="N62" s="1262"/>
      <c r="O62" s="1262"/>
      <c r="P62" s="2417"/>
      <c r="Q62" s="485"/>
    </row>
    <row r="63" spans="1:29">
      <c r="A63" s="508" t="s">
        <v>2393</v>
      </c>
      <c r="B63" s="509" t="s">
        <v>2358</v>
      </c>
      <c r="C63" s="510">
        <f>C9</f>
        <v>0</v>
      </c>
      <c r="D63" s="511"/>
      <c r="E63" s="511"/>
      <c r="F63" s="511"/>
      <c r="G63" s="511"/>
      <c r="H63" s="511"/>
      <c r="I63" s="511"/>
      <c r="J63" s="511"/>
      <c r="K63" s="512"/>
      <c r="L63" s="513"/>
      <c r="M63" s="514"/>
      <c r="N63" s="1263"/>
      <c r="O63" s="1263"/>
      <c r="P63" s="2419"/>
      <c r="Q63" s="485"/>
    </row>
    <row r="64" spans="1:29" ht="15.75" thickBot="1">
      <c r="A64" s="516"/>
      <c r="B64" s="517"/>
      <c r="C64" s="518">
        <v>100</v>
      </c>
      <c r="D64" s="518"/>
      <c r="E64" s="518"/>
      <c r="F64" s="518"/>
      <c r="G64" s="518"/>
      <c r="H64" s="518"/>
      <c r="I64" s="518"/>
      <c r="J64" s="518"/>
      <c r="K64" s="518"/>
      <c r="L64" s="518"/>
      <c r="M64" s="519"/>
      <c r="N64" s="1264"/>
      <c r="O64" s="1264"/>
      <c r="P64" s="2419"/>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3"/>
      <c r="O65" s="1263"/>
      <c r="P65" s="2419"/>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19"/>
      <c r="Q66" s="485"/>
    </row>
    <row r="67" spans="1:17" ht="15.75" thickTop="1">
      <c r="A67" s="516"/>
      <c r="B67" s="529" t="s">
        <v>2362</v>
      </c>
      <c r="C67" s="530" t="str">
        <f>C68&amp;"（含）"&amp;"-"&amp;D68</f>
        <v>0（含）-1</v>
      </c>
      <c r="D67" s="530" t="str">
        <f t="shared" ref="D67:L67" si="17">D68&amp;"（含）"&amp;"-"&amp;E68</f>
        <v>1（含）-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19"/>
      <c r="Q67" s="485"/>
    </row>
    <row r="68" spans="1:17" ht="15">
      <c r="A68" s="516"/>
      <c r="B68" s="531"/>
      <c r="C68" s="532">
        <v>0</v>
      </c>
      <c r="D68" s="532">
        <v>1</v>
      </c>
      <c r="E68" s="532"/>
      <c r="F68" s="532"/>
      <c r="G68" s="532"/>
      <c r="H68" s="532"/>
      <c r="I68" s="532"/>
      <c r="J68" s="532"/>
      <c r="K68" s="533"/>
      <c r="L68" s="534"/>
      <c r="M68" s="535"/>
      <c r="N68" s="1263"/>
      <c r="O68" s="1263"/>
      <c r="P68" s="2419"/>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19"/>
      <c r="Q69" s="485"/>
    </row>
    <row r="70" spans="1:17" s="452" customFormat="1" ht="15.75" thickTop="1">
      <c r="A70" s="536"/>
      <c r="B70" s="521">
        <f>B12</f>
        <v>111</v>
      </c>
      <c r="C70" s="537"/>
      <c r="D70" s="537"/>
      <c r="E70" s="537"/>
      <c r="F70" s="537"/>
      <c r="G70" s="537"/>
      <c r="H70" s="538"/>
      <c r="I70" s="538"/>
      <c r="J70" s="538"/>
      <c r="K70" s="538"/>
      <c r="L70" s="539"/>
      <c r="M70" s="540"/>
      <c r="N70" s="1265"/>
      <c r="O70" s="1265"/>
      <c r="P70" s="2420"/>
      <c r="Q70" s="543"/>
    </row>
    <row r="71" spans="1:17" s="452" customFormat="1" ht="15.75" thickBot="1">
      <c r="A71" s="536"/>
      <c r="B71" s="526"/>
      <c r="C71" s="544"/>
      <c r="D71" s="518"/>
      <c r="E71" s="518"/>
      <c r="F71" s="518"/>
      <c r="G71" s="518"/>
      <c r="H71" s="518"/>
      <c r="I71" s="518"/>
      <c r="J71" s="518"/>
      <c r="K71" s="518"/>
      <c r="L71" s="518"/>
      <c r="M71" s="519"/>
      <c r="N71" s="1264"/>
      <c r="O71" s="1264"/>
      <c r="P71" s="2420"/>
      <c r="Q71" s="543"/>
    </row>
    <row r="72" spans="1:17" s="452" customFormat="1" ht="15.75" thickTop="1">
      <c r="A72" s="536"/>
      <c r="B72" s="521">
        <f>B13</f>
        <v>111</v>
      </c>
      <c r="C72" s="537"/>
      <c r="D72" s="537"/>
      <c r="E72" s="537"/>
      <c r="F72" s="537"/>
      <c r="G72" s="537"/>
      <c r="H72" s="538"/>
      <c r="I72" s="538"/>
      <c r="J72" s="538"/>
      <c r="K72" s="538"/>
      <c r="L72" s="539"/>
      <c r="M72" s="540"/>
      <c r="N72" s="1265"/>
      <c r="O72" s="1265"/>
      <c r="P72" s="2421"/>
      <c r="Q72" s="545"/>
    </row>
    <row r="73" spans="1:17" s="452" customFormat="1" ht="15.75" thickBot="1">
      <c r="A73" s="536"/>
      <c r="B73" s="526"/>
      <c r="C73" s="544"/>
      <c r="D73" s="518"/>
      <c r="E73" s="518"/>
      <c r="F73" s="518"/>
      <c r="G73" s="544"/>
      <c r="H73" s="546"/>
      <c r="I73" s="546"/>
      <c r="J73" s="546"/>
      <c r="K73" s="546"/>
      <c r="L73" s="546"/>
      <c r="M73" s="547"/>
      <c r="N73" s="1265"/>
      <c r="O73" s="1265"/>
      <c r="P73" s="2420"/>
      <c r="Q73" s="543"/>
    </row>
    <row r="74" spans="1:17" s="452" customFormat="1" ht="15.75" thickTop="1">
      <c r="A74" s="536"/>
      <c r="B74" s="529">
        <f>B14</f>
        <v>111</v>
      </c>
      <c r="C74" s="537"/>
      <c r="D74" s="537"/>
      <c r="E74" s="537"/>
      <c r="F74" s="537"/>
      <c r="G74" s="504"/>
      <c r="H74" s="548"/>
      <c r="I74" s="548"/>
      <c r="J74" s="548"/>
      <c r="K74" s="548"/>
      <c r="L74" s="549"/>
      <c r="M74" s="550"/>
      <c r="N74" s="1265"/>
      <c r="O74" s="1265"/>
      <c r="P74" s="2422"/>
      <c r="Q74" s="543"/>
    </row>
    <row r="75" spans="1:17" s="452" customFormat="1" ht="15.75" thickBot="1">
      <c r="A75" s="552"/>
      <c r="B75" s="553"/>
      <c r="C75" s="554"/>
      <c r="D75" s="554"/>
      <c r="E75" s="554"/>
      <c r="F75" s="554"/>
      <c r="G75" s="554"/>
      <c r="H75" s="555"/>
      <c r="I75" s="555"/>
      <c r="J75" s="555"/>
      <c r="K75" s="555"/>
      <c r="L75" s="555"/>
      <c r="M75" s="556"/>
      <c r="N75" s="1265"/>
      <c r="O75" s="1265"/>
      <c r="P75" s="2420"/>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3"/>
      <c r="O76" s="1263"/>
      <c r="P76" s="2423"/>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19"/>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3"/>
      <c r="O78" s="1263"/>
      <c r="P78" s="2419"/>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19"/>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3"/>
      <c r="O80" s="1263"/>
      <c r="P80" s="2419"/>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19"/>
      <c r="Q81" s="485"/>
    </row>
    <row r="82" spans="1:17" ht="15.75" thickTop="1">
      <c r="A82" s="516"/>
      <c r="B82" s="529" t="s">
        <v>2451</v>
      </c>
      <c r="C82" s="522" t="s">
        <v>2409</v>
      </c>
      <c r="D82" s="522" t="s">
        <v>2410</v>
      </c>
      <c r="E82" s="522" t="s">
        <v>2411</v>
      </c>
      <c r="F82" s="522" t="s">
        <v>2412</v>
      </c>
      <c r="G82" s="522" t="s">
        <v>2413</v>
      </c>
      <c r="H82" s="522"/>
      <c r="I82" s="522"/>
      <c r="J82" s="522"/>
      <c r="K82" s="522"/>
      <c r="L82" s="522"/>
      <c r="M82" s="1463"/>
      <c r="N82" s="1264"/>
      <c r="O82" s="1264"/>
      <c r="P82" s="2419"/>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19"/>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3"/>
      <c r="O84" s="1263"/>
      <c r="P84" s="2419"/>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19"/>
      <c r="Q85" s="485"/>
    </row>
    <row r="86" spans="1:17" s="35" customFormat="1" ht="15.75" thickTop="1">
      <c r="A86" s="563"/>
      <c r="B86" s="521" t="s">
        <v>2471</v>
      </c>
      <c r="C86" s="537"/>
      <c r="D86" s="537"/>
      <c r="E86" s="537"/>
      <c r="F86" s="537"/>
      <c r="G86" s="537"/>
      <c r="H86" s="537"/>
      <c r="I86" s="537"/>
      <c r="J86" s="537"/>
      <c r="K86" s="537"/>
      <c r="L86" s="564"/>
      <c r="M86" s="565"/>
      <c r="N86" s="1262"/>
      <c r="O86" s="1262"/>
      <c r="P86" s="2419"/>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19"/>
      <c r="Q87" s="485"/>
    </row>
    <row r="88" spans="1:17" s="35" customFormat="1" ht="15.75" thickTop="1">
      <c r="A88" s="563"/>
      <c r="B88" s="521" t="str">
        <f>B26</f>
        <v>平面位置/可视性</v>
      </c>
      <c r="C88" s="537"/>
      <c r="D88" s="537"/>
      <c r="E88" s="537"/>
      <c r="F88" s="2424"/>
      <c r="G88" s="537"/>
      <c r="H88" s="537"/>
      <c r="I88" s="537"/>
      <c r="J88" s="537"/>
      <c r="K88" s="537"/>
      <c r="L88" s="537"/>
      <c r="M88" s="565"/>
      <c r="N88" s="1262"/>
      <c r="O88" s="1262"/>
      <c r="P88" s="2419"/>
      <c r="Q88" s="485"/>
    </row>
    <row r="89" spans="1:17" s="35" customFormat="1" ht="15.75" thickBot="1">
      <c r="A89" s="563"/>
      <c r="B89" s="526"/>
      <c r="C89" s="544"/>
      <c r="D89" s="518"/>
      <c r="E89" s="518"/>
      <c r="F89" s="518"/>
      <c r="G89" s="518"/>
      <c r="H89" s="518"/>
      <c r="I89" s="518"/>
      <c r="J89" s="518"/>
      <c r="K89" s="518"/>
      <c r="L89" s="518"/>
      <c r="M89" s="518"/>
      <c r="N89" s="1264"/>
      <c r="O89" s="1264"/>
      <c r="P89" s="2419"/>
      <c r="Q89" s="485"/>
    </row>
    <row r="90" spans="1:17" s="452" customFormat="1" ht="15.75" thickTop="1">
      <c r="A90" s="536"/>
      <c r="B90" s="521" t="str">
        <f>B27</f>
        <v>人流量</v>
      </c>
      <c r="C90" s="537"/>
      <c r="D90" s="537"/>
      <c r="E90" s="537"/>
      <c r="F90" s="537"/>
      <c r="G90" s="537"/>
      <c r="H90" s="538"/>
      <c r="I90" s="538"/>
      <c r="J90" s="538"/>
      <c r="K90" s="538"/>
      <c r="L90" s="539"/>
      <c r="M90" s="540"/>
      <c r="N90" s="1265"/>
      <c r="O90" s="1265"/>
      <c r="P90" s="2420"/>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20"/>
      <c r="Q91" s="543"/>
    </row>
    <row r="92" spans="1:17" ht="15.75" thickTop="1">
      <c r="A92" s="516"/>
      <c r="B92" s="521" t="str">
        <f>B28</f>
        <v>楼层</v>
      </c>
      <c r="C92" s="537"/>
      <c r="D92" s="537"/>
      <c r="E92" s="537"/>
      <c r="F92" s="537"/>
      <c r="G92" s="537"/>
      <c r="H92" s="537"/>
      <c r="I92" s="537"/>
      <c r="J92" s="537"/>
      <c r="K92" s="537"/>
      <c r="L92" s="564"/>
      <c r="M92" s="565"/>
      <c r="N92" s="1263"/>
      <c r="O92" s="1263"/>
      <c r="P92" s="2419"/>
      <c r="Q92" s="485"/>
    </row>
    <row r="93" spans="1:17" ht="15.75" thickBot="1">
      <c r="A93" s="516"/>
      <c r="B93" s="526"/>
      <c r="C93" s="518"/>
      <c r="D93" s="518"/>
      <c r="E93" s="518"/>
      <c r="F93" s="518"/>
      <c r="G93" s="518"/>
      <c r="H93" s="518"/>
      <c r="I93" s="518"/>
      <c r="J93" s="518"/>
      <c r="K93" s="518"/>
      <c r="L93" s="518"/>
      <c r="M93" s="519"/>
      <c r="N93" s="1264"/>
      <c r="O93" s="1264"/>
      <c r="P93" s="2419"/>
      <c r="Q93" s="485"/>
    </row>
    <row r="94" spans="1:17" ht="15.75" thickTop="1">
      <c r="A94" s="516"/>
      <c r="B94" s="521">
        <f>B29</f>
        <v>111</v>
      </c>
      <c r="C94" s="537"/>
      <c r="D94" s="537"/>
      <c r="E94" s="537"/>
      <c r="F94" s="537"/>
      <c r="G94" s="567"/>
      <c r="H94" s="567"/>
      <c r="I94" s="567"/>
      <c r="J94" s="567"/>
      <c r="K94" s="568"/>
      <c r="L94" s="569"/>
      <c r="M94" s="570"/>
      <c r="N94" s="1263"/>
      <c r="O94" s="1263"/>
      <c r="P94" s="2419"/>
      <c r="Q94" s="485"/>
    </row>
    <row r="95" spans="1:17" ht="15.75" thickBot="1">
      <c r="A95" s="516"/>
      <c r="B95" s="526"/>
      <c r="C95" s="544"/>
      <c r="D95" s="518"/>
      <c r="E95" s="518"/>
      <c r="F95" s="518"/>
      <c r="G95" s="518"/>
      <c r="H95" s="518"/>
      <c r="I95" s="518"/>
      <c r="J95" s="518"/>
      <c r="K95" s="518"/>
      <c r="L95" s="518"/>
      <c r="M95" s="519"/>
      <c r="N95" s="1264"/>
      <c r="O95" s="1264"/>
      <c r="P95" s="2419"/>
      <c r="Q95" s="485"/>
    </row>
    <row r="96" spans="1:17" ht="15.75" thickTop="1">
      <c r="A96" s="516"/>
      <c r="B96" s="521">
        <f>B30</f>
        <v>111</v>
      </c>
      <c r="C96" s="537"/>
      <c r="D96" s="537"/>
      <c r="E96" s="537"/>
      <c r="F96" s="537"/>
      <c r="G96" s="567"/>
      <c r="H96" s="567"/>
      <c r="I96" s="567"/>
      <c r="J96" s="567"/>
      <c r="K96" s="568"/>
      <c r="L96" s="569"/>
      <c r="M96" s="570"/>
      <c r="N96" s="1263"/>
      <c r="O96" s="1263"/>
      <c r="P96" s="2419"/>
      <c r="Q96" s="485"/>
    </row>
    <row r="97" spans="1:17" ht="15.75" thickBot="1">
      <c r="A97" s="516"/>
      <c r="B97" s="526"/>
      <c r="C97" s="544"/>
      <c r="D97" s="518"/>
      <c r="E97" s="518"/>
      <c r="F97" s="518"/>
      <c r="G97" s="518"/>
      <c r="H97" s="518"/>
      <c r="I97" s="518"/>
      <c r="J97" s="518"/>
      <c r="K97" s="518"/>
      <c r="L97" s="518"/>
      <c r="M97" s="519"/>
      <c r="N97" s="1264"/>
      <c r="O97" s="1264"/>
      <c r="P97" s="2419"/>
      <c r="Q97" s="485"/>
    </row>
    <row r="98" spans="1:17" ht="15.75" thickTop="1">
      <c r="A98" s="516"/>
      <c r="B98" s="529">
        <f>B31</f>
        <v>111</v>
      </c>
      <c r="C98" s="537"/>
      <c r="D98" s="537"/>
      <c r="E98" s="537"/>
      <c r="F98" s="537"/>
      <c r="G98" s="571"/>
      <c r="H98" s="571"/>
      <c r="I98" s="571"/>
      <c r="J98" s="571"/>
      <c r="K98" s="572"/>
      <c r="L98" s="573"/>
      <c r="M98" s="574"/>
      <c r="N98" s="1263"/>
      <c r="O98" s="1263"/>
      <c r="P98" s="2419"/>
      <c r="Q98" s="485"/>
    </row>
    <row r="99" spans="1:17" ht="15.75" thickBot="1">
      <c r="A99" s="2425"/>
      <c r="B99" s="553"/>
      <c r="C99" s="554"/>
      <c r="D99" s="554"/>
      <c r="E99" s="554"/>
      <c r="F99" s="554"/>
      <c r="G99" s="575"/>
      <c r="H99" s="575"/>
      <c r="I99" s="575"/>
      <c r="J99" s="575"/>
      <c r="K99" s="575"/>
      <c r="L99" s="575"/>
      <c r="M99" s="576"/>
      <c r="N99" s="1264"/>
      <c r="O99" s="1264"/>
      <c r="P99" s="2419"/>
      <c r="Q99" s="485"/>
    </row>
    <row r="100" spans="1:17">
      <c r="A100" s="508" t="s">
        <v>2368</v>
      </c>
      <c r="B100" s="509" t="s">
        <v>2472</v>
      </c>
      <c r="C100" s="511"/>
      <c r="D100" s="511"/>
      <c r="E100" s="511"/>
      <c r="F100" s="511"/>
      <c r="G100" s="511"/>
      <c r="H100" s="511"/>
      <c r="I100" s="511"/>
      <c r="J100" s="511"/>
      <c r="K100" s="512"/>
      <c r="L100" s="513"/>
      <c r="M100" s="514"/>
      <c r="N100" s="1263"/>
      <c r="O100" s="1263"/>
      <c r="P100" s="2419"/>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4"/>
      <c r="O101" s="1264"/>
      <c r="P101" s="2419"/>
      <c r="Q101" s="485"/>
    </row>
    <row r="102" spans="1:17" ht="15.75" thickTop="1">
      <c r="A102" s="516"/>
      <c r="B102" s="521" t="s">
        <v>2418</v>
      </c>
      <c r="C102" s="562" t="str">
        <f>C103&amp;"(含)"&amp;"-"&amp;D103</f>
        <v>0(含)-300</v>
      </c>
      <c r="D102" s="562" t="str">
        <f t="shared" ref="D102:L102" si="22">D103&amp;"(含)"&amp;"-"&amp;E103</f>
        <v>300(含)-500</v>
      </c>
      <c r="E102" s="562" t="str">
        <f t="shared" si="22"/>
        <v>500(含)-1000</v>
      </c>
      <c r="F102" s="562" t="str">
        <f t="shared" si="22"/>
        <v>1000(含)-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19"/>
      <c r="Q102" s="485"/>
    </row>
    <row r="103" spans="1:17" s="452" customFormat="1">
      <c r="A103" s="577"/>
      <c r="B103" s="578"/>
      <c r="C103" s="579">
        <v>0</v>
      </c>
      <c r="D103" s="579">
        <v>300</v>
      </c>
      <c r="E103" s="579">
        <v>500</v>
      </c>
      <c r="F103" s="579">
        <v>1000</v>
      </c>
      <c r="G103" s="579"/>
      <c r="H103" s="579"/>
      <c r="I103" s="579"/>
      <c r="J103" s="580"/>
      <c r="K103" s="580"/>
      <c r="L103" s="581"/>
      <c r="M103" s="582"/>
      <c r="N103" s="1265"/>
      <c r="O103" s="1265"/>
      <c r="P103" s="2420"/>
      <c r="Q103" s="543"/>
    </row>
    <row r="104" spans="1:17" s="452" customFormat="1" ht="15.75" thickBot="1">
      <c r="A104" s="536"/>
      <c r="B104" s="526"/>
      <c r="C104" s="544">
        <v>100</v>
      </c>
      <c r="D104" s="518">
        <v>99</v>
      </c>
      <c r="E104" s="518">
        <v>98</v>
      </c>
      <c r="F104" s="518">
        <v>97</v>
      </c>
      <c r="G104" s="518"/>
      <c r="H104" s="518"/>
      <c r="I104" s="518"/>
      <c r="J104" s="518"/>
      <c r="K104" s="518"/>
      <c r="L104" s="518"/>
      <c r="M104" s="519"/>
      <c r="N104" s="1264"/>
      <c r="O104" s="1264"/>
      <c r="P104" s="2420"/>
      <c r="Q104" s="543"/>
    </row>
    <row r="105" spans="1:17" ht="15" thickTop="1">
      <c r="A105" s="583"/>
      <c r="B105" s="521" t="s">
        <v>2419</v>
      </c>
      <c r="C105" s="537"/>
      <c r="D105" s="537"/>
      <c r="E105" s="567"/>
      <c r="F105" s="567"/>
      <c r="G105" s="567"/>
      <c r="H105" s="567"/>
      <c r="I105" s="567"/>
      <c r="J105" s="567"/>
      <c r="K105" s="568"/>
      <c r="L105" s="569"/>
      <c r="M105" s="570"/>
      <c r="N105" s="1263"/>
      <c r="O105" s="1263"/>
      <c r="P105" s="2419"/>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19"/>
      <c r="Q106" s="485"/>
    </row>
    <row r="107" spans="1:17" ht="15" thickTop="1">
      <c r="A107" s="583"/>
      <c r="B107" s="521" t="s">
        <v>2421</v>
      </c>
      <c r="C107" s="537"/>
      <c r="D107" s="537"/>
      <c r="E107" s="537"/>
      <c r="F107" s="567"/>
      <c r="G107" s="567"/>
      <c r="H107" s="567"/>
      <c r="I107" s="567"/>
      <c r="J107" s="567"/>
      <c r="K107" s="568"/>
      <c r="L107" s="569"/>
      <c r="M107" s="570"/>
      <c r="N107" s="1263"/>
      <c r="O107" s="1263"/>
      <c r="P107" s="2419"/>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19"/>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19"/>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19"/>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19"/>
      <c r="Q111" s="485"/>
    </row>
    <row r="112" spans="1:17" s="452" customFormat="1" ht="15" thickTop="1">
      <c r="A112" s="577"/>
      <c r="B112" s="521" t="s">
        <v>2424</v>
      </c>
      <c r="C112" s="537"/>
      <c r="D112" s="537"/>
      <c r="E112" s="537"/>
      <c r="F112" s="537"/>
      <c r="G112" s="537"/>
      <c r="H112" s="567"/>
      <c r="I112" s="567"/>
      <c r="J112" s="567"/>
      <c r="K112" s="568"/>
      <c r="L112" s="569"/>
      <c r="M112" s="570"/>
      <c r="N112" s="1265"/>
      <c r="O112" s="1265"/>
      <c r="P112" s="2420"/>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20"/>
      <c r="Q113" s="543"/>
    </row>
    <row r="114" spans="1:17" ht="15" thickTop="1">
      <c r="A114" s="583"/>
      <c r="B114" s="521" t="s">
        <v>2473</v>
      </c>
      <c r="C114" s="537"/>
      <c r="D114" s="537"/>
      <c r="E114" s="567"/>
      <c r="F114" s="567"/>
      <c r="G114" s="567"/>
      <c r="H114" s="567"/>
      <c r="I114" s="567"/>
      <c r="J114" s="567"/>
      <c r="K114" s="568"/>
      <c r="L114" s="569"/>
      <c r="M114" s="570"/>
      <c r="N114" s="1263"/>
      <c r="O114" s="1263"/>
      <c r="P114" s="2419"/>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19"/>
      <c r="Q115" s="485"/>
    </row>
    <row r="116" spans="1:17" ht="15" thickTop="1">
      <c r="A116" s="583"/>
      <c r="B116" s="521" t="s">
        <v>2474</v>
      </c>
      <c r="C116" s="537"/>
      <c r="D116" s="537"/>
      <c r="E116" s="537"/>
      <c r="F116" s="537"/>
      <c r="G116" s="537"/>
      <c r="H116" s="567"/>
      <c r="I116" s="567"/>
      <c r="J116" s="567"/>
      <c r="K116" s="568"/>
      <c r="L116" s="569"/>
      <c r="M116" s="570"/>
      <c r="N116" s="1263"/>
      <c r="O116" s="1263"/>
      <c r="P116" s="2419"/>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19"/>
      <c r="Q117" s="485"/>
    </row>
    <row r="118" spans="1:17" ht="15" thickTop="1">
      <c r="A118" s="583"/>
      <c r="B118" s="521" t="s">
        <v>2475</v>
      </c>
      <c r="C118" s="611"/>
      <c r="D118" s="611"/>
      <c r="E118" s="611"/>
      <c r="F118" s="611"/>
      <c r="G118" s="611"/>
      <c r="H118" s="538"/>
      <c r="I118" s="538"/>
      <c r="J118" s="538"/>
      <c r="K118" s="538"/>
      <c r="L118" s="539"/>
      <c r="M118" s="540"/>
      <c r="N118" s="1263"/>
      <c r="O118" s="1263"/>
      <c r="P118" s="2419"/>
      <c r="Q118" s="485"/>
    </row>
    <row r="119" spans="1:17" ht="15.75" thickBot="1">
      <c r="A119" s="516"/>
      <c r="B119" s="526"/>
      <c r="C119" s="544"/>
      <c r="D119" s="518"/>
      <c r="E119" s="518"/>
      <c r="F119" s="518"/>
      <c r="G119" s="518"/>
      <c r="H119" s="518"/>
      <c r="I119" s="518"/>
      <c r="J119" s="518"/>
      <c r="K119" s="518"/>
      <c r="L119" s="518"/>
      <c r="M119" s="519"/>
      <c r="N119" s="1264"/>
      <c r="O119" s="1264"/>
      <c r="P119" s="2419"/>
      <c r="Q119" s="485"/>
    </row>
    <row r="120" spans="1:17" s="452" customFormat="1" ht="15" thickTop="1">
      <c r="A120" s="577"/>
      <c r="B120" s="521" t="s">
        <v>2476</v>
      </c>
      <c r="C120" s="567"/>
      <c r="D120" s="567"/>
      <c r="E120" s="567"/>
      <c r="F120" s="567"/>
      <c r="G120" s="538"/>
      <c r="H120" s="538"/>
      <c r="I120" s="538"/>
      <c r="J120" s="538"/>
      <c r="K120" s="538"/>
      <c r="L120" s="539"/>
      <c r="M120" s="540"/>
      <c r="N120" s="1265"/>
      <c r="O120" s="1265"/>
      <c r="P120" s="2420"/>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20"/>
      <c r="Q121" s="543"/>
    </row>
    <row r="122" spans="1:17" ht="15" thickTop="1">
      <c r="A122" s="583"/>
      <c r="B122" s="521" t="s">
        <v>2426</v>
      </c>
      <c r="C122" s="537"/>
      <c r="D122" s="537"/>
      <c r="E122" s="537"/>
      <c r="F122" s="567"/>
      <c r="G122" s="567"/>
      <c r="H122" s="567"/>
      <c r="I122" s="567"/>
      <c r="J122" s="567"/>
      <c r="K122" s="568"/>
      <c r="L122" s="569"/>
      <c r="M122" s="570"/>
      <c r="N122" s="1263"/>
      <c r="O122" s="1263"/>
      <c r="P122" s="2419"/>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4"/>
      <c r="O123" s="1264"/>
      <c r="P123" s="2419"/>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3"/>
      <c r="O124" s="1263"/>
      <c r="P124" s="2420"/>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19"/>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0"/>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0"/>
      <c r="Q127" s="543"/>
    </row>
    <row r="128" spans="1:17" ht="15" thickTop="1">
      <c r="A128" s="583"/>
      <c r="B128" s="521">
        <f>B45</f>
        <v>111</v>
      </c>
      <c r="C128" s="537"/>
      <c r="D128" s="537"/>
      <c r="E128" s="537"/>
      <c r="F128" s="537"/>
      <c r="G128" s="567"/>
      <c r="H128" s="567"/>
      <c r="I128" s="567"/>
      <c r="J128" s="567"/>
      <c r="K128" s="568"/>
      <c r="L128" s="569"/>
      <c r="M128" s="570"/>
      <c r="N128" s="1263"/>
      <c r="O128" s="1263"/>
      <c r="P128" s="2419"/>
      <c r="Q128" s="485"/>
    </row>
    <row r="129" spans="1:17" ht="15.75" thickBot="1">
      <c r="A129" s="516"/>
      <c r="B129" s="526"/>
      <c r="C129" s="544"/>
      <c r="D129" s="518"/>
      <c r="E129" s="518"/>
      <c r="F129" s="518"/>
      <c r="G129" s="518"/>
      <c r="H129" s="518"/>
      <c r="I129" s="518"/>
      <c r="J129" s="518"/>
      <c r="K129" s="518"/>
      <c r="L129" s="518"/>
      <c r="M129" s="519"/>
      <c r="N129" s="1264"/>
      <c r="O129" s="1264"/>
      <c r="P129" s="2419"/>
      <c r="Q129" s="485"/>
    </row>
    <row r="130" spans="1:17" ht="15" thickTop="1">
      <c r="A130" s="583"/>
      <c r="B130" s="529">
        <f>B46</f>
        <v>111</v>
      </c>
      <c r="C130" s="537"/>
      <c r="D130" s="537"/>
      <c r="E130" s="537"/>
      <c r="F130" s="537"/>
      <c r="G130" s="571"/>
      <c r="H130" s="571"/>
      <c r="I130" s="571"/>
      <c r="J130" s="571"/>
      <c r="K130" s="504"/>
      <c r="L130" s="505"/>
      <c r="M130" s="574"/>
      <c r="N130" s="1263"/>
      <c r="O130" s="1263"/>
      <c r="P130" s="2419"/>
      <c r="Q130" s="485"/>
    </row>
    <row r="131" spans="1:17" ht="15.75" thickBot="1">
      <c r="A131" s="2425"/>
      <c r="B131" s="553"/>
      <c r="C131" s="554"/>
      <c r="D131" s="554"/>
      <c r="E131" s="554"/>
      <c r="F131" s="554"/>
      <c r="G131" s="575"/>
      <c r="H131" s="575"/>
      <c r="I131" s="575"/>
      <c r="J131" s="575"/>
      <c r="K131" s="575"/>
      <c r="L131" s="575"/>
      <c r="M131" s="576"/>
      <c r="N131" s="1264"/>
      <c r="O131" s="1264"/>
      <c r="P131" s="2419"/>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95" priority="17" stopIfTrue="1" operator="containsText" text="超过">
      <formula>NOT(ISERROR(SEARCH("超过",F52)))</formula>
    </cfRule>
  </conditionalFormatting>
  <conditionalFormatting sqref="H54">
    <cfRule type="containsText" dxfId="94" priority="15" stopIfTrue="1" operator="containsText" text="超过">
      <formula>NOT(ISERROR(SEARCH("超过",H54)))</formula>
    </cfRule>
  </conditionalFormatting>
  <conditionalFormatting sqref="F54">
    <cfRule type="containsText" dxfId="93" priority="14" stopIfTrue="1" operator="containsText" text="超过">
      <formula>NOT(ISERROR(SEARCH("超过",F54)))</formula>
    </cfRule>
  </conditionalFormatting>
  <conditionalFormatting sqref="F53 H53">
    <cfRule type="containsText" dxfId="92" priority="13" stopIfTrue="1" operator="containsText" text="超过">
      <formula>NOT(ISERROR(SEARCH("超过",F53)))</formula>
    </cfRule>
  </conditionalFormatting>
  <conditionalFormatting sqref="E52">
    <cfRule type="expression" dxfId="91" priority="12" stopIfTrue="1">
      <formula>$F$52="超过30%"</formula>
    </cfRule>
  </conditionalFormatting>
  <conditionalFormatting sqref="E53">
    <cfRule type="expression" dxfId="90" priority="11" stopIfTrue="1">
      <formula>$F$53="超过20%"</formula>
    </cfRule>
  </conditionalFormatting>
  <conditionalFormatting sqref="E54">
    <cfRule type="expression" dxfId="89" priority="10" stopIfTrue="1">
      <formula>$F$54="超过30%"</formula>
    </cfRule>
  </conditionalFormatting>
  <conditionalFormatting sqref="G54">
    <cfRule type="expression" dxfId="88" priority="9" stopIfTrue="1">
      <formula>$H$54="超过30%"</formula>
    </cfRule>
  </conditionalFormatting>
  <conditionalFormatting sqref="G52">
    <cfRule type="expression" dxfId="87" priority="8" stopIfTrue="1">
      <formula>$H$52="超过30%"</formula>
    </cfRule>
  </conditionalFormatting>
  <conditionalFormatting sqref="G53">
    <cfRule type="expression" dxfId="86" priority="7" stopIfTrue="1">
      <formula>$H$53="超过20%"</formula>
    </cfRule>
  </conditionalFormatting>
  <conditionalFormatting sqref="J52">
    <cfRule type="containsText" dxfId="85" priority="6" stopIfTrue="1" operator="containsText" text="超过">
      <formula>NOT(ISERROR(SEARCH("超过",J52)))</formula>
    </cfRule>
  </conditionalFormatting>
  <conditionalFormatting sqref="J54">
    <cfRule type="containsText" dxfId="84" priority="5" stopIfTrue="1" operator="containsText" text="超过">
      <formula>NOT(ISERROR(SEARCH("超过",J54)))</formula>
    </cfRule>
  </conditionalFormatting>
  <conditionalFormatting sqref="J53">
    <cfRule type="containsText" dxfId="83" priority="4" stopIfTrue="1" operator="containsText" text="超过">
      <formula>NOT(ISERROR(SEARCH("超过",J53)))</formula>
    </cfRule>
  </conditionalFormatting>
  <conditionalFormatting sqref="I52">
    <cfRule type="expression" dxfId="82" priority="3" stopIfTrue="1">
      <formula>$J$52="超过30%"</formula>
    </cfRule>
  </conditionalFormatting>
  <conditionalFormatting sqref="I53">
    <cfRule type="expression" dxfId="81" priority="2" stopIfTrue="1">
      <formula>$J$53="超过20%"</formula>
    </cfRule>
  </conditionalFormatting>
  <conditionalFormatting sqref="I54">
    <cfRule type="expression" dxfId="8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2335</v>
      </c>
      <c r="B1" s="1730" t="s">
        <v>2494</v>
      </c>
      <c r="C1" s="1722"/>
      <c r="D1" s="1735"/>
      <c r="E1" s="2375"/>
      <c r="F1" s="1736" t="s">
        <v>2337</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2005</v>
      </c>
      <c r="B2" s="1721" t="e">
        <f ca="1">IF(D2="——",IF(C2="元",ROUND(C43*D3,0),ROUND(C43*D3/10000,0)),IF(C2="元",ROUND(C43*D3,0),ROUND(C43*D3/10000,0))-E2)</f>
        <v>#DIV/0!</v>
      </c>
      <c r="C2" s="163" t="str">
        <f>'数据-取费表'!B3</f>
        <v>元</v>
      </c>
      <c r="D2" s="2377"/>
      <c r="E2" s="2470" t="e">
        <f ca="1">SUMIF(INDIRECT("'"&amp;G2&amp;"'"&amp;"!A:A"),"承租人权益价值",INDIRECT("'"&amp;G2&amp;"'"&amp;"!c:c"))</f>
        <v>#REF!</v>
      </c>
      <c r="F2" s="2378" t="str">
        <f>C2</f>
        <v>元</v>
      </c>
      <c r="G2" s="2379"/>
      <c r="H2" s="981"/>
      <c r="I2" s="981"/>
      <c r="J2" s="981"/>
      <c r="K2" s="981"/>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2006</v>
      </c>
      <c r="B3" s="593" t="e">
        <f ca="1">ROUND(IF(D2="——",C43,IF(C2="万元",B2*10000/D3,B2/D3)),0)</f>
        <v>#DIV/0!</v>
      </c>
      <c r="C3" s="379" t="s">
        <v>2338</v>
      </c>
      <c r="D3" s="378">
        <f>IF(C1="仅计算典型户型",'数据-取费表'!E5,'数据-取费表'!B5)</f>
        <v>573.89</v>
      </c>
      <c r="E3" s="981"/>
      <c r="F3" s="982"/>
      <c r="G3" s="981"/>
      <c r="H3" s="981"/>
      <c r="I3" s="981"/>
      <c r="J3" s="981"/>
      <c r="K3" s="983"/>
      <c r="L3" s="1237"/>
      <c r="M3" s="1238"/>
      <c r="N3" s="1238"/>
      <c r="O3" s="1238"/>
      <c r="P3" s="747"/>
      <c r="Q3" s="747"/>
      <c r="R3" s="747"/>
      <c r="S3" s="747"/>
      <c r="T3" s="747"/>
      <c r="U3" s="747"/>
      <c r="V3" s="747"/>
      <c r="W3" s="747"/>
      <c r="X3" s="747"/>
      <c r="Y3" s="747"/>
      <c r="Z3" s="747"/>
      <c r="AA3" s="747"/>
      <c r="AB3" s="767"/>
      <c r="AC3" s="761"/>
    </row>
    <row r="4" spans="1:29" ht="15">
      <c r="A4" s="380" t="s">
        <v>2339</v>
      </c>
      <c r="B4" s="381"/>
      <c r="C4" s="2985" t="s">
        <v>2340</v>
      </c>
      <c r="D4" s="2986"/>
      <c r="E4" s="2987" t="s">
        <v>2341</v>
      </c>
      <c r="F4" s="2988"/>
      <c r="G4" s="2985" t="s">
        <v>2342</v>
      </c>
      <c r="H4" s="2986"/>
      <c r="I4" s="2985" t="s">
        <v>2343</v>
      </c>
      <c r="J4" s="2986"/>
      <c r="K4" s="594" t="s">
        <v>2344</v>
      </c>
      <c r="L4" s="1239"/>
      <c r="M4" s="1240"/>
      <c r="N4" s="1240"/>
      <c r="O4" s="1240"/>
      <c r="P4" s="3040" t="s">
        <v>2345</v>
      </c>
      <c r="Q4" s="2990"/>
      <c r="R4" s="2995" t="s">
        <v>2341</v>
      </c>
      <c r="S4" s="2996"/>
      <c r="T4" s="2995" t="s">
        <v>2342</v>
      </c>
      <c r="U4" s="2996"/>
      <c r="V4" s="3001" t="s">
        <v>2343</v>
      </c>
      <c r="W4" s="3001"/>
      <c r="X4" s="1896"/>
      <c r="Y4" s="2995" t="s">
        <v>2345</v>
      </c>
      <c r="Z4" s="2996"/>
      <c r="AA4" s="2982" t="s">
        <v>2341</v>
      </c>
      <c r="AB4" s="2983" t="s">
        <v>2342</v>
      </c>
      <c r="AC4" s="2982" t="s">
        <v>2343</v>
      </c>
    </row>
    <row r="5" spans="1:29" ht="15">
      <c r="A5" s="383"/>
      <c r="B5" s="384"/>
      <c r="C5" s="3004" t="s">
        <v>2346</v>
      </c>
      <c r="D5" s="2979"/>
      <c r="E5" s="3058" t="s">
        <v>2347</v>
      </c>
      <c r="F5" s="3003"/>
      <c r="G5" s="3004" t="s">
        <v>2348</v>
      </c>
      <c r="H5" s="2979"/>
      <c r="I5" s="3004" t="s">
        <v>2349</v>
      </c>
      <c r="J5" s="2979"/>
      <c r="K5" s="594"/>
      <c r="L5" s="1239"/>
      <c r="M5" s="1240"/>
      <c r="N5" s="1240"/>
      <c r="O5" s="1240"/>
      <c r="P5" s="3041"/>
      <c r="Q5" s="2992"/>
      <c r="R5" s="2997"/>
      <c r="S5" s="2998"/>
      <c r="T5" s="2997"/>
      <c r="U5" s="2998"/>
      <c r="V5" s="3001"/>
      <c r="W5" s="3001"/>
      <c r="X5" s="1896"/>
      <c r="Y5" s="2997"/>
      <c r="Z5" s="2998"/>
      <c r="AA5" s="2983"/>
      <c r="AB5" s="2983"/>
      <c r="AC5" s="2983"/>
    </row>
    <row r="6" spans="1:29" ht="15.75" thickBot="1">
      <c r="A6" s="385"/>
      <c r="B6" s="386"/>
      <c r="C6" s="2975" t="s">
        <v>2350</v>
      </c>
      <c r="D6" s="2976"/>
      <c r="E6" s="2973" t="s">
        <v>2350</v>
      </c>
      <c r="F6" s="2974"/>
      <c r="G6" s="2975" t="s">
        <v>2350</v>
      </c>
      <c r="H6" s="2976"/>
      <c r="I6" s="2975" t="s">
        <v>2350</v>
      </c>
      <c r="J6" s="2976"/>
      <c r="K6" s="594" t="s">
        <v>2351</v>
      </c>
      <c r="L6" s="1239"/>
      <c r="M6" s="1240"/>
      <c r="N6" s="1240"/>
      <c r="O6" s="1240"/>
      <c r="P6" s="3042"/>
      <c r="Q6" s="2994"/>
      <c r="R6" s="2997"/>
      <c r="S6" s="2998"/>
      <c r="T6" s="2999"/>
      <c r="U6" s="3000"/>
      <c r="V6" s="3001"/>
      <c r="W6" s="3001"/>
      <c r="X6" s="1896"/>
      <c r="Y6" s="2999"/>
      <c r="Z6" s="3000"/>
      <c r="AA6" s="2984"/>
      <c r="AB6" s="2984"/>
      <c r="AC6" s="2984"/>
    </row>
    <row r="7" spans="1:29" s="35" customFormat="1" ht="15.75" thickBot="1">
      <c r="A7" s="387" t="s">
        <v>2352</v>
      </c>
      <c r="B7" s="388"/>
      <c r="C7" s="389">
        <f>'数据-取费表'!B2</f>
        <v>43257</v>
      </c>
      <c r="D7" s="390">
        <v>100</v>
      </c>
      <c r="E7" s="391"/>
      <c r="F7" s="392">
        <f>SUMIF(52:52,YEAR(E7)&amp;"-"&amp;MONTH(E7),53:53)</f>
        <v>0</v>
      </c>
      <c r="G7" s="391"/>
      <c r="H7" s="390">
        <f>SUMIF(52:52,YEAR(G7)&amp;"-"&amp;MONTH(G7),53:53)</f>
        <v>0</v>
      </c>
      <c r="I7" s="391"/>
      <c r="J7" s="390">
        <f>SUMIF(52:52,YEAR(I7)&amp;"-"&amp;MONTH(I7),53:53)</f>
        <v>0</v>
      </c>
      <c r="K7" s="595"/>
      <c r="L7" s="1241"/>
      <c r="M7" s="1242"/>
      <c r="N7" s="1242"/>
      <c r="O7" s="1242"/>
      <c r="P7" s="3005" t="s">
        <v>2353</v>
      </c>
      <c r="Q7" s="2980"/>
      <c r="R7" s="749" t="s">
        <v>25</v>
      </c>
      <c r="S7" s="750">
        <f t="shared" ref="S7:S15" si="0">F7</f>
        <v>0</v>
      </c>
      <c r="T7" s="749" t="s">
        <v>25</v>
      </c>
      <c r="U7" s="750">
        <f t="shared" ref="U7:U15" si="1">H7</f>
        <v>0</v>
      </c>
      <c r="V7" s="749" t="s">
        <v>25</v>
      </c>
      <c r="W7" s="750">
        <f t="shared" ref="W7:W15" si="2">J7</f>
        <v>0</v>
      </c>
      <c r="X7" s="751"/>
      <c r="Y7" s="3005" t="s">
        <v>2353</v>
      </c>
      <c r="Z7" s="2981"/>
      <c r="AA7" s="752" t="e">
        <f>D7/F7</f>
        <v>#DIV/0!</v>
      </c>
      <c r="AB7" s="752" t="e">
        <f>D7/H7</f>
        <v>#DIV/0!</v>
      </c>
      <c r="AC7" s="752" t="e">
        <f>D7/J7</f>
        <v>#DIV/0!</v>
      </c>
    </row>
    <row r="8" spans="1:29" s="35" customFormat="1" ht="15.75" thickBot="1">
      <c r="A8" s="387" t="s">
        <v>2354</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3005" t="s">
        <v>2356</v>
      </c>
      <c r="Q8" s="2981"/>
      <c r="R8" s="749" t="s">
        <v>25</v>
      </c>
      <c r="S8" s="750">
        <f t="shared" si="0"/>
        <v>100</v>
      </c>
      <c r="T8" s="749" t="s">
        <v>25</v>
      </c>
      <c r="U8" s="750">
        <f t="shared" si="1"/>
        <v>100</v>
      </c>
      <c r="V8" s="749" t="s">
        <v>25</v>
      </c>
      <c r="W8" s="750">
        <f t="shared" si="2"/>
        <v>100</v>
      </c>
      <c r="X8" s="751"/>
      <c r="Y8" s="3005" t="s">
        <v>2356</v>
      </c>
      <c r="Z8" s="2981"/>
      <c r="AA8" s="752">
        <f t="shared" ref="AA8:AA40" si="3">D8/F8</f>
        <v>1</v>
      </c>
      <c r="AB8" s="752">
        <f t="shared" ref="AB8:AB40" si="4">D8/H8</f>
        <v>1</v>
      </c>
      <c r="AC8" s="752">
        <f t="shared" ref="AC8:AC40" si="5">D8/J8</f>
        <v>1</v>
      </c>
    </row>
    <row r="9" spans="1:29" s="35" customFormat="1">
      <c r="A9" s="395" t="s">
        <v>2357</v>
      </c>
      <c r="B9" s="28" t="s">
        <v>2358</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3013" t="s">
        <v>2359</v>
      </c>
      <c r="Q9" s="1883" t="str">
        <f t="shared" ref="Q9:Q15" si="6">B9</f>
        <v>用途</v>
      </c>
      <c r="R9" s="749" t="s">
        <v>25</v>
      </c>
      <c r="S9" s="750">
        <f t="shared" si="0"/>
        <v>100</v>
      </c>
      <c r="T9" s="749" t="s">
        <v>25</v>
      </c>
      <c r="U9" s="750">
        <f t="shared" si="1"/>
        <v>100</v>
      </c>
      <c r="V9" s="749" t="s">
        <v>25</v>
      </c>
      <c r="W9" s="750">
        <f t="shared" si="2"/>
        <v>100</v>
      </c>
      <c r="X9" s="751"/>
      <c r="Y9" s="2853"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3013"/>
      <c r="Q10" s="1883" t="str">
        <f t="shared" si="6"/>
        <v>土地使用年限（年）</v>
      </c>
      <c r="R10" s="749" t="s">
        <v>25</v>
      </c>
      <c r="S10" s="750">
        <f t="shared" si="0"/>
        <v>100</v>
      </c>
      <c r="T10" s="749" t="s">
        <v>25</v>
      </c>
      <c r="U10" s="750">
        <f t="shared" si="1"/>
        <v>100</v>
      </c>
      <c r="V10" s="749" t="s">
        <v>25</v>
      </c>
      <c r="W10" s="750">
        <f t="shared" si="2"/>
        <v>100</v>
      </c>
      <c r="X10" s="751"/>
      <c r="Y10" s="2853"/>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3013"/>
      <c r="Q11" s="1883" t="str">
        <f t="shared" si="6"/>
        <v>容积率</v>
      </c>
      <c r="R11" s="749" t="s">
        <v>25</v>
      </c>
      <c r="S11" s="750" t="e">
        <f t="shared" si="0"/>
        <v>#N/A</v>
      </c>
      <c r="T11" s="749" t="s">
        <v>25</v>
      </c>
      <c r="U11" s="750" t="e">
        <f t="shared" si="1"/>
        <v>#N/A</v>
      </c>
      <c r="V11" s="749" t="s">
        <v>25</v>
      </c>
      <c r="W11" s="750" t="e">
        <f t="shared" si="2"/>
        <v>#N/A</v>
      </c>
      <c r="X11" s="751"/>
      <c r="Y11" s="2853"/>
      <c r="Z11" s="23" t="str">
        <f t="shared" si="7"/>
        <v>容积率</v>
      </c>
      <c r="AA11" s="752" t="e">
        <f t="shared" si="3"/>
        <v>#N/A</v>
      </c>
      <c r="AB11" s="752" t="e">
        <f t="shared" si="4"/>
        <v>#N/A</v>
      </c>
      <c r="AC11" s="752" t="e">
        <f t="shared" si="5"/>
        <v>#N/A</v>
      </c>
    </row>
    <row r="12" spans="1:29" s="35" customFormat="1" ht="15">
      <c r="A12" s="411"/>
      <c r="B12" s="2392">
        <v>111</v>
      </c>
      <c r="C12" s="412"/>
      <c r="D12" s="413">
        <v>100</v>
      </c>
      <c r="E12" s="414"/>
      <c r="F12" s="52">
        <f>SUMIF(64:64,E12,65:65)-SUMIF(64:64,C12,65:65)+100</f>
        <v>100</v>
      </c>
      <c r="G12" s="2471"/>
      <c r="H12" s="52">
        <f>SUMIF(64:64,G12,65:65)-SUMIF(64:64,C12,65:65)+100</f>
        <v>100</v>
      </c>
      <c r="I12" s="450"/>
      <c r="J12" s="52">
        <f>SUMIF(64:64,I12,65:65)-SUMIF(64:64,C12,65:65)+100</f>
        <v>100</v>
      </c>
      <c r="K12" s="597"/>
      <c r="L12" s="1241"/>
      <c r="M12" s="1242"/>
      <c r="N12" s="1242"/>
      <c r="O12" s="1243"/>
      <c r="P12" s="3013"/>
      <c r="Q12" s="1883">
        <f t="shared" si="6"/>
        <v>111</v>
      </c>
      <c r="R12" s="749" t="s">
        <v>25</v>
      </c>
      <c r="S12" s="750">
        <f t="shared" si="0"/>
        <v>100</v>
      </c>
      <c r="T12" s="749" t="s">
        <v>25</v>
      </c>
      <c r="U12" s="750">
        <f t="shared" si="1"/>
        <v>100</v>
      </c>
      <c r="V12" s="749" t="s">
        <v>25</v>
      </c>
      <c r="W12" s="750">
        <f t="shared" si="2"/>
        <v>100</v>
      </c>
      <c r="X12" s="751"/>
      <c r="Y12" s="2853"/>
      <c r="Z12" s="23">
        <f t="shared" si="7"/>
        <v>111</v>
      </c>
      <c r="AA12" s="752">
        <f>D12/F12</f>
        <v>1</v>
      </c>
      <c r="AB12" s="752">
        <f>D12/H12</f>
        <v>1</v>
      </c>
      <c r="AC12" s="752">
        <f>D12/J12</f>
        <v>1</v>
      </c>
    </row>
    <row r="13" spans="1:29" ht="15">
      <c r="A13" s="408"/>
      <c r="B13" s="2392">
        <v>111</v>
      </c>
      <c r="C13" s="414"/>
      <c r="D13" s="415">
        <v>100</v>
      </c>
      <c r="E13" s="414"/>
      <c r="F13" s="52">
        <f>SUMIF(66:66,E13,67:67)-SUMIF(66:66,C13,67:67)+100</f>
        <v>100</v>
      </c>
      <c r="G13" s="2471"/>
      <c r="H13" s="415">
        <f>SUMIF(66:66,G13,67:67)-SUMIF(66:66,C13,67:67)+100</f>
        <v>100</v>
      </c>
      <c r="I13" s="450"/>
      <c r="J13" s="415">
        <f>SUMIF(66:66,I13,67:67)-SUMIF(66:66,C13,67:67)+100</f>
        <v>100</v>
      </c>
      <c r="K13" s="597"/>
      <c r="L13" s="1249"/>
      <c r="M13" s="1240"/>
      <c r="N13" s="1240"/>
      <c r="O13" s="1248"/>
      <c r="P13" s="3013"/>
      <c r="Q13" s="1883">
        <f t="shared" si="6"/>
        <v>111</v>
      </c>
      <c r="R13" s="749" t="s">
        <v>25</v>
      </c>
      <c r="S13" s="750">
        <f t="shared" si="0"/>
        <v>100</v>
      </c>
      <c r="T13" s="749" t="s">
        <v>25</v>
      </c>
      <c r="U13" s="750">
        <f t="shared" si="1"/>
        <v>100</v>
      </c>
      <c r="V13" s="749" t="s">
        <v>25</v>
      </c>
      <c r="W13" s="750">
        <f t="shared" si="2"/>
        <v>100</v>
      </c>
      <c r="X13" s="751"/>
      <c r="Y13" s="2853"/>
      <c r="Z13" s="23">
        <f t="shared" si="7"/>
        <v>111</v>
      </c>
      <c r="AA13" s="752">
        <f t="shared" si="3"/>
        <v>1</v>
      </c>
      <c r="AB13" s="752">
        <f t="shared" si="4"/>
        <v>1</v>
      </c>
      <c r="AC13" s="752">
        <f t="shared" si="5"/>
        <v>1</v>
      </c>
    </row>
    <row r="14" spans="1:29" ht="15.75" thickBot="1">
      <c r="A14" s="416"/>
      <c r="B14" s="2394">
        <v>111</v>
      </c>
      <c r="C14" s="2395"/>
      <c r="D14" s="417">
        <v>100</v>
      </c>
      <c r="E14" s="2395"/>
      <c r="F14" s="417">
        <f>SUMIF(68:68,E14,69:69)-SUMIF(68:68,C14,69:69)+100</f>
        <v>100</v>
      </c>
      <c r="G14" s="2471"/>
      <c r="H14" s="417">
        <f>SUMIF(68:68,G14,69:69)-SUMIF(68:68,C14,69:69)+100</f>
        <v>100</v>
      </c>
      <c r="I14" s="450"/>
      <c r="J14" s="417">
        <f>SUMIF(68:68,I14,69:69)-SUMIF(68:68,C14,69:69)+100</f>
        <v>100</v>
      </c>
      <c r="K14" s="597"/>
      <c r="L14" s="1249"/>
      <c r="M14" s="1240"/>
      <c r="N14" s="1240"/>
      <c r="O14" s="1248"/>
      <c r="P14" s="3013"/>
      <c r="Q14" s="1883">
        <f t="shared" si="6"/>
        <v>111</v>
      </c>
      <c r="R14" s="749" t="s">
        <v>25</v>
      </c>
      <c r="S14" s="750">
        <f t="shared" si="0"/>
        <v>100</v>
      </c>
      <c r="T14" s="749" t="s">
        <v>25</v>
      </c>
      <c r="U14" s="750">
        <f t="shared" si="1"/>
        <v>100</v>
      </c>
      <c r="V14" s="749" t="s">
        <v>25</v>
      </c>
      <c r="W14" s="750">
        <f t="shared" si="2"/>
        <v>100</v>
      </c>
      <c r="X14" s="751"/>
      <c r="Y14" s="2853"/>
      <c r="Z14" s="23">
        <f t="shared" si="7"/>
        <v>111</v>
      </c>
      <c r="AA14" s="752">
        <f t="shared" si="3"/>
        <v>1</v>
      </c>
      <c r="AB14" s="752">
        <f t="shared" si="4"/>
        <v>1</v>
      </c>
      <c r="AC14" s="752">
        <f t="shared" si="5"/>
        <v>1</v>
      </c>
    </row>
    <row r="15" spans="1:29" ht="57">
      <c r="A15" s="419" t="s">
        <v>2363</v>
      </c>
      <c r="B15" s="26" t="s">
        <v>2495</v>
      </c>
      <c r="C15" s="2472"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006" t="s">
        <v>2364</v>
      </c>
      <c r="Q15" s="1895" t="str">
        <f t="shared" si="6"/>
        <v>产业集聚程度</v>
      </c>
      <c r="R15" s="753" t="s">
        <v>25</v>
      </c>
      <c r="S15" s="754">
        <f t="shared" si="0"/>
        <v>100</v>
      </c>
      <c r="T15" s="753" t="s">
        <v>25</v>
      </c>
      <c r="U15" s="754">
        <f t="shared" si="1"/>
        <v>100</v>
      </c>
      <c r="V15" s="753" t="s">
        <v>25</v>
      </c>
      <c r="W15" s="754">
        <f t="shared" si="2"/>
        <v>100</v>
      </c>
      <c r="X15" s="1896"/>
      <c r="Y15" s="3006" t="s">
        <v>2364</v>
      </c>
      <c r="Z15" s="1898" t="str">
        <f t="shared" si="7"/>
        <v>产业集聚程度</v>
      </c>
      <c r="AA15" s="1899">
        <f t="shared" si="3"/>
        <v>1</v>
      </c>
      <c r="AB15" s="1899">
        <f t="shared" si="4"/>
        <v>1</v>
      </c>
      <c r="AC15" s="1899">
        <f t="shared" si="5"/>
        <v>1</v>
      </c>
    </row>
    <row r="16" spans="1:29" ht="15">
      <c r="A16" s="408"/>
      <c r="B16" s="425"/>
      <c r="C16" s="426"/>
      <c r="D16" s="427"/>
      <c r="E16" s="426"/>
      <c r="F16" s="429"/>
      <c r="G16" s="426"/>
      <c r="H16" s="430"/>
      <c r="I16" s="426"/>
      <c r="J16" s="427"/>
      <c r="K16" s="599"/>
      <c r="L16" s="1249"/>
      <c r="M16" s="1240"/>
      <c r="N16" s="1240"/>
      <c r="O16" s="1248"/>
      <c r="P16" s="3007"/>
      <c r="Q16" s="1895"/>
      <c r="R16" s="753"/>
      <c r="S16" s="754"/>
      <c r="T16" s="753"/>
      <c r="U16" s="754"/>
      <c r="V16" s="753"/>
      <c r="W16" s="754"/>
      <c r="X16" s="1896"/>
      <c r="Y16" s="3007"/>
      <c r="Z16" s="1898"/>
      <c r="AA16" s="1899">
        <v>1</v>
      </c>
      <c r="AB16" s="1899">
        <v>1</v>
      </c>
      <c r="AC16" s="1899">
        <v>1</v>
      </c>
    </row>
    <row r="17" spans="1:29" ht="85.5">
      <c r="A17" s="408"/>
      <c r="B17" s="431" t="s">
        <v>1748</v>
      </c>
      <c r="C17" s="2399"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007"/>
      <c r="Q17" s="1895" t="str">
        <f>B17</f>
        <v>交通便捷度</v>
      </c>
      <c r="R17" s="753" t="s">
        <v>25</v>
      </c>
      <c r="S17" s="754">
        <f>F17</f>
        <v>100</v>
      </c>
      <c r="T17" s="753" t="s">
        <v>25</v>
      </c>
      <c r="U17" s="754">
        <f>H17</f>
        <v>100</v>
      </c>
      <c r="V17" s="753" t="s">
        <v>25</v>
      </c>
      <c r="W17" s="754">
        <f>J17</f>
        <v>100</v>
      </c>
      <c r="X17" s="1896"/>
      <c r="Y17" s="3007"/>
      <c r="Z17" s="1898" t="str">
        <f>Q17</f>
        <v>交通便捷度</v>
      </c>
      <c r="AA17" s="1899">
        <f t="shared" si="3"/>
        <v>1</v>
      </c>
      <c r="AB17" s="1899">
        <f t="shared" si="4"/>
        <v>1</v>
      </c>
      <c r="AC17" s="1899">
        <f t="shared" si="5"/>
        <v>1</v>
      </c>
    </row>
    <row r="18" spans="1:29" ht="15">
      <c r="A18" s="408"/>
      <c r="B18" s="436"/>
      <c r="C18" s="437"/>
      <c r="D18" s="430"/>
      <c r="E18" s="1464"/>
      <c r="F18" s="433"/>
      <c r="G18" s="2400"/>
      <c r="H18" s="427"/>
      <c r="I18" s="1464"/>
      <c r="J18" s="427"/>
      <c r="K18" s="599"/>
      <c r="L18" s="1249"/>
      <c r="M18" s="1240"/>
      <c r="N18" s="1240"/>
      <c r="O18" s="1248"/>
      <c r="P18" s="3007"/>
      <c r="Q18" s="1895"/>
      <c r="R18" s="753"/>
      <c r="S18" s="754"/>
      <c r="T18" s="753"/>
      <c r="U18" s="754"/>
      <c r="V18" s="753"/>
      <c r="W18" s="754"/>
      <c r="X18" s="1896"/>
      <c r="Y18" s="3007"/>
      <c r="Z18" s="1898"/>
      <c r="AA18" s="1899">
        <v>1</v>
      </c>
      <c r="AB18" s="1899">
        <v>1</v>
      </c>
      <c r="AC18" s="1899">
        <v>1</v>
      </c>
    </row>
    <row r="19" spans="1:29" ht="42.75">
      <c r="A19" s="408"/>
      <c r="B19" s="615" t="s">
        <v>2479</v>
      </c>
      <c r="C19" s="2399"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007"/>
      <c r="Q19" s="1895" t="str">
        <f>B19</f>
        <v>公共配套设施</v>
      </c>
      <c r="R19" s="753" t="s">
        <v>25</v>
      </c>
      <c r="S19" s="754">
        <f>F19</f>
        <v>100</v>
      </c>
      <c r="T19" s="753" t="s">
        <v>25</v>
      </c>
      <c r="U19" s="754">
        <f>H19</f>
        <v>100</v>
      </c>
      <c r="V19" s="753" t="s">
        <v>25</v>
      </c>
      <c r="W19" s="754">
        <f>J19</f>
        <v>100</v>
      </c>
      <c r="X19" s="1896"/>
      <c r="Y19" s="3007"/>
      <c r="Z19" s="1898" t="str">
        <f>Q19</f>
        <v>公共配套设施</v>
      </c>
      <c r="AA19" s="1899">
        <f t="shared" si="3"/>
        <v>1</v>
      </c>
      <c r="AB19" s="1899">
        <f t="shared" si="4"/>
        <v>1</v>
      </c>
      <c r="AC19" s="1899">
        <f t="shared" si="5"/>
        <v>1</v>
      </c>
    </row>
    <row r="20" spans="1:29" ht="15">
      <c r="A20" s="408"/>
      <c r="B20" s="616"/>
      <c r="C20" s="426"/>
      <c r="D20" s="427"/>
      <c r="E20" s="428"/>
      <c r="F20" s="429"/>
      <c r="G20" s="2397"/>
      <c r="H20" s="427"/>
      <c r="I20" s="428"/>
      <c r="J20" s="427"/>
      <c r="K20" s="599"/>
      <c r="L20" s="1249"/>
      <c r="M20" s="1240"/>
      <c r="N20" s="1240"/>
      <c r="O20" s="1248"/>
      <c r="P20" s="3007"/>
      <c r="Q20" s="1895"/>
      <c r="R20" s="753"/>
      <c r="S20" s="754"/>
      <c r="T20" s="753"/>
      <c r="U20" s="754"/>
      <c r="V20" s="753"/>
      <c r="W20" s="754"/>
      <c r="X20" s="1896"/>
      <c r="Y20" s="3007"/>
      <c r="Z20" s="1898"/>
      <c r="AA20" s="1899">
        <v>1</v>
      </c>
      <c r="AB20" s="1899">
        <v>1</v>
      </c>
      <c r="AC20" s="1899">
        <v>1</v>
      </c>
    </row>
    <row r="21" spans="1:29" ht="28.5">
      <c r="A21" s="408"/>
      <c r="B21" s="617" t="s">
        <v>2480</v>
      </c>
      <c r="C21" s="2399"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007"/>
      <c r="Q21" s="1895" t="str">
        <f>B21</f>
        <v>基础设施水平</v>
      </c>
      <c r="R21" s="753" t="s">
        <v>25</v>
      </c>
      <c r="S21" s="754">
        <f>F21</f>
        <v>100</v>
      </c>
      <c r="T21" s="753" t="s">
        <v>25</v>
      </c>
      <c r="U21" s="754">
        <f>H21</f>
        <v>100</v>
      </c>
      <c r="V21" s="753" t="s">
        <v>25</v>
      </c>
      <c r="W21" s="754">
        <f>J21</f>
        <v>100</v>
      </c>
      <c r="X21" s="1896"/>
      <c r="Y21" s="3007"/>
      <c r="Z21" s="1898" t="str">
        <f>Q21</f>
        <v>基础设施水平</v>
      </c>
      <c r="AA21" s="1899">
        <f t="shared" ref="AA21" si="8">D21/F21</f>
        <v>1</v>
      </c>
      <c r="AB21" s="1899">
        <f t="shared" ref="AB21" si="9">D21/H21</f>
        <v>1</v>
      </c>
      <c r="AC21" s="1899">
        <f t="shared" ref="AC21" si="10">D21/J21</f>
        <v>1</v>
      </c>
    </row>
    <row r="22" spans="1:29" ht="15">
      <c r="A22" s="408"/>
      <c r="B22" s="2401"/>
      <c r="C22" s="437"/>
      <c r="D22" s="427"/>
      <c r="E22" s="426"/>
      <c r="F22" s="429"/>
      <c r="G22" s="426"/>
      <c r="H22" s="427"/>
      <c r="I22" s="426"/>
      <c r="J22" s="427"/>
      <c r="K22" s="1465"/>
      <c r="L22" s="1249"/>
      <c r="M22" s="1240"/>
      <c r="N22" s="1240"/>
      <c r="O22" s="1248"/>
      <c r="P22" s="3007"/>
      <c r="Q22" s="1895"/>
      <c r="R22" s="753"/>
      <c r="S22" s="754"/>
      <c r="T22" s="753"/>
      <c r="U22" s="754"/>
      <c r="V22" s="753"/>
      <c r="W22" s="754"/>
      <c r="X22" s="1896"/>
      <c r="Y22" s="3007"/>
      <c r="Z22" s="1898"/>
      <c r="AA22" s="1899">
        <v>1</v>
      </c>
      <c r="AB22" s="1899">
        <v>1</v>
      </c>
      <c r="AC22" s="1899">
        <v>1</v>
      </c>
    </row>
    <row r="23" spans="1:29" ht="71.25">
      <c r="A23" s="408"/>
      <c r="B23" s="431" t="s">
        <v>2481</v>
      </c>
      <c r="C23" s="2399"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007"/>
      <c r="Q23" s="1895" t="str">
        <f>B23</f>
        <v>环境质量</v>
      </c>
      <c r="R23" s="753" t="s">
        <v>25</v>
      </c>
      <c r="S23" s="754">
        <f>F23</f>
        <v>100</v>
      </c>
      <c r="T23" s="753" t="s">
        <v>25</v>
      </c>
      <c r="U23" s="754">
        <f>H23</f>
        <v>100</v>
      </c>
      <c r="V23" s="753" t="s">
        <v>25</v>
      </c>
      <c r="W23" s="754">
        <f>J23</f>
        <v>100</v>
      </c>
      <c r="X23" s="1896"/>
      <c r="Y23" s="3007"/>
      <c r="Z23" s="1898" t="str">
        <f>Q23</f>
        <v>环境质量</v>
      </c>
      <c r="AA23" s="1899">
        <f t="shared" si="3"/>
        <v>1</v>
      </c>
      <c r="AB23" s="1899">
        <f t="shared" si="4"/>
        <v>1</v>
      </c>
      <c r="AC23" s="1899">
        <f t="shared" si="5"/>
        <v>1</v>
      </c>
    </row>
    <row r="24" spans="1:29" ht="15">
      <c r="A24" s="408"/>
      <c r="B24" s="2401"/>
      <c r="C24" s="426"/>
      <c r="D24" s="427"/>
      <c r="E24" s="428"/>
      <c r="F24" s="429"/>
      <c r="G24" s="2397"/>
      <c r="H24" s="427"/>
      <c r="I24" s="428"/>
      <c r="J24" s="427"/>
      <c r="K24" s="599"/>
      <c r="L24" s="1249"/>
      <c r="M24" s="1240"/>
      <c r="N24" s="1240"/>
      <c r="O24" s="1248"/>
      <c r="P24" s="3007"/>
      <c r="Q24" s="1895"/>
      <c r="R24" s="753"/>
      <c r="S24" s="754"/>
      <c r="T24" s="753"/>
      <c r="U24" s="754"/>
      <c r="V24" s="753"/>
      <c r="W24" s="754"/>
      <c r="X24" s="1896"/>
      <c r="Y24" s="3007"/>
      <c r="Z24" s="1898"/>
      <c r="AA24" s="1899">
        <v>1</v>
      </c>
      <c r="AB24" s="1899">
        <v>1</v>
      </c>
      <c r="AC24" s="1899">
        <v>1</v>
      </c>
    </row>
    <row r="25" spans="1:29" ht="15">
      <c r="A25" s="383"/>
      <c r="B25" s="2405">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007"/>
      <c r="Q25" s="1895">
        <f>B25</f>
        <v>111</v>
      </c>
      <c r="R25" s="753" t="s">
        <v>25</v>
      </c>
      <c r="S25" s="754">
        <f>F25</f>
        <v>100</v>
      </c>
      <c r="T25" s="753" t="s">
        <v>25</v>
      </c>
      <c r="U25" s="754">
        <f>H25</f>
        <v>100</v>
      </c>
      <c r="V25" s="753" t="s">
        <v>25</v>
      </c>
      <c r="W25" s="754">
        <f>J25</f>
        <v>100</v>
      </c>
      <c r="X25" s="1896"/>
      <c r="Y25" s="3007"/>
      <c r="Z25" s="1898">
        <f>Q25</f>
        <v>111</v>
      </c>
      <c r="AA25" s="1899">
        <f t="shared" si="3"/>
        <v>1</v>
      </c>
      <c r="AB25" s="1899">
        <f t="shared" si="4"/>
        <v>1</v>
      </c>
      <c r="AC25" s="1899">
        <f t="shared" si="5"/>
        <v>1</v>
      </c>
    </row>
    <row r="26" spans="1:29" ht="15">
      <c r="A26" s="408"/>
      <c r="B26" s="2405">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007"/>
      <c r="Q26" s="1895">
        <f t="shared" ref="Q26:Q40" si="11">B26</f>
        <v>111</v>
      </c>
      <c r="R26" s="753" t="s">
        <v>25</v>
      </c>
      <c r="S26" s="754">
        <f>F26</f>
        <v>100</v>
      </c>
      <c r="T26" s="753" t="s">
        <v>25</v>
      </c>
      <c r="U26" s="754">
        <f>H26</f>
        <v>100</v>
      </c>
      <c r="V26" s="753" t="s">
        <v>25</v>
      </c>
      <c r="W26" s="754">
        <f>J26</f>
        <v>100</v>
      </c>
      <c r="X26" s="1896"/>
      <c r="Y26" s="3007"/>
      <c r="Z26" s="1898">
        <f>Q26</f>
        <v>111</v>
      </c>
      <c r="AA26" s="1899">
        <f t="shared" si="3"/>
        <v>1</v>
      </c>
      <c r="AB26" s="1899">
        <f t="shared" si="4"/>
        <v>1</v>
      </c>
      <c r="AC26" s="1899">
        <f t="shared" si="5"/>
        <v>1</v>
      </c>
    </row>
    <row r="27" spans="1:29" s="35" customFormat="1" ht="15">
      <c r="A27" s="411"/>
      <c r="B27" s="2405">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007"/>
      <c r="Q27" s="1883">
        <f t="shared" si="11"/>
        <v>111</v>
      </c>
      <c r="R27" s="749" t="s">
        <v>25</v>
      </c>
      <c r="S27" s="750">
        <f>F27</f>
        <v>100</v>
      </c>
      <c r="T27" s="749" t="s">
        <v>25</v>
      </c>
      <c r="U27" s="750">
        <f>H27</f>
        <v>100</v>
      </c>
      <c r="V27" s="749" t="s">
        <v>25</v>
      </c>
      <c r="W27" s="750">
        <f>J27</f>
        <v>100</v>
      </c>
      <c r="X27" s="751"/>
      <c r="Y27" s="3007"/>
      <c r="Z27" s="23">
        <f>Q27</f>
        <v>111</v>
      </c>
      <c r="AA27" s="1899">
        <f>D27/F27</f>
        <v>1</v>
      </c>
      <c r="AB27" s="1899">
        <f>D27/H27</f>
        <v>1</v>
      </c>
      <c r="AC27" s="1899">
        <f>D27/J27</f>
        <v>1</v>
      </c>
    </row>
    <row r="28" spans="1:29" ht="15.75" thickBot="1">
      <c r="A28" s="416"/>
      <c r="B28" s="2405">
        <v>111</v>
      </c>
      <c r="C28" s="2395"/>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007"/>
      <c r="Q28" s="1895">
        <f t="shared" si="11"/>
        <v>111</v>
      </c>
      <c r="R28" s="753" t="s">
        <v>25</v>
      </c>
      <c r="S28" s="754">
        <f t="shared" ref="S28:S40" si="12">F28</f>
        <v>100</v>
      </c>
      <c r="T28" s="753" t="s">
        <v>25</v>
      </c>
      <c r="U28" s="754">
        <f t="shared" ref="U28:U40" si="13">H28</f>
        <v>100</v>
      </c>
      <c r="V28" s="753" t="s">
        <v>25</v>
      </c>
      <c r="W28" s="754">
        <f t="shared" ref="W28:W40" si="14">J28</f>
        <v>100</v>
      </c>
      <c r="X28" s="1896"/>
      <c r="Y28" s="3007"/>
      <c r="Z28" s="1898">
        <f t="shared" ref="Z28:Z40" si="15">Q28</f>
        <v>111</v>
      </c>
      <c r="AA28" s="1899">
        <f t="shared" si="3"/>
        <v>1</v>
      </c>
      <c r="AB28" s="1899">
        <f t="shared" si="4"/>
        <v>1</v>
      </c>
      <c r="AC28" s="1899">
        <f t="shared" si="5"/>
        <v>1</v>
      </c>
    </row>
    <row r="29" spans="1:29" ht="15">
      <c r="A29" s="447" t="s">
        <v>2368</v>
      </c>
      <c r="B29" s="28" t="s">
        <v>2484</v>
      </c>
      <c r="C29" s="2466" t="s">
        <v>2496</v>
      </c>
      <c r="D29" s="448">
        <v>100</v>
      </c>
      <c r="E29" s="2466"/>
      <c r="F29" s="442">
        <f>SUMIF(88:88,E29,89:89)-SUMIF(88:88,C29,89:89)+100</f>
        <v>100</v>
      </c>
      <c r="G29" s="2466"/>
      <c r="H29" s="415">
        <f>SUMIF(88:88,G29,89:89)-SUMIF(88:88,C29,89:89)+100</f>
        <v>100</v>
      </c>
      <c r="I29" s="2466"/>
      <c r="J29" s="448">
        <f>SUMIF(88:88,I29,89:89)-SUMIF(88:88,C29,89:89)+100</f>
        <v>100</v>
      </c>
      <c r="K29" s="596"/>
      <c r="L29" s="1249"/>
      <c r="M29" s="1240"/>
      <c r="N29" s="1240"/>
      <c r="O29" s="1248"/>
      <c r="P29" s="3059" t="s">
        <v>2370</v>
      </c>
      <c r="Q29" s="1895" t="str">
        <f t="shared" si="11"/>
        <v>建筑类型</v>
      </c>
      <c r="R29" s="753" t="s">
        <v>25</v>
      </c>
      <c r="S29" s="754">
        <f t="shared" si="12"/>
        <v>100</v>
      </c>
      <c r="T29" s="753" t="s">
        <v>25</v>
      </c>
      <c r="U29" s="754">
        <f t="shared" si="13"/>
        <v>100</v>
      </c>
      <c r="V29" s="753" t="s">
        <v>25</v>
      </c>
      <c r="W29" s="754">
        <f t="shared" si="14"/>
        <v>100</v>
      </c>
      <c r="X29" s="1896"/>
      <c r="Y29" s="3011" t="s">
        <v>2370</v>
      </c>
      <c r="Z29" s="1898" t="str">
        <f t="shared" si="15"/>
        <v>建筑类型</v>
      </c>
      <c r="AA29" s="1899">
        <f t="shared" si="3"/>
        <v>1</v>
      </c>
      <c r="AB29" s="1899">
        <f t="shared" si="4"/>
        <v>1</v>
      </c>
      <c r="AC29" s="1899">
        <f t="shared" si="5"/>
        <v>1</v>
      </c>
    </row>
    <row r="30" spans="1:29" s="452" customFormat="1" ht="15">
      <c r="A30" s="449"/>
      <c r="B30" s="402" t="s">
        <v>2371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3011"/>
      <c r="Q30" s="755" t="str">
        <f t="shared" si="11"/>
        <v>项目建筑规模</v>
      </c>
      <c r="R30" s="756" t="s">
        <v>25</v>
      </c>
      <c r="S30" s="757" t="e">
        <f t="shared" si="12"/>
        <v>#N/A</v>
      </c>
      <c r="T30" s="756" t="s">
        <v>25</v>
      </c>
      <c r="U30" s="757" t="e">
        <f t="shared" si="13"/>
        <v>#N/A</v>
      </c>
      <c r="V30" s="756" t="s">
        <v>25</v>
      </c>
      <c r="W30" s="757" t="e">
        <f t="shared" si="14"/>
        <v>#N/A</v>
      </c>
      <c r="X30" s="758"/>
      <c r="Y30" s="3011"/>
      <c r="Z30" s="759" t="str">
        <f t="shared" si="15"/>
        <v>项目建筑规模</v>
      </c>
      <c r="AA30" s="1899" t="e">
        <f t="shared" si="3"/>
        <v>#N/A</v>
      </c>
      <c r="AB30" s="1899" t="e">
        <f t="shared" si="4"/>
        <v>#N/A</v>
      </c>
      <c r="AC30" s="1899" t="e">
        <f t="shared" si="5"/>
        <v>#N/A</v>
      </c>
    </row>
    <row r="31" spans="1:29" ht="15">
      <c r="A31" s="453"/>
      <c r="B31" s="402" t="s">
        <v>2372</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3011"/>
      <c r="Q31" s="1895" t="str">
        <f t="shared" si="11"/>
        <v>建筑结构</v>
      </c>
      <c r="R31" s="753" t="s">
        <v>25</v>
      </c>
      <c r="S31" s="754">
        <f t="shared" si="12"/>
        <v>100</v>
      </c>
      <c r="T31" s="753" t="s">
        <v>25</v>
      </c>
      <c r="U31" s="754">
        <f t="shared" si="13"/>
        <v>100</v>
      </c>
      <c r="V31" s="753" t="s">
        <v>25</v>
      </c>
      <c r="W31" s="754">
        <f t="shared" si="14"/>
        <v>100</v>
      </c>
      <c r="X31" s="1896"/>
      <c r="Y31" s="3011"/>
      <c r="Z31" s="1898" t="str">
        <f t="shared" si="15"/>
        <v>建筑结构</v>
      </c>
      <c r="AA31" s="1899">
        <f t="shared" si="3"/>
        <v>1</v>
      </c>
      <c r="AB31" s="1899">
        <f t="shared" si="4"/>
        <v>1</v>
      </c>
      <c r="AC31" s="1899">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3011"/>
      <c r="Q32" s="1895" t="str">
        <f t="shared" si="11"/>
        <v>公共部分装修</v>
      </c>
      <c r="R32" s="753" t="s">
        <v>25</v>
      </c>
      <c r="S32" s="754">
        <f t="shared" si="12"/>
        <v>100</v>
      </c>
      <c r="T32" s="753" t="s">
        <v>25</v>
      </c>
      <c r="U32" s="754">
        <f t="shared" si="13"/>
        <v>100</v>
      </c>
      <c r="V32" s="753" t="s">
        <v>25</v>
      </c>
      <c r="W32" s="754">
        <f t="shared" si="14"/>
        <v>100</v>
      </c>
      <c r="X32" s="1896"/>
      <c r="Y32" s="3011"/>
      <c r="Z32" s="1898" t="str">
        <f t="shared" si="15"/>
        <v>公共部分装修</v>
      </c>
      <c r="AA32" s="1899">
        <f t="shared" si="3"/>
        <v>1</v>
      </c>
      <c r="AB32" s="1899">
        <f t="shared" si="4"/>
        <v>1</v>
      </c>
      <c r="AC32" s="1899">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3011"/>
      <c r="Q33" s="1895" t="str">
        <f t="shared" si="11"/>
        <v>成新度</v>
      </c>
      <c r="R33" s="753" t="s">
        <v>25</v>
      </c>
      <c r="S33" s="754" t="e">
        <f t="shared" si="12"/>
        <v>#N/A</v>
      </c>
      <c r="T33" s="753" t="s">
        <v>25</v>
      </c>
      <c r="U33" s="754" t="e">
        <f t="shared" si="13"/>
        <v>#N/A</v>
      </c>
      <c r="V33" s="753" t="s">
        <v>25</v>
      </c>
      <c r="W33" s="754" t="e">
        <f t="shared" si="14"/>
        <v>#N/A</v>
      </c>
      <c r="X33" s="1896"/>
      <c r="Y33" s="3011"/>
      <c r="Z33" s="1898" t="str">
        <f t="shared" si="15"/>
        <v>成新度</v>
      </c>
      <c r="AA33" s="1899" t="e">
        <f t="shared" si="3"/>
        <v>#N/A</v>
      </c>
      <c r="AB33" s="1899" t="e">
        <f t="shared" si="4"/>
        <v>#N/A</v>
      </c>
      <c r="AC33" s="1899"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3011"/>
      <c r="Q34" s="1883" t="str">
        <f t="shared" si="11"/>
        <v>物业管理</v>
      </c>
      <c r="R34" s="749" t="s">
        <v>25</v>
      </c>
      <c r="S34" s="750">
        <f t="shared" si="12"/>
        <v>100</v>
      </c>
      <c r="T34" s="749" t="s">
        <v>25</v>
      </c>
      <c r="U34" s="750">
        <f t="shared" si="13"/>
        <v>100</v>
      </c>
      <c r="V34" s="749" t="s">
        <v>25</v>
      </c>
      <c r="W34" s="750">
        <f t="shared" si="14"/>
        <v>100</v>
      </c>
      <c r="X34" s="751"/>
      <c r="Y34" s="3011"/>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3011" t="s">
        <v>2370</v>
      </c>
      <c r="Q35" s="1895" t="str">
        <f t="shared" si="11"/>
        <v>市政基础设施</v>
      </c>
      <c r="R35" s="753" t="s">
        <v>25</v>
      </c>
      <c r="S35" s="754">
        <f t="shared" si="12"/>
        <v>100</v>
      </c>
      <c r="T35" s="753" t="s">
        <v>25</v>
      </c>
      <c r="U35" s="754">
        <f t="shared" si="13"/>
        <v>100</v>
      </c>
      <c r="V35" s="753" t="s">
        <v>25</v>
      </c>
      <c r="W35" s="754">
        <f t="shared" si="14"/>
        <v>100</v>
      </c>
      <c r="X35" s="1896"/>
      <c r="Y35" s="3011" t="s">
        <v>2370</v>
      </c>
      <c r="Z35" s="1898" t="str">
        <f t="shared" si="15"/>
        <v>市政基础设施</v>
      </c>
      <c r="AA35" s="1899">
        <f t="shared" si="3"/>
        <v>1</v>
      </c>
      <c r="AB35" s="1899">
        <f t="shared" si="4"/>
        <v>1</v>
      </c>
      <c r="AC35" s="1899">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3011"/>
      <c r="Q36" s="1895" t="str">
        <f t="shared" si="11"/>
        <v>内部装修</v>
      </c>
      <c r="R36" s="753" t="s">
        <v>25</v>
      </c>
      <c r="S36" s="754">
        <f t="shared" si="12"/>
        <v>100</v>
      </c>
      <c r="T36" s="753" t="s">
        <v>25</v>
      </c>
      <c r="U36" s="754">
        <f t="shared" si="13"/>
        <v>100</v>
      </c>
      <c r="V36" s="753" t="s">
        <v>25</v>
      </c>
      <c r="W36" s="754">
        <f t="shared" si="14"/>
        <v>100</v>
      </c>
      <c r="X36" s="1896"/>
      <c r="Y36" s="3011"/>
      <c r="Z36" s="1898" t="str">
        <f t="shared" si="15"/>
        <v>内部装修</v>
      </c>
      <c r="AA36" s="1899">
        <f t="shared" si="3"/>
        <v>1</v>
      </c>
      <c r="AB36" s="1899">
        <f t="shared" si="4"/>
        <v>1</v>
      </c>
      <c r="AC36" s="1899">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3011"/>
      <c r="Q37" s="1895" t="str">
        <f t="shared" si="11"/>
        <v>内部装修状况</v>
      </c>
      <c r="R37" s="753" t="s">
        <v>25</v>
      </c>
      <c r="S37" s="754">
        <f t="shared" si="12"/>
        <v>0</v>
      </c>
      <c r="T37" s="753" t="s">
        <v>25</v>
      </c>
      <c r="U37" s="754">
        <f t="shared" si="13"/>
        <v>0</v>
      </c>
      <c r="V37" s="753" t="s">
        <v>25</v>
      </c>
      <c r="W37" s="754">
        <f t="shared" si="14"/>
        <v>0</v>
      </c>
      <c r="X37" s="1896"/>
      <c r="Y37" s="3011"/>
      <c r="Z37" s="1898" t="str">
        <f t="shared" si="15"/>
        <v>内部装修状况</v>
      </c>
      <c r="AA37" s="1899" t="e">
        <f t="shared" si="3"/>
        <v>#DIV/0!</v>
      </c>
      <c r="AB37" s="1899" t="e">
        <f t="shared" si="4"/>
        <v>#DIV/0!</v>
      </c>
      <c r="AC37" s="1899" t="e">
        <f t="shared" si="5"/>
        <v>#DIV/0!</v>
      </c>
    </row>
    <row r="38" spans="1:29" s="452" customFormat="1" ht="15">
      <c r="A38" s="449"/>
      <c r="B38" s="2405">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3011"/>
      <c r="Q38" s="755">
        <f t="shared" si="11"/>
        <v>111</v>
      </c>
      <c r="R38" s="756" t="s">
        <v>25</v>
      </c>
      <c r="S38" s="757">
        <f t="shared" si="12"/>
        <v>100</v>
      </c>
      <c r="T38" s="756" t="s">
        <v>25</v>
      </c>
      <c r="U38" s="757">
        <f t="shared" si="13"/>
        <v>100</v>
      </c>
      <c r="V38" s="756" t="s">
        <v>25</v>
      </c>
      <c r="W38" s="757">
        <f t="shared" si="14"/>
        <v>100</v>
      </c>
      <c r="X38" s="758"/>
      <c r="Y38" s="3011"/>
      <c r="Z38" s="759">
        <f t="shared" si="15"/>
        <v>111</v>
      </c>
      <c r="AA38" s="1899">
        <f t="shared" si="3"/>
        <v>1</v>
      </c>
      <c r="AB38" s="1899">
        <f t="shared" si="4"/>
        <v>1</v>
      </c>
      <c r="AC38" s="1899">
        <f t="shared" si="5"/>
        <v>1</v>
      </c>
    </row>
    <row r="39" spans="1:29" ht="15">
      <c r="A39" s="453"/>
      <c r="B39" s="2405">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3011"/>
      <c r="Q39" s="1895">
        <f t="shared" si="11"/>
        <v>111</v>
      </c>
      <c r="R39" s="753" t="s">
        <v>25</v>
      </c>
      <c r="S39" s="754">
        <f t="shared" si="12"/>
        <v>100</v>
      </c>
      <c r="T39" s="753" t="s">
        <v>25</v>
      </c>
      <c r="U39" s="754">
        <f t="shared" si="13"/>
        <v>100</v>
      </c>
      <c r="V39" s="753" t="s">
        <v>25</v>
      </c>
      <c r="W39" s="754">
        <f t="shared" si="14"/>
        <v>100</v>
      </c>
      <c r="X39" s="1896"/>
      <c r="Y39" s="3011"/>
      <c r="Z39" s="1898">
        <f t="shared" si="15"/>
        <v>111</v>
      </c>
      <c r="AA39" s="1899">
        <f t="shared" si="3"/>
        <v>1</v>
      </c>
      <c r="AB39" s="1899">
        <f t="shared" si="4"/>
        <v>1</v>
      </c>
      <c r="AC39" s="1899">
        <f t="shared" si="5"/>
        <v>1</v>
      </c>
    </row>
    <row r="40" spans="1:29" ht="15.75" thickBot="1">
      <c r="A40" s="459"/>
      <c r="B40" s="2394">
        <v>111</v>
      </c>
      <c r="C40" s="2395">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3012"/>
      <c r="Q40" s="1895">
        <f t="shared" si="11"/>
        <v>111</v>
      </c>
      <c r="R40" s="753" t="s">
        <v>25</v>
      </c>
      <c r="S40" s="754">
        <f t="shared" si="12"/>
        <v>100</v>
      </c>
      <c r="T40" s="753" t="s">
        <v>25</v>
      </c>
      <c r="U40" s="754">
        <f t="shared" si="13"/>
        <v>100</v>
      </c>
      <c r="V40" s="753" t="s">
        <v>25</v>
      </c>
      <c r="W40" s="754">
        <f t="shared" si="14"/>
        <v>100</v>
      </c>
      <c r="X40" s="1896"/>
      <c r="Y40" s="3012"/>
      <c r="Z40" s="1898">
        <f t="shared" si="15"/>
        <v>111</v>
      </c>
      <c r="AA40" s="1899">
        <f t="shared" si="3"/>
        <v>1</v>
      </c>
      <c r="AB40" s="1899">
        <f t="shared" si="4"/>
        <v>1</v>
      </c>
      <c r="AC40" s="1899">
        <f t="shared" si="5"/>
        <v>1</v>
      </c>
    </row>
    <row r="41" spans="1:29" ht="15">
      <c r="A41" s="460" t="s">
        <v>2382</v>
      </c>
      <c r="B41" s="461"/>
      <c r="C41" s="1498" t="s">
        <v>1</v>
      </c>
      <c r="D41" s="1499"/>
      <c r="E41" s="1500"/>
      <c r="F41" s="1501"/>
      <c r="G41" s="1502"/>
      <c r="H41" s="1503"/>
      <c r="I41" s="1500"/>
      <c r="J41" s="1503"/>
      <c r="K41" s="762"/>
      <c r="L41" s="1252"/>
      <c r="M41" s="1253"/>
      <c r="N41" s="1240"/>
      <c r="O41" s="1253"/>
      <c r="P41" s="3013" t="str">
        <f>A41</f>
        <v>成交单价（元/平方米）</v>
      </c>
      <c r="Q41" s="3013"/>
      <c r="R41" s="3014">
        <f>E41</f>
        <v>0</v>
      </c>
      <c r="S41" s="3014"/>
      <c r="T41" s="3014">
        <f>G41</f>
        <v>0</v>
      </c>
      <c r="U41" s="3014"/>
      <c r="V41" s="3014">
        <f>I41</f>
        <v>0</v>
      </c>
      <c r="W41" s="3014"/>
      <c r="X41" s="738"/>
      <c r="Y41" s="760"/>
      <c r="Z41" s="738"/>
      <c r="AA41" s="738"/>
      <c r="AB41" s="738"/>
      <c r="AC41" s="738"/>
    </row>
    <row r="42" spans="1:29" ht="15.75" thickBot="1">
      <c r="A42" s="467" t="s">
        <v>2465</v>
      </c>
      <c r="B42" s="468"/>
      <c r="C42" s="1504" t="e">
        <f>R43</f>
        <v>#DIV/0!</v>
      </c>
      <c r="D42" s="1505"/>
      <c r="E42" s="1506" t="e">
        <f>R42</f>
        <v>#DIV/0!</v>
      </c>
      <c r="F42" s="1506"/>
      <c r="G42" s="1504" t="e">
        <f>T42</f>
        <v>#DIV/0!</v>
      </c>
      <c r="H42" s="1505"/>
      <c r="I42" s="1506" t="e">
        <f>V42</f>
        <v>#DIV/0!</v>
      </c>
      <c r="J42" s="1505"/>
      <c r="K42" s="763"/>
      <c r="L42" s="1252"/>
      <c r="M42" s="1253"/>
      <c r="N42" s="1240"/>
      <c r="O42" s="1253"/>
      <c r="P42" s="3013" t="str">
        <f>A42</f>
        <v>比较价值（元/平方米）</v>
      </c>
      <c r="Q42" s="3013"/>
      <c r="R42" s="3014" t="e">
        <f>IF(E1="售价",ROUND(PRODUCT(R41,AA7:AA40),0),ROUND(PRODUCT(R41,AA7:AA40),1))</f>
        <v>#DIV/0!</v>
      </c>
      <c r="S42" s="3014"/>
      <c r="T42" s="3014" t="e">
        <f>IF(E1="售价",ROUND(PRODUCT(T41,AB7:AB40),0),ROUND(PRODUCT(T41,AB7:AB40),1))</f>
        <v>#DIV/0!</v>
      </c>
      <c r="U42" s="3014"/>
      <c r="V42" s="3014" t="e">
        <f>IF(E1="售价",ROUND(PRODUCT(V41,AC7:AC40),0),ROUND(PRODUCT(V41,AC7:AC40),1))</f>
        <v>#DIV/0!</v>
      </c>
      <c r="W42" s="3014"/>
      <c r="X42" s="738"/>
      <c r="Y42" s="738"/>
      <c r="Z42" s="738"/>
      <c r="AA42" s="738"/>
      <c r="AB42" s="738"/>
      <c r="AC42" s="738"/>
    </row>
    <row r="43" spans="1:29" ht="15.75" thickBot="1">
      <c r="A43" s="473" t="s">
        <v>2488</v>
      </c>
      <c r="B43" s="474"/>
      <c r="C43" s="1508" t="e">
        <f>R43</f>
        <v>#DIV/0!</v>
      </c>
      <c r="D43" s="1508"/>
      <c r="E43" s="1508"/>
      <c r="F43" s="1508"/>
      <c r="G43" s="1508"/>
      <c r="H43" s="1508"/>
      <c r="I43" s="1508"/>
      <c r="J43" s="1508"/>
      <c r="K43" s="764"/>
      <c r="L43" s="1252"/>
      <c r="M43" s="1253"/>
      <c r="N43" s="1253"/>
      <c r="O43" s="1253"/>
      <c r="P43" s="3051" t="str">
        <f>A43</f>
        <v>估价对象XX用房的比较价值（楼面单价，元/平方米）</v>
      </c>
      <c r="Q43" s="2977"/>
      <c r="R43" s="3016" t="e">
        <f>IF(E1="售价",ROUND(AVERAGE(R42:V42),0),ROUND(AVERAGE(R42:V42),1))</f>
        <v>#DIV/0!</v>
      </c>
      <c r="S43" s="3016"/>
      <c r="T43" s="3016"/>
      <c r="U43" s="3016"/>
      <c r="V43" s="3016"/>
      <c r="W43" s="3016"/>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2352</v>
      </c>
      <c r="B52" s="487"/>
      <c r="C52" s="1674" t="str">
        <f>YEAR(C7)&amp;"-"&amp;MONTH(C7)</f>
        <v>2018-6</v>
      </c>
      <c r="D52" s="1675">
        <f>EDATE(C52,-1)</f>
        <v>43221</v>
      </c>
      <c r="E52" s="1676">
        <f t="shared" ref="E52:O52" si="16">EDATE(D52,-1)</f>
        <v>43191</v>
      </c>
      <c r="F52" s="1676">
        <f t="shared" si="16"/>
        <v>43160</v>
      </c>
      <c r="G52" s="1676">
        <f t="shared" si="16"/>
        <v>43132</v>
      </c>
      <c r="H52" s="1676">
        <f t="shared" si="16"/>
        <v>43101</v>
      </c>
      <c r="I52" s="1676">
        <f t="shared" si="16"/>
        <v>43070</v>
      </c>
      <c r="J52" s="1676">
        <f t="shared" si="16"/>
        <v>43040</v>
      </c>
      <c r="K52" s="1676">
        <f t="shared" si="16"/>
        <v>43009</v>
      </c>
      <c r="L52" s="1676">
        <f t="shared" si="16"/>
        <v>42979</v>
      </c>
      <c r="M52" s="1676">
        <f t="shared" si="16"/>
        <v>42948</v>
      </c>
      <c r="N52" s="1676">
        <f t="shared" si="16"/>
        <v>42917</v>
      </c>
      <c r="O52" s="1676">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2354</v>
      </c>
      <c r="B55" s="491"/>
      <c r="C55" s="503" t="s">
        <v>2355</v>
      </c>
      <c r="D55" s="504"/>
      <c r="E55" s="504"/>
      <c r="F55" s="504"/>
      <c r="G55" s="504"/>
      <c r="H55" s="504"/>
      <c r="I55" s="504"/>
      <c r="J55" s="504"/>
      <c r="K55" s="504"/>
      <c r="L55" s="505"/>
      <c r="M55" s="506"/>
      <c r="N55" s="1262"/>
      <c r="O55" s="1262"/>
      <c r="P55" s="507"/>
      <c r="Q55" s="485"/>
    </row>
    <row r="56" spans="1:17" s="35" customFormat="1" ht="15.75" thickBot="1">
      <c r="A56" s="502"/>
      <c r="B56" s="491"/>
      <c r="C56" s="623">
        <v>100</v>
      </c>
      <c r="D56" s="493"/>
      <c r="E56" s="493"/>
      <c r="F56" s="493"/>
      <c r="G56" s="493"/>
      <c r="H56" s="493"/>
      <c r="I56" s="493"/>
      <c r="J56" s="493"/>
      <c r="K56" s="493"/>
      <c r="L56" s="493"/>
      <c r="M56" s="495"/>
      <c r="N56" s="1262"/>
      <c r="O56" s="1262"/>
      <c r="P56" s="485"/>
      <c r="Q56" s="485"/>
    </row>
    <row r="57" spans="1:17">
      <c r="A57" s="508" t="s">
        <v>2393</v>
      </c>
      <c r="B57" s="509" t="s">
        <v>2358</v>
      </c>
      <c r="C57" s="510">
        <f>C9</f>
        <v>0</v>
      </c>
      <c r="D57" s="511"/>
      <c r="E57" s="511"/>
      <c r="F57" s="511"/>
      <c r="G57" s="511"/>
      <c r="H57" s="511"/>
      <c r="I57" s="511"/>
      <c r="J57" s="511"/>
      <c r="K57" s="512"/>
      <c r="L57" s="513"/>
      <c r="M57" s="514"/>
      <c r="N57" s="1263"/>
      <c r="O57" s="1263"/>
      <c r="P57" s="22"/>
      <c r="Q57" s="485"/>
    </row>
    <row r="58" spans="1:17" ht="15.75" thickBot="1">
      <c r="A58" s="516"/>
      <c r="B58" s="517"/>
      <c r="C58" s="518">
        <v>100</v>
      </c>
      <c r="D58" s="518"/>
      <c r="E58" s="518"/>
      <c r="F58" s="518"/>
      <c r="G58" s="518"/>
      <c r="H58" s="518"/>
      <c r="I58" s="518"/>
      <c r="J58" s="518"/>
      <c r="K58" s="518"/>
      <c r="L58" s="518"/>
      <c r="M58" s="519"/>
      <c r="N58" s="1264"/>
      <c r="O58" s="1264"/>
      <c r="P58" s="22"/>
      <c r="Q58" s="485"/>
    </row>
    <row r="59" spans="1:17" ht="27.75" thickTop="1">
      <c r="A59" s="516"/>
      <c r="B59" s="521" t="s">
        <v>2361</v>
      </c>
      <c r="C59" s="522" t="s">
        <v>2394</v>
      </c>
      <c r="D59" s="522" t="s">
        <v>2395</v>
      </c>
      <c r="E59" s="522" t="s">
        <v>2396</v>
      </c>
      <c r="F59" s="522" t="s">
        <v>2397</v>
      </c>
      <c r="G59" s="522" t="s">
        <v>2398</v>
      </c>
      <c r="H59" s="522" t="s">
        <v>2399</v>
      </c>
      <c r="I59" s="522" t="s">
        <v>2400</v>
      </c>
      <c r="J59" s="522"/>
      <c r="K59" s="523"/>
      <c r="L59" s="524"/>
      <c r="M59" s="525"/>
      <c r="N59" s="1263"/>
      <c r="O59" s="1263"/>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75" thickTop="1">
      <c r="A61" s="516"/>
      <c r="B61" s="529" t="s">
        <v>2362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ht="15">
      <c r="A62" s="516"/>
      <c r="B62" s="531"/>
      <c r="C62" s="532"/>
      <c r="D62" s="532"/>
      <c r="E62" s="532"/>
      <c r="F62" s="532"/>
      <c r="G62" s="532"/>
      <c r="H62" s="532"/>
      <c r="I62" s="532"/>
      <c r="J62" s="532"/>
      <c r="K62" s="533"/>
      <c r="L62" s="534"/>
      <c r="M62" s="535"/>
      <c r="N62" s="1263"/>
      <c r="O62" s="1263"/>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5.75" thickTop="1">
      <c r="A64" s="536"/>
      <c r="B64" s="521">
        <f>B12</f>
        <v>111</v>
      </c>
      <c r="C64" s="537"/>
      <c r="D64" s="537"/>
      <c r="E64" s="537"/>
      <c r="F64" s="537"/>
      <c r="G64" s="537"/>
      <c r="H64" s="538"/>
      <c r="I64" s="538"/>
      <c r="J64" s="538"/>
      <c r="K64" s="538"/>
      <c r="L64" s="539"/>
      <c r="M64" s="540"/>
      <c r="N64" s="1265"/>
      <c r="O64" s="1265"/>
      <c r="P64" s="542"/>
      <c r="Q64" s="543"/>
    </row>
    <row r="65" spans="1:17" s="452" customFormat="1" ht="15.75" thickBot="1">
      <c r="A65" s="536"/>
      <c r="B65" s="526"/>
      <c r="C65" s="544"/>
      <c r="D65" s="518"/>
      <c r="E65" s="518"/>
      <c r="F65" s="518"/>
      <c r="G65" s="518"/>
      <c r="H65" s="518"/>
      <c r="I65" s="518"/>
      <c r="J65" s="518"/>
      <c r="K65" s="518"/>
      <c r="L65" s="518"/>
      <c r="M65" s="519"/>
      <c r="N65" s="1264"/>
      <c r="O65" s="1264"/>
      <c r="P65" s="542"/>
      <c r="Q65" s="543"/>
    </row>
    <row r="66" spans="1:17" s="452" customFormat="1" ht="15.75" thickTop="1">
      <c r="A66" s="536"/>
      <c r="B66" s="521">
        <f>B13</f>
        <v>111</v>
      </c>
      <c r="C66" s="537"/>
      <c r="D66" s="537"/>
      <c r="E66" s="537"/>
      <c r="F66" s="537"/>
      <c r="G66" s="537"/>
      <c r="H66" s="538"/>
      <c r="I66" s="538"/>
      <c r="J66" s="538"/>
      <c r="K66" s="538"/>
      <c r="L66" s="539"/>
      <c r="M66" s="540"/>
      <c r="N66" s="1265"/>
      <c r="O66" s="1265"/>
      <c r="P66" s="451"/>
      <c r="Q66" s="545"/>
    </row>
    <row r="67" spans="1:17" s="452" customFormat="1" ht="15.75" thickBot="1">
      <c r="A67" s="536"/>
      <c r="B67" s="526"/>
      <c r="C67" s="544"/>
      <c r="D67" s="518"/>
      <c r="E67" s="518"/>
      <c r="F67" s="518"/>
      <c r="G67" s="544"/>
      <c r="H67" s="546"/>
      <c r="I67" s="546"/>
      <c r="J67" s="546"/>
      <c r="K67" s="546"/>
      <c r="L67" s="546"/>
      <c r="M67" s="547"/>
      <c r="N67" s="1265"/>
      <c r="O67" s="1265"/>
      <c r="P67" s="542"/>
      <c r="Q67" s="543"/>
    </row>
    <row r="68" spans="1:17" s="452" customFormat="1" ht="15.75" thickTop="1">
      <c r="A68" s="536"/>
      <c r="B68" s="529">
        <f>B14</f>
        <v>111</v>
      </c>
      <c r="C68" s="504"/>
      <c r="D68" s="504"/>
      <c r="E68" s="504"/>
      <c r="F68" s="504"/>
      <c r="G68" s="504"/>
      <c r="H68" s="548"/>
      <c r="I68" s="548"/>
      <c r="J68" s="548"/>
      <c r="K68" s="548"/>
      <c r="L68" s="549"/>
      <c r="M68" s="550"/>
      <c r="N68" s="1265"/>
      <c r="O68" s="1265"/>
      <c r="P68" s="551"/>
      <c r="Q68" s="543"/>
    </row>
    <row r="69" spans="1:17" s="452" customFormat="1" ht="15.75" thickBot="1">
      <c r="A69" s="552"/>
      <c r="B69" s="553"/>
      <c r="C69" s="554"/>
      <c r="D69" s="554"/>
      <c r="E69" s="554"/>
      <c r="F69" s="554"/>
      <c r="G69" s="554"/>
      <c r="H69" s="555"/>
      <c r="I69" s="555"/>
      <c r="J69" s="555"/>
      <c r="K69" s="555"/>
      <c r="L69" s="555"/>
      <c r="M69" s="556"/>
      <c r="N69" s="1265"/>
      <c r="O69" s="1265"/>
      <c r="P69" s="542"/>
      <c r="Q69" s="543"/>
    </row>
    <row r="70" spans="1:17">
      <c r="A70" s="508" t="s">
        <v>2363</v>
      </c>
      <c r="B70" s="509" t="s">
        <v>2503</v>
      </c>
      <c r="C70" s="557" t="s">
        <v>2402</v>
      </c>
      <c r="D70" s="557" t="s">
        <v>2403</v>
      </c>
      <c r="E70" s="557" t="s">
        <v>2404</v>
      </c>
      <c r="F70" s="557" t="s">
        <v>2405</v>
      </c>
      <c r="G70" s="557" t="s">
        <v>2406</v>
      </c>
      <c r="H70" s="510"/>
      <c r="I70" s="510"/>
      <c r="J70" s="510"/>
      <c r="K70" s="558"/>
      <c r="L70" s="559"/>
      <c r="M70" s="560"/>
      <c r="N70" s="1263"/>
      <c r="O70" s="1263"/>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3"/>
      <c r="O72" s="1263"/>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3"/>
      <c r="O74" s="1263"/>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3"/>
      <c r="N76" s="1264"/>
      <c r="O76" s="1264"/>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3"/>
      <c r="O78" s="1263"/>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5.75" thickTop="1">
      <c r="A80" s="563"/>
      <c r="B80" s="521">
        <f>B25</f>
        <v>111</v>
      </c>
      <c r="C80" s="537"/>
      <c r="D80" s="537"/>
      <c r="E80" s="537"/>
      <c r="F80" s="537"/>
      <c r="G80" s="537"/>
      <c r="H80" s="537"/>
      <c r="I80" s="537"/>
      <c r="J80" s="537"/>
      <c r="K80" s="537"/>
      <c r="L80" s="564"/>
      <c r="M80" s="565"/>
      <c r="N80" s="1262"/>
      <c r="O80" s="1262"/>
      <c r="P80" s="22"/>
      <c r="Q80" s="485"/>
    </row>
    <row r="81" spans="1:17" s="35" customFormat="1" ht="15.75" thickBot="1">
      <c r="A81" s="563"/>
      <c r="B81" s="526"/>
      <c r="C81" s="544"/>
      <c r="D81" s="518"/>
      <c r="E81" s="518"/>
      <c r="F81" s="518"/>
      <c r="G81" s="518"/>
      <c r="H81" s="518"/>
      <c r="I81" s="518"/>
      <c r="J81" s="518"/>
      <c r="K81" s="518"/>
      <c r="L81" s="518"/>
      <c r="M81" s="519"/>
      <c r="N81" s="1264"/>
      <c r="O81" s="1264"/>
      <c r="P81" s="22"/>
      <c r="Q81" s="485"/>
    </row>
    <row r="82" spans="1:17" s="35" customFormat="1" ht="15.75" thickTop="1">
      <c r="A82" s="563"/>
      <c r="B82" s="521">
        <f>B26</f>
        <v>111</v>
      </c>
      <c r="C82" s="537"/>
      <c r="D82" s="537"/>
      <c r="E82" s="537"/>
      <c r="F82" s="537"/>
      <c r="G82" s="537"/>
      <c r="H82" s="537"/>
      <c r="I82" s="537"/>
      <c r="J82" s="537"/>
      <c r="K82" s="537"/>
      <c r="L82" s="564"/>
      <c r="M82" s="565"/>
      <c r="N82" s="1262"/>
      <c r="O82" s="1262"/>
      <c r="P82" s="22"/>
      <c r="Q82" s="485"/>
    </row>
    <row r="83" spans="1:17" s="35" customFormat="1" ht="15.75" thickBot="1">
      <c r="A83" s="563"/>
      <c r="B83" s="526"/>
      <c r="C83" s="544"/>
      <c r="D83" s="518"/>
      <c r="E83" s="518"/>
      <c r="F83" s="518"/>
      <c r="G83" s="518"/>
      <c r="H83" s="518"/>
      <c r="I83" s="518"/>
      <c r="J83" s="518"/>
      <c r="K83" s="518"/>
      <c r="L83" s="518"/>
      <c r="M83" s="519"/>
      <c r="N83" s="1264"/>
      <c r="O83" s="1264"/>
      <c r="P83" s="22"/>
      <c r="Q83" s="485"/>
    </row>
    <row r="84" spans="1:17" s="452" customFormat="1" ht="15.75" thickTop="1">
      <c r="A84" s="536"/>
      <c r="B84" s="521">
        <f>B27</f>
        <v>111</v>
      </c>
      <c r="C84" s="537"/>
      <c r="D84" s="537"/>
      <c r="E84" s="537"/>
      <c r="F84" s="537"/>
      <c r="G84" s="537"/>
      <c r="H84" s="537"/>
      <c r="I84" s="537"/>
      <c r="J84" s="537"/>
      <c r="K84" s="537"/>
      <c r="L84" s="564"/>
      <c r="M84" s="565"/>
      <c r="N84" s="1265"/>
      <c r="O84" s="1265"/>
      <c r="P84" s="542"/>
      <c r="Q84" s="543"/>
    </row>
    <row r="85" spans="1:17" s="452" customFormat="1" ht="15.75" thickBot="1">
      <c r="A85" s="536"/>
      <c r="B85" s="526"/>
      <c r="C85" s="544"/>
      <c r="D85" s="518"/>
      <c r="E85" s="518"/>
      <c r="F85" s="518"/>
      <c r="G85" s="518"/>
      <c r="H85" s="518"/>
      <c r="I85" s="518"/>
      <c r="J85" s="518"/>
      <c r="K85" s="518"/>
      <c r="L85" s="518"/>
      <c r="M85" s="519"/>
      <c r="N85" s="1265"/>
      <c r="O85" s="1265"/>
      <c r="P85" s="542"/>
      <c r="Q85" s="543"/>
    </row>
    <row r="86" spans="1:17" ht="15.75" thickTop="1">
      <c r="A86" s="516"/>
      <c r="B86" s="529">
        <f>B28</f>
        <v>111</v>
      </c>
      <c r="C86" s="504"/>
      <c r="D86" s="504"/>
      <c r="E86" s="504"/>
      <c r="F86" s="504"/>
      <c r="G86" s="571"/>
      <c r="H86" s="571"/>
      <c r="I86" s="571"/>
      <c r="J86" s="571"/>
      <c r="K86" s="572"/>
      <c r="L86" s="573"/>
      <c r="M86" s="574"/>
      <c r="N86" s="1263"/>
      <c r="O86" s="1263"/>
      <c r="P86" s="22"/>
      <c r="Q86" s="485"/>
    </row>
    <row r="87" spans="1:17" ht="15.75" thickBot="1">
      <c r="A87" s="2425"/>
      <c r="B87" s="553"/>
      <c r="C87" s="554"/>
      <c r="D87" s="554"/>
      <c r="E87" s="554"/>
      <c r="F87" s="554"/>
      <c r="G87" s="575"/>
      <c r="H87" s="575"/>
      <c r="I87" s="575"/>
      <c r="J87" s="575"/>
      <c r="K87" s="575"/>
      <c r="L87" s="575"/>
      <c r="M87" s="576"/>
      <c r="N87" s="1264"/>
      <c r="O87" s="1264"/>
      <c r="P87" s="22"/>
      <c r="Q87" s="485"/>
    </row>
    <row r="88" spans="1:17">
      <c r="A88" s="508" t="s">
        <v>2368</v>
      </c>
      <c r="B88" s="509" t="s">
        <v>2417</v>
      </c>
      <c r="C88" s="511"/>
      <c r="D88" s="511"/>
      <c r="E88" s="511"/>
      <c r="F88" s="511"/>
      <c r="G88" s="511"/>
      <c r="H88" s="511"/>
      <c r="I88" s="511"/>
      <c r="J88" s="511"/>
      <c r="K88" s="512"/>
      <c r="L88" s="513"/>
      <c r="M88" s="514"/>
      <c r="N88" s="1263"/>
      <c r="O88" s="1263"/>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5.75"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2419</v>
      </c>
      <c r="C93" s="537"/>
      <c r="D93" s="537"/>
      <c r="E93" s="567"/>
      <c r="F93" s="567"/>
      <c r="G93" s="567"/>
      <c r="H93" s="567"/>
      <c r="I93" s="567"/>
      <c r="J93" s="567"/>
      <c r="K93" s="568"/>
      <c r="L93" s="569"/>
      <c r="M93" s="570"/>
      <c r="N93" s="1263"/>
      <c r="O93" s="1263"/>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2421</v>
      </c>
      <c r="C95" s="537"/>
      <c r="D95" s="537"/>
      <c r="E95" s="537"/>
      <c r="F95" s="567"/>
      <c r="G95" s="567"/>
      <c r="H95" s="567"/>
      <c r="I95" s="567"/>
      <c r="J95" s="567"/>
      <c r="K95" s="568"/>
      <c r="L95" s="569"/>
      <c r="M95" s="570"/>
      <c r="N95" s="1263"/>
      <c r="O95" s="1263"/>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2423</v>
      </c>
      <c r="C100" s="537"/>
      <c r="D100" s="537"/>
      <c r="E100" s="537"/>
      <c r="F100" s="537"/>
      <c r="G100" s="537"/>
      <c r="H100" s="567"/>
      <c r="I100" s="567"/>
      <c r="J100" s="567"/>
      <c r="K100" s="568"/>
      <c r="L100" s="569"/>
      <c r="M100" s="570"/>
      <c r="N100" s="1265"/>
      <c r="O100" s="1265"/>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2424</v>
      </c>
      <c r="C102" s="537"/>
      <c r="D102" s="537"/>
      <c r="E102" s="537"/>
      <c r="F102" s="537"/>
      <c r="G102" s="537"/>
      <c r="H102" s="567"/>
      <c r="I102" s="567"/>
      <c r="J102" s="567"/>
      <c r="K102" s="568"/>
      <c r="L102" s="569"/>
      <c r="M102" s="570"/>
      <c r="N102" s="1263"/>
      <c r="O102" s="1263"/>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2426</v>
      </c>
      <c r="C104" s="537"/>
      <c r="D104" s="537"/>
      <c r="E104" s="537"/>
      <c r="F104" s="537"/>
      <c r="G104" s="537"/>
      <c r="H104" s="567"/>
      <c r="I104" s="567"/>
      <c r="J104" s="567"/>
      <c r="K104" s="568"/>
      <c r="L104" s="569"/>
      <c r="M104" s="570"/>
      <c r="N104" s="1263"/>
      <c r="O104" s="1263"/>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4"/>
      <c r="O106" s="1264"/>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5"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5.75" thickBot="1">
      <c r="A109" s="536"/>
      <c r="B109" s="517"/>
      <c r="C109" s="544"/>
      <c r="D109" s="518"/>
      <c r="E109" s="518"/>
      <c r="F109" s="518"/>
      <c r="G109" s="544"/>
      <c r="H109" s="546"/>
      <c r="I109" s="546"/>
      <c r="J109" s="546"/>
      <c r="K109" s="546"/>
      <c r="L109" s="546"/>
      <c r="M109" s="547"/>
      <c r="N109" s="1265"/>
      <c r="O109" s="1265"/>
      <c r="P109" s="542"/>
      <c r="Q109" s="543"/>
    </row>
    <row r="110" spans="1:17" ht="15" thickTop="1">
      <c r="A110" s="583"/>
      <c r="B110" s="521">
        <f>B39</f>
        <v>111</v>
      </c>
      <c r="C110" s="537"/>
      <c r="D110" s="537"/>
      <c r="E110" s="537"/>
      <c r="F110" s="537"/>
      <c r="G110" s="537"/>
      <c r="H110" s="538"/>
      <c r="I110" s="538"/>
      <c r="J110" s="538"/>
      <c r="K110" s="538"/>
      <c r="L110" s="539"/>
      <c r="M110" s="540"/>
      <c r="N110" s="1263"/>
      <c r="O110" s="1263"/>
      <c r="P110" s="22"/>
      <c r="Q110" s="485"/>
    </row>
    <row r="111" spans="1:17" ht="15.75" thickBot="1">
      <c r="A111" s="516"/>
      <c r="B111" s="526"/>
      <c r="C111" s="544"/>
      <c r="D111" s="518"/>
      <c r="E111" s="518"/>
      <c r="F111" s="518"/>
      <c r="G111" s="544"/>
      <c r="H111" s="546"/>
      <c r="I111" s="546"/>
      <c r="J111" s="546"/>
      <c r="K111" s="546"/>
      <c r="L111" s="546"/>
      <c r="M111" s="547"/>
      <c r="N111" s="1264"/>
      <c r="O111" s="1264"/>
      <c r="P111" s="22"/>
      <c r="Q111" s="485"/>
    </row>
    <row r="112" spans="1:17" ht="15" thickTop="1">
      <c r="A112" s="583"/>
      <c r="B112" s="529">
        <f>B40</f>
        <v>111</v>
      </c>
      <c r="C112" s="504"/>
      <c r="D112" s="504"/>
      <c r="E112" s="504"/>
      <c r="F112" s="504"/>
      <c r="G112" s="571"/>
      <c r="H112" s="571"/>
      <c r="I112" s="571"/>
      <c r="J112" s="571"/>
      <c r="K112" s="504"/>
      <c r="L112" s="505"/>
      <c r="M112" s="574"/>
      <c r="N112" s="1263"/>
      <c r="O112" s="1263"/>
      <c r="P112" s="22"/>
      <c r="Q112" s="485"/>
    </row>
    <row r="113" spans="1:17" ht="15.75" thickBot="1">
      <c r="A113" s="2425"/>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2505</v>
      </c>
      <c r="B1" s="2473"/>
      <c r="C1" s="1725"/>
      <c r="D1" s="1726"/>
      <c r="E1" s="2375"/>
      <c r="F1" s="1727" t="s">
        <v>2337</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2005</v>
      </c>
      <c r="B2" s="1721" t="e">
        <f ca="1">IF(D2="——",IF(B37="元/平方米",IF(C2="元",ROUND(C39*D3,0),ROUND(C39*D3/10000,0)),IF(C2="元",ROUND(F3*C39,0),ROUND(F3*C39/10000,0))),IF(B37="元/平方米",IF(C2="元",ROUND(C39*D3,0),ROUND(C39*D3/10000,0)),IF(C2="元",ROUND(F3*C39,0),ROUND(F3*C39/10000,0)))-E2)</f>
        <v>#DIV/0!</v>
      </c>
      <c r="C2" s="163" t="str">
        <f>'数据-取费表'!B3</f>
        <v>元</v>
      </c>
      <c r="D2" s="2377"/>
      <c r="E2" s="1210" t="e">
        <f ca="1">SUMIF(INDIRECT("'"&amp;G2&amp;"'"&amp;"!A:A"),"承租人权益价值",INDIRECT("'"&amp;G2&amp;"'"&amp;"!c:c"))</f>
        <v>#REF!</v>
      </c>
      <c r="F2" s="2378" t="str">
        <f>C2</f>
        <v>元</v>
      </c>
      <c r="G2" s="2379"/>
      <c r="H2" s="981"/>
      <c r="I2" s="981"/>
      <c r="J2" s="981"/>
      <c r="K2" s="983"/>
      <c r="L2" s="1509"/>
      <c r="M2" s="747"/>
      <c r="N2" s="747"/>
      <c r="O2" s="747"/>
      <c r="P2" s="747"/>
      <c r="Q2" s="747"/>
      <c r="R2" s="747"/>
      <c r="S2" s="747"/>
      <c r="T2" s="747"/>
      <c r="U2" s="747"/>
      <c r="V2" s="747"/>
      <c r="W2" s="747"/>
      <c r="X2" s="747"/>
      <c r="Y2" s="747"/>
      <c r="Z2" s="747"/>
      <c r="AA2" s="747"/>
      <c r="AB2" s="747"/>
      <c r="AC2" s="748"/>
    </row>
    <row r="3" spans="1:29" s="377" customFormat="1" ht="28.5" customHeight="1" thickBot="1">
      <c r="A3" s="167" t="s">
        <v>2006</v>
      </c>
      <c r="B3" s="593" t="e">
        <f>IF(AND(D2="——",B37="元/平方米"),C39,ROUND(F3*C39/D3,0))</f>
        <v>#DIV/0!</v>
      </c>
      <c r="C3" s="379" t="s">
        <v>2338</v>
      </c>
      <c r="D3" s="378">
        <f>IF(C1="仅计算典型户型",'数据-取费表'!E5,'数据-取费表'!B5)</f>
        <v>573.89</v>
      </c>
      <c r="E3" s="1088" t="s">
        <v>2506</v>
      </c>
      <c r="F3" s="379">
        <f>'数据-取费表'!B41</f>
        <v>0</v>
      </c>
      <c r="G3" s="981"/>
      <c r="H3" s="981"/>
      <c r="I3" s="981"/>
      <c r="J3" s="981"/>
      <c r="K3" s="983"/>
      <c r="L3" s="1509"/>
      <c r="M3" s="747"/>
      <c r="N3" s="747"/>
      <c r="O3" s="747"/>
      <c r="P3" s="747"/>
      <c r="Q3" s="747"/>
      <c r="R3" s="747"/>
      <c r="S3" s="747"/>
      <c r="T3" s="747"/>
      <c r="U3" s="747"/>
      <c r="V3" s="747"/>
      <c r="W3" s="747"/>
      <c r="X3" s="747"/>
      <c r="Y3" s="747"/>
      <c r="Z3" s="747"/>
      <c r="AA3" s="747"/>
      <c r="AB3" s="767"/>
      <c r="AC3" s="761"/>
    </row>
    <row r="4" spans="1:29" ht="15">
      <c r="A4" s="380" t="s">
        <v>2339</v>
      </c>
      <c r="B4" s="381"/>
      <c r="C4" s="2985" t="s">
        <v>2340</v>
      </c>
      <c r="D4" s="2986"/>
      <c r="E4" s="2987" t="s">
        <v>2341</v>
      </c>
      <c r="F4" s="2988"/>
      <c r="G4" s="2985" t="s">
        <v>2342</v>
      </c>
      <c r="H4" s="2986"/>
      <c r="I4" s="2985" t="s">
        <v>2343</v>
      </c>
      <c r="J4" s="2986"/>
      <c r="K4" s="594" t="s">
        <v>2344</v>
      </c>
      <c r="L4" s="1510"/>
      <c r="M4" s="425"/>
      <c r="N4" s="425"/>
      <c r="O4" s="425"/>
      <c r="P4" s="3040" t="s">
        <v>2345</v>
      </c>
      <c r="Q4" s="2990"/>
      <c r="R4" s="2995" t="s">
        <v>2341</v>
      </c>
      <c r="S4" s="2996"/>
      <c r="T4" s="2995" t="s">
        <v>2342</v>
      </c>
      <c r="U4" s="2996"/>
      <c r="V4" s="3001" t="s">
        <v>2343</v>
      </c>
      <c r="W4" s="3001"/>
      <c r="X4" s="1896"/>
      <c r="Y4" s="2995" t="s">
        <v>2345</v>
      </c>
      <c r="Z4" s="2996"/>
      <c r="AA4" s="2982" t="s">
        <v>2341</v>
      </c>
      <c r="AB4" s="2983" t="s">
        <v>2342</v>
      </c>
      <c r="AC4" s="2982" t="s">
        <v>2343</v>
      </c>
    </row>
    <row r="5" spans="1:29" ht="15">
      <c r="A5" s="383"/>
      <c r="B5" s="384"/>
      <c r="C5" s="3004" t="s">
        <v>2346</v>
      </c>
      <c r="D5" s="2979"/>
      <c r="E5" s="3058" t="s">
        <v>2347</v>
      </c>
      <c r="F5" s="3003"/>
      <c r="G5" s="3004" t="s">
        <v>2348</v>
      </c>
      <c r="H5" s="2979"/>
      <c r="I5" s="3004" t="s">
        <v>2349</v>
      </c>
      <c r="J5" s="2979"/>
      <c r="K5" s="594"/>
      <c r="L5" s="1510"/>
      <c r="M5" s="425"/>
      <c r="N5" s="425"/>
      <c r="O5" s="425"/>
      <c r="P5" s="3041"/>
      <c r="Q5" s="2992"/>
      <c r="R5" s="2997"/>
      <c r="S5" s="2998"/>
      <c r="T5" s="2997"/>
      <c r="U5" s="2998"/>
      <c r="V5" s="3001"/>
      <c r="W5" s="3001"/>
      <c r="X5" s="1896"/>
      <c r="Y5" s="2997"/>
      <c r="Z5" s="2998"/>
      <c r="AA5" s="2983"/>
      <c r="AB5" s="2983"/>
      <c r="AC5" s="2983"/>
    </row>
    <row r="6" spans="1:29" ht="15.75" thickBot="1">
      <c r="A6" s="385"/>
      <c r="B6" s="386"/>
      <c r="C6" s="2975" t="s">
        <v>2350</v>
      </c>
      <c r="D6" s="2976"/>
      <c r="E6" s="2973" t="s">
        <v>2350</v>
      </c>
      <c r="F6" s="2974"/>
      <c r="G6" s="2975" t="s">
        <v>2350</v>
      </c>
      <c r="H6" s="2976"/>
      <c r="I6" s="2975" t="s">
        <v>2350</v>
      </c>
      <c r="J6" s="2976"/>
      <c r="K6" s="594" t="s">
        <v>2351</v>
      </c>
      <c r="L6" s="1510"/>
      <c r="M6" s="425"/>
      <c r="N6" s="425"/>
      <c r="O6" s="425"/>
      <c r="P6" s="3042"/>
      <c r="Q6" s="2994"/>
      <c r="R6" s="2997"/>
      <c r="S6" s="2998"/>
      <c r="T6" s="2999"/>
      <c r="U6" s="3000"/>
      <c r="V6" s="3001"/>
      <c r="W6" s="3001"/>
      <c r="X6" s="1896"/>
      <c r="Y6" s="2999"/>
      <c r="Z6" s="3000"/>
      <c r="AA6" s="2984"/>
      <c r="AB6" s="2984"/>
      <c r="AC6" s="2984"/>
    </row>
    <row r="7" spans="1:29" s="35" customFormat="1" ht="15.75" thickBot="1">
      <c r="A7" s="387" t="s">
        <v>2352</v>
      </c>
      <c r="B7" s="388"/>
      <c r="C7" s="389">
        <f>'数据-取费表'!B2</f>
        <v>43257</v>
      </c>
      <c r="D7" s="390">
        <v>100</v>
      </c>
      <c r="E7" s="391"/>
      <c r="F7" s="392">
        <f>SUMIF(48:48,YEAR(E7)&amp;"-"&amp;MONTH(E7),49:49)</f>
        <v>0</v>
      </c>
      <c r="G7" s="391"/>
      <c r="H7" s="390">
        <f>SUMIF(48:48,YEAR(G7)&amp;"-"&amp;MONTH(G7),49:49)</f>
        <v>0</v>
      </c>
      <c r="I7" s="391"/>
      <c r="J7" s="390">
        <f>SUMIF(48:48,YEAR(I7)&amp;"-"&amp;MONTH(I7),49:49)</f>
        <v>0</v>
      </c>
      <c r="K7" s="595"/>
      <c r="L7" s="1511"/>
      <c r="M7" s="1512"/>
      <c r="N7" s="1512"/>
      <c r="O7" s="1512"/>
      <c r="P7" s="3005" t="s">
        <v>2353</v>
      </c>
      <c r="Q7" s="2980"/>
      <c r="R7" s="749" t="s">
        <v>25</v>
      </c>
      <c r="S7" s="750">
        <f t="shared" ref="S7:S14" si="0">F7</f>
        <v>0</v>
      </c>
      <c r="T7" s="749" t="s">
        <v>25</v>
      </c>
      <c r="U7" s="750">
        <f t="shared" ref="U7:U14" si="1">H7</f>
        <v>0</v>
      </c>
      <c r="V7" s="749" t="s">
        <v>25</v>
      </c>
      <c r="W7" s="750">
        <f t="shared" ref="W7:W14" si="2">J7</f>
        <v>0</v>
      </c>
      <c r="X7" s="751"/>
      <c r="Y7" s="3005" t="s">
        <v>2353</v>
      </c>
      <c r="Z7" s="2981"/>
      <c r="AA7" s="752" t="e">
        <f>D7/F7</f>
        <v>#DIV/0!</v>
      </c>
      <c r="AB7" s="752" t="e">
        <f>D7/H7</f>
        <v>#DIV/0!</v>
      </c>
      <c r="AC7" s="752" t="e">
        <f>D7/J7</f>
        <v>#DIV/0!</v>
      </c>
    </row>
    <row r="8" spans="1:29" s="35" customFormat="1" ht="15.75" thickBot="1">
      <c r="A8" s="387" t="s">
        <v>2354</v>
      </c>
      <c r="B8" s="388"/>
      <c r="C8" s="394" t="s">
        <v>2355</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3005" t="s">
        <v>2356</v>
      </c>
      <c r="Q8" s="2981"/>
      <c r="R8" s="749" t="s">
        <v>25</v>
      </c>
      <c r="S8" s="750">
        <f t="shared" si="0"/>
        <v>0</v>
      </c>
      <c r="T8" s="749" t="s">
        <v>25</v>
      </c>
      <c r="U8" s="750">
        <f t="shared" si="1"/>
        <v>0</v>
      </c>
      <c r="V8" s="749" t="s">
        <v>25</v>
      </c>
      <c r="W8" s="750">
        <f t="shared" si="2"/>
        <v>0</v>
      </c>
      <c r="X8" s="751"/>
      <c r="Y8" s="3005" t="s">
        <v>2356</v>
      </c>
      <c r="Z8" s="2981"/>
      <c r="AA8" s="752" t="e">
        <f t="shared" ref="AA8:AA36" si="3">D8/F8</f>
        <v>#DIV/0!</v>
      </c>
      <c r="AB8" s="752" t="e">
        <f t="shared" ref="AB8:AB36" si="4">D8/H8</f>
        <v>#DIV/0!</v>
      </c>
      <c r="AC8" s="752" t="e">
        <f t="shared" ref="AC8:AC36" si="5">D8/J8</f>
        <v>#DIV/0!</v>
      </c>
    </row>
    <row r="9" spans="1:29" s="35" customFormat="1">
      <c r="A9" s="25" t="s">
        <v>2357</v>
      </c>
      <c r="B9" s="624" t="s">
        <v>2358</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3013" t="s">
        <v>2359</v>
      </c>
      <c r="Q9" s="1883" t="str">
        <f t="shared" ref="Q9:Q14" si="6">B9</f>
        <v>用途</v>
      </c>
      <c r="R9" s="749" t="s">
        <v>25</v>
      </c>
      <c r="S9" s="750">
        <f t="shared" si="0"/>
        <v>100</v>
      </c>
      <c r="T9" s="749" t="s">
        <v>25</v>
      </c>
      <c r="U9" s="750">
        <f t="shared" si="1"/>
        <v>100</v>
      </c>
      <c r="V9" s="749" t="s">
        <v>25</v>
      </c>
      <c r="W9" s="750">
        <f t="shared" si="2"/>
        <v>100</v>
      </c>
      <c r="X9" s="751"/>
      <c r="Y9" s="2853" t="s">
        <v>2360</v>
      </c>
      <c r="Z9" s="23" t="str">
        <f t="shared" ref="Z9:Z14" si="7">Q9</f>
        <v>用途</v>
      </c>
      <c r="AA9" s="752">
        <f t="shared" si="3"/>
        <v>1</v>
      </c>
      <c r="AB9" s="752">
        <f t="shared" si="4"/>
        <v>1</v>
      </c>
      <c r="AC9" s="752">
        <f t="shared" si="5"/>
        <v>1</v>
      </c>
    </row>
    <row r="10" spans="1:29" s="407" customFormat="1" ht="27">
      <c r="A10" s="625"/>
      <c r="B10" s="626" t="s">
        <v>2361</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3013"/>
      <c r="Q10" s="1883" t="str">
        <f t="shared" si="6"/>
        <v>土地使用年限（年）</v>
      </c>
      <c r="R10" s="749" t="s">
        <v>25</v>
      </c>
      <c r="S10" s="750">
        <f t="shared" si="0"/>
        <v>100</v>
      </c>
      <c r="T10" s="749" t="s">
        <v>25</v>
      </c>
      <c r="U10" s="750">
        <f t="shared" si="1"/>
        <v>100</v>
      </c>
      <c r="V10" s="749" t="s">
        <v>25</v>
      </c>
      <c r="W10" s="750">
        <f t="shared" si="2"/>
        <v>100</v>
      </c>
      <c r="X10" s="751"/>
      <c r="Y10" s="2853"/>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7"/>
      <c r="P11" s="3013"/>
      <c r="Q11" s="1883">
        <f t="shared" si="6"/>
        <v>111</v>
      </c>
      <c r="R11" s="749" t="s">
        <v>25</v>
      </c>
      <c r="S11" s="750">
        <f t="shared" si="0"/>
        <v>100</v>
      </c>
      <c r="T11" s="749" t="s">
        <v>25</v>
      </c>
      <c r="U11" s="750">
        <f t="shared" si="1"/>
        <v>100</v>
      </c>
      <c r="V11" s="749" t="s">
        <v>25</v>
      </c>
      <c r="W11" s="750">
        <f t="shared" si="2"/>
        <v>100</v>
      </c>
      <c r="X11" s="751"/>
      <c r="Y11" s="2853"/>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3013"/>
      <c r="Q12" s="1883">
        <f t="shared" si="6"/>
        <v>111</v>
      </c>
      <c r="R12" s="749" t="s">
        <v>25</v>
      </c>
      <c r="S12" s="750">
        <f t="shared" si="0"/>
        <v>100</v>
      </c>
      <c r="T12" s="749" t="s">
        <v>25</v>
      </c>
      <c r="U12" s="750">
        <f t="shared" si="1"/>
        <v>100</v>
      </c>
      <c r="V12" s="749" t="s">
        <v>25</v>
      </c>
      <c r="W12" s="750">
        <f t="shared" si="2"/>
        <v>100</v>
      </c>
      <c r="X12" s="751"/>
      <c r="Y12" s="2853"/>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7"/>
      <c r="P13" s="3013"/>
      <c r="Q13" s="1883">
        <f t="shared" si="6"/>
        <v>111</v>
      </c>
      <c r="R13" s="749" t="s">
        <v>25</v>
      </c>
      <c r="S13" s="750">
        <f t="shared" si="0"/>
        <v>100</v>
      </c>
      <c r="T13" s="749" t="s">
        <v>25</v>
      </c>
      <c r="U13" s="750">
        <f t="shared" si="1"/>
        <v>100</v>
      </c>
      <c r="V13" s="749" t="s">
        <v>25</v>
      </c>
      <c r="W13" s="750">
        <f t="shared" si="2"/>
        <v>100</v>
      </c>
      <c r="X13" s="751"/>
      <c r="Y13" s="2853"/>
      <c r="Z13" s="23">
        <f t="shared" si="7"/>
        <v>111</v>
      </c>
      <c r="AA13" s="752">
        <f t="shared" si="3"/>
        <v>1</v>
      </c>
      <c r="AB13" s="752">
        <f t="shared" si="4"/>
        <v>1</v>
      </c>
      <c r="AC13" s="752">
        <f t="shared" si="5"/>
        <v>1</v>
      </c>
    </row>
    <row r="14" spans="1:29" ht="114">
      <c r="A14" s="380" t="s">
        <v>2363</v>
      </c>
      <c r="B14" s="613" t="s">
        <v>2507</v>
      </c>
      <c r="C14" s="1476" t="str">
        <f>IF(B1="工业",估价对象房地状况!G4,估价对象房地状况!C6)</f>
        <v>估价对象周边道路状况为临近金榆路、通8路、快专55路公交线路经过、停车便捷程度较好，综合评价交通便捷度一般</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7"/>
      <c r="P14" s="3006" t="s">
        <v>2364</v>
      </c>
      <c r="Q14" s="1895" t="str">
        <f t="shared" si="6"/>
        <v>交通便捷度</v>
      </c>
      <c r="R14" s="753" t="s">
        <v>25</v>
      </c>
      <c r="S14" s="754">
        <f t="shared" si="0"/>
        <v>100</v>
      </c>
      <c r="T14" s="753" t="s">
        <v>25</v>
      </c>
      <c r="U14" s="754">
        <f t="shared" si="1"/>
        <v>100</v>
      </c>
      <c r="V14" s="753" t="s">
        <v>25</v>
      </c>
      <c r="W14" s="754">
        <f t="shared" si="2"/>
        <v>100</v>
      </c>
      <c r="X14" s="1896"/>
      <c r="Y14" s="3006" t="s">
        <v>2364</v>
      </c>
      <c r="Z14" s="1898" t="str">
        <f t="shared" si="7"/>
        <v>交通便捷度</v>
      </c>
      <c r="AA14" s="1899">
        <f t="shared" si="3"/>
        <v>1</v>
      </c>
      <c r="AB14" s="1899">
        <f t="shared" si="4"/>
        <v>1</v>
      </c>
      <c r="AC14" s="1899">
        <f t="shared" si="5"/>
        <v>1</v>
      </c>
    </row>
    <row r="15" spans="1:29" ht="15">
      <c r="A15" s="383"/>
      <c r="B15" s="631"/>
      <c r="C15" s="1477"/>
      <c r="D15" s="1471"/>
      <c r="E15" s="426"/>
      <c r="F15" s="427"/>
      <c r="G15" s="1468"/>
      <c r="H15" s="430"/>
      <c r="I15" s="426"/>
      <c r="J15" s="427"/>
      <c r="K15" s="599"/>
      <c r="L15" s="1518"/>
      <c r="M15" s="425"/>
      <c r="N15" s="425"/>
      <c r="O15" s="1897"/>
      <c r="P15" s="3007"/>
      <c r="Q15" s="1895"/>
      <c r="R15" s="753"/>
      <c r="S15" s="754"/>
      <c r="T15" s="753"/>
      <c r="U15" s="754"/>
      <c r="V15" s="753"/>
      <c r="W15" s="754"/>
      <c r="X15" s="1896"/>
      <c r="Y15" s="3007"/>
      <c r="Z15" s="1898"/>
      <c r="AA15" s="1899">
        <v>1</v>
      </c>
      <c r="AB15" s="1899">
        <v>1</v>
      </c>
      <c r="AC15" s="1899">
        <v>1</v>
      </c>
    </row>
    <row r="16" spans="1:29" ht="42.75">
      <c r="A16" s="383"/>
      <c r="B16" s="615" t="s">
        <v>2479</v>
      </c>
      <c r="C16" s="1478" t="str">
        <f>IF(B1="工业",估价对象房地状况!G5,估价对象房地状况!C7)</f>
        <v>估价对象所在区域公共配套设施齐备情况一般</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7"/>
      <c r="P16" s="3007"/>
      <c r="Q16" s="1895" t="str">
        <f>B16</f>
        <v>公共配套设施</v>
      </c>
      <c r="R16" s="753" t="s">
        <v>25</v>
      </c>
      <c r="S16" s="754">
        <f>F16</f>
        <v>100</v>
      </c>
      <c r="T16" s="753" t="s">
        <v>25</v>
      </c>
      <c r="U16" s="754">
        <f>H16</f>
        <v>100</v>
      </c>
      <c r="V16" s="753" t="s">
        <v>25</v>
      </c>
      <c r="W16" s="754">
        <f>J16</f>
        <v>100</v>
      </c>
      <c r="X16" s="1896"/>
      <c r="Y16" s="3007"/>
      <c r="Z16" s="1898" t="str">
        <f>Q16</f>
        <v>公共配套设施</v>
      </c>
      <c r="AA16" s="1899">
        <f t="shared" si="3"/>
        <v>1</v>
      </c>
      <c r="AB16" s="1899">
        <f t="shared" si="4"/>
        <v>1</v>
      </c>
      <c r="AC16" s="1899">
        <f t="shared" si="5"/>
        <v>1</v>
      </c>
    </row>
    <row r="17" spans="1:29" ht="15">
      <c r="A17" s="383"/>
      <c r="B17" s="616"/>
      <c r="C17" s="1466"/>
      <c r="D17" s="1472"/>
      <c r="E17" s="428"/>
      <c r="F17" s="430"/>
      <c r="G17" s="428"/>
      <c r="H17" s="427"/>
      <c r="I17" s="428"/>
      <c r="J17" s="427"/>
      <c r="K17" s="599"/>
      <c r="L17" s="1518"/>
      <c r="M17" s="425"/>
      <c r="N17" s="425"/>
      <c r="O17" s="1897"/>
      <c r="P17" s="3007"/>
      <c r="Q17" s="1895"/>
      <c r="R17" s="753"/>
      <c r="S17" s="754"/>
      <c r="T17" s="753"/>
      <c r="U17" s="754"/>
      <c r="V17" s="753"/>
      <c r="W17" s="754"/>
      <c r="X17" s="1896"/>
      <c r="Y17" s="3007"/>
      <c r="Z17" s="1898"/>
      <c r="AA17" s="1899">
        <v>1</v>
      </c>
      <c r="AB17" s="1899">
        <v>1</v>
      </c>
      <c r="AC17" s="1899">
        <v>1</v>
      </c>
    </row>
    <row r="18" spans="1:29" ht="42.75">
      <c r="A18" s="383"/>
      <c r="B18" s="617" t="s">
        <v>2480</v>
      </c>
      <c r="C18" s="1478" t="str">
        <f>IF(B1="工业",估价对象房地状况!G6,估价对象房地状况!C8)</f>
        <v>估价对象所在区域基础设施水平七通</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7"/>
      <c r="P18" s="3007"/>
      <c r="Q18" s="1895" t="str">
        <f>B18</f>
        <v>基础设施水平</v>
      </c>
      <c r="R18" s="753" t="s">
        <v>25</v>
      </c>
      <c r="S18" s="754">
        <f>F18</f>
        <v>100</v>
      </c>
      <c r="T18" s="753" t="s">
        <v>25</v>
      </c>
      <c r="U18" s="754">
        <f>H18</f>
        <v>100</v>
      </c>
      <c r="V18" s="753" t="s">
        <v>25</v>
      </c>
      <c r="W18" s="754">
        <f>J18</f>
        <v>100</v>
      </c>
      <c r="X18" s="1896"/>
      <c r="Y18" s="3007"/>
      <c r="Z18" s="1898" t="str">
        <f>Q18</f>
        <v>基础设施水平</v>
      </c>
      <c r="AA18" s="1899">
        <f t="shared" ref="AA18" si="8">D18/F18</f>
        <v>1</v>
      </c>
      <c r="AB18" s="1899">
        <f t="shared" ref="AB18" si="9">D18/H18</f>
        <v>1</v>
      </c>
      <c r="AC18" s="1899">
        <f t="shared" ref="AC18" si="10">D18/J18</f>
        <v>1</v>
      </c>
    </row>
    <row r="19" spans="1:29" ht="15">
      <c r="A19" s="383"/>
      <c r="B19" s="617"/>
      <c r="C19" s="1467"/>
      <c r="D19" s="1472"/>
      <c r="E19" s="1464"/>
      <c r="F19" s="430"/>
      <c r="G19" s="1464"/>
      <c r="H19" s="427"/>
      <c r="I19" s="428"/>
      <c r="J19" s="427"/>
      <c r="K19" s="1465"/>
      <c r="L19" s="1518"/>
      <c r="M19" s="425"/>
      <c r="N19" s="425"/>
      <c r="O19" s="1897"/>
      <c r="P19" s="3007"/>
      <c r="Q19" s="1895"/>
      <c r="R19" s="753"/>
      <c r="S19" s="754"/>
      <c r="T19" s="753"/>
      <c r="U19" s="754"/>
      <c r="V19" s="753"/>
      <c r="W19" s="754"/>
      <c r="X19" s="1896"/>
      <c r="Y19" s="3007"/>
      <c r="Z19" s="1898"/>
      <c r="AA19" s="1899">
        <v>1</v>
      </c>
      <c r="AB19" s="1899">
        <v>1</v>
      </c>
      <c r="AC19" s="1899">
        <v>1</v>
      </c>
    </row>
    <row r="20" spans="1:29" ht="85.5">
      <c r="A20" s="383"/>
      <c r="B20" s="615" t="s">
        <v>2508</v>
      </c>
      <c r="C20" s="1478" t="str">
        <f>IF(B1="工业",估价对象房地状况!G7,估价对象房地状况!C9)</f>
        <v>区域2公里内有自然环境：温榆河；人文环境：北京物资学院；综合评价环境状况较好</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7"/>
      <c r="P20" s="3007"/>
      <c r="Q20" s="1895" t="str">
        <f>B20</f>
        <v>自然及人文环境</v>
      </c>
      <c r="R20" s="753" t="s">
        <v>25</v>
      </c>
      <c r="S20" s="754">
        <f>F20</f>
        <v>100</v>
      </c>
      <c r="T20" s="753" t="s">
        <v>25</v>
      </c>
      <c r="U20" s="754">
        <f>H20</f>
        <v>100</v>
      </c>
      <c r="V20" s="753" t="s">
        <v>25</v>
      </c>
      <c r="W20" s="754">
        <f>J20</f>
        <v>100</v>
      </c>
      <c r="X20" s="1896"/>
      <c r="Y20" s="3007"/>
      <c r="Z20" s="1898" t="str">
        <f>Q20</f>
        <v>自然及人文环境</v>
      </c>
      <c r="AA20" s="1899">
        <f t="shared" si="3"/>
        <v>1</v>
      </c>
      <c r="AB20" s="1899">
        <f t="shared" si="4"/>
        <v>1</v>
      </c>
      <c r="AC20" s="1899">
        <f t="shared" si="5"/>
        <v>1</v>
      </c>
    </row>
    <row r="21" spans="1:29" ht="15">
      <c r="A21" s="383"/>
      <c r="B21" s="616"/>
      <c r="C21" s="1477"/>
      <c r="D21" s="1471"/>
      <c r="E21" s="426"/>
      <c r="F21" s="427"/>
      <c r="G21" s="1468"/>
      <c r="H21" s="427"/>
      <c r="I21" s="426"/>
      <c r="J21" s="427"/>
      <c r="K21" s="599"/>
      <c r="L21" s="1518"/>
      <c r="M21" s="425"/>
      <c r="N21" s="425"/>
      <c r="O21" s="1897"/>
      <c r="P21" s="3007"/>
      <c r="Q21" s="1895"/>
      <c r="R21" s="753"/>
      <c r="S21" s="754"/>
      <c r="T21" s="753"/>
      <c r="U21" s="754"/>
      <c r="V21" s="753"/>
      <c r="W21" s="754"/>
      <c r="X21" s="1896"/>
      <c r="Y21" s="3007"/>
      <c r="Z21" s="1898"/>
      <c r="AA21" s="1899">
        <v>1</v>
      </c>
      <c r="AB21" s="1899">
        <v>1</v>
      </c>
      <c r="AC21" s="1899">
        <v>1</v>
      </c>
    </row>
    <row r="22" spans="1:29" ht="15">
      <c r="A22" s="383"/>
      <c r="B22" s="615" t="s">
        <v>2509</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97"/>
      <c r="P22" s="3007"/>
      <c r="Q22" s="1895" t="str">
        <f>B22</f>
        <v>楼层</v>
      </c>
      <c r="R22" s="753" t="s">
        <v>25</v>
      </c>
      <c r="S22" s="754">
        <f>F22</f>
        <v>100</v>
      </c>
      <c r="T22" s="753" t="s">
        <v>25</v>
      </c>
      <c r="U22" s="754">
        <f>H22</f>
        <v>100</v>
      </c>
      <c r="V22" s="753" t="s">
        <v>25</v>
      </c>
      <c r="W22" s="754">
        <f>J22</f>
        <v>100</v>
      </c>
      <c r="X22" s="1896"/>
      <c r="Y22" s="3007"/>
      <c r="Z22" s="1898" t="str">
        <f>Q22</f>
        <v>楼层</v>
      </c>
      <c r="AA22" s="1899">
        <f t="shared" si="3"/>
        <v>1</v>
      </c>
      <c r="AB22" s="1899">
        <f t="shared" si="4"/>
        <v>1</v>
      </c>
      <c r="AC22" s="1899">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7"/>
      <c r="P23" s="3007"/>
      <c r="Q23" s="1895">
        <f>B23</f>
        <v>111</v>
      </c>
      <c r="R23" s="753" t="s">
        <v>25</v>
      </c>
      <c r="S23" s="754">
        <f>F23</f>
        <v>100</v>
      </c>
      <c r="T23" s="753" t="s">
        <v>25</v>
      </c>
      <c r="U23" s="754">
        <f>H23</f>
        <v>100</v>
      </c>
      <c r="V23" s="753" t="s">
        <v>25</v>
      </c>
      <c r="W23" s="754">
        <f>J23</f>
        <v>100</v>
      </c>
      <c r="X23" s="1896"/>
      <c r="Y23" s="3007"/>
      <c r="Z23" s="1898">
        <f>Q23</f>
        <v>111</v>
      </c>
      <c r="AA23" s="1899">
        <f t="shared" si="3"/>
        <v>1</v>
      </c>
      <c r="AB23" s="1899">
        <f t="shared" si="4"/>
        <v>1</v>
      </c>
      <c r="AC23" s="1899">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7"/>
      <c r="P24" s="3007"/>
      <c r="Q24" s="1895">
        <f t="shared" ref="Q24:Q36" si="11">B24</f>
        <v>111</v>
      </c>
      <c r="R24" s="753" t="s">
        <v>25</v>
      </c>
      <c r="S24" s="754">
        <f>F24</f>
        <v>100</v>
      </c>
      <c r="T24" s="753" t="s">
        <v>25</v>
      </c>
      <c r="U24" s="754">
        <f>H24</f>
        <v>100</v>
      </c>
      <c r="V24" s="753" t="s">
        <v>25</v>
      </c>
      <c r="W24" s="754">
        <f>J24</f>
        <v>100</v>
      </c>
      <c r="X24" s="1896"/>
      <c r="Y24" s="3007"/>
      <c r="Z24" s="1898">
        <f>Q24</f>
        <v>111</v>
      </c>
      <c r="AA24" s="1899">
        <f t="shared" si="3"/>
        <v>1</v>
      </c>
      <c r="AB24" s="1899">
        <f t="shared" si="4"/>
        <v>1</v>
      </c>
      <c r="AC24" s="1899">
        <f t="shared" si="5"/>
        <v>1</v>
      </c>
    </row>
    <row r="25" spans="1:29" s="35" customFormat="1" ht="15.75"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3007"/>
      <c r="Q25" s="1883">
        <f t="shared" si="11"/>
        <v>111</v>
      </c>
      <c r="R25" s="749" t="s">
        <v>25</v>
      </c>
      <c r="S25" s="750">
        <f>F25</f>
        <v>100</v>
      </c>
      <c r="T25" s="749" t="s">
        <v>25</v>
      </c>
      <c r="U25" s="750">
        <f>H25</f>
        <v>100</v>
      </c>
      <c r="V25" s="749" t="s">
        <v>25</v>
      </c>
      <c r="W25" s="750">
        <f>J25</f>
        <v>100</v>
      </c>
      <c r="X25" s="751"/>
      <c r="Y25" s="3007"/>
      <c r="Z25" s="23">
        <f>Q25</f>
        <v>111</v>
      </c>
      <c r="AA25" s="1899">
        <f>D25/F25</f>
        <v>1</v>
      </c>
      <c r="AB25" s="1899">
        <f>D25/H25</f>
        <v>1</v>
      </c>
      <c r="AC25" s="1899">
        <f>D25/J25</f>
        <v>1</v>
      </c>
    </row>
    <row r="26" spans="1:29" ht="15">
      <c r="A26" s="635" t="s">
        <v>2368</v>
      </c>
      <c r="B26" s="27" t="s">
        <v>2510</v>
      </c>
      <c r="C26" s="2474"/>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7"/>
      <c r="P26" s="3059" t="s">
        <v>2370</v>
      </c>
      <c r="Q26" s="1895" t="str">
        <f t="shared" si="11"/>
        <v>配套类型</v>
      </c>
      <c r="R26" s="753" t="s">
        <v>25</v>
      </c>
      <c r="S26" s="754">
        <f t="shared" ref="S26:S36" si="12">F26</f>
        <v>100</v>
      </c>
      <c r="T26" s="753" t="s">
        <v>25</v>
      </c>
      <c r="U26" s="754">
        <f t="shared" ref="U26:U36" si="13">H26</f>
        <v>100</v>
      </c>
      <c r="V26" s="753" t="s">
        <v>25</v>
      </c>
      <c r="W26" s="754">
        <f t="shared" ref="W26:W36" si="14">J26</f>
        <v>100</v>
      </c>
      <c r="X26" s="1896"/>
      <c r="Y26" s="3011" t="s">
        <v>2370</v>
      </c>
      <c r="Z26" s="1898" t="str">
        <f t="shared" ref="Z26:Z36" si="15">Q26</f>
        <v>配套类型</v>
      </c>
      <c r="AA26" s="1899">
        <f t="shared" si="3"/>
        <v>1</v>
      </c>
      <c r="AB26" s="1899">
        <f t="shared" si="4"/>
        <v>1</v>
      </c>
      <c r="AC26" s="1899">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3011"/>
      <c r="Q27" s="755" t="str">
        <f t="shared" si="11"/>
        <v>项目停车位配比</v>
      </c>
      <c r="R27" s="756" t="s">
        <v>25</v>
      </c>
      <c r="S27" s="757">
        <f t="shared" si="12"/>
        <v>100</v>
      </c>
      <c r="T27" s="756" t="s">
        <v>25</v>
      </c>
      <c r="U27" s="757">
        <f t="shared" si="13"/>
        <v>100</v>
      </c>
      <c r="V27" s="756" t="s">
        <v>25</v>
      </c>
      <c r="W27" s="757">
        <f t="shared" si="14"/>
        <v>100</v>
      </c>
      <c r="X27" s="758"/>
      <c r="Y27" s="3011"/>
      <c r="Z27" s="759" t="str">
        <f t="shared" si="15"/>
        <v>项目停车位配比</v>
      </c>
      <c r="AA27" s="1899">
        <f t="shared" si="3"/>
        <v>1</v>
      </c>
      <c r="AB27" s="1899">
        <f t="shared" si="4"/>
        <v>1</v>
      </c>
      <c r="AC27" s="1899">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7"/>
      <c r="P28" s="3011"/>
      <c r="Q28" s="1895" t="str">
        <f t="shared" si="11"/>
        <v>公共部分装修</v>
      </c>
      <c r="R28" s="753" t="s">
        <v>25</v>
      </c>
      <c r="S28" s="754">
        <f t="shared" si="12"/>
        <v>100</v>
      </c>
      <c r="T28" s="753" t="s">
        <v>25</v>
      </c>
      <c r="U28" s="754">
        <f t="shared" si="13"/>
        <v>100</v>
      </c>
      <c r="V28" s="753" t="s">
        <v>25</v>
      </c>
      <c r="W28" s="754">
        <f t="shared" si="14"/>
        <v>100</v>
      </c>
      <c r="X28" s="1896"/>
      <c r="Y28" s="3011"/>
      <c r="Z28" s="1898" t="str">
        <f t="shared" si="15"/>
        <v>公共部分装修</v>
      </c>
      <c r="AA28" s="1899">
        <f t="shared" si="3"/>
        <v>1</v>
      </c>
      <c r="AB28" s="1899">
        <f t="shared" si="4"/>
        <v>1</v>
      </c>
      <c r="AC28" s="1899">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7"/>
      <c r="P29" s="3011"/>
      <c r="Q29" s="1895" t="str">
        <f t="shared" si="11"/>
        <v>成新率</v>
      </c>
      <c r="R29" s="753" t="s">
        <v>25</v>
      </c>
      <c r="S29" s="754" t="e">
        <f t="shared" si="12"/>
        <v>#N/A</v>
      </c>
      <c r="T29" s="753" t="s">
        <v>25</v>
      </c>
      <c r="U29" s="754" t="e">
        <f t="shared" si="13"/>
        <v>#N/A</v>
      </c>
      <c r="V29" s="753" t="s">
        <v>25</v>
      </c>
      <c r="W29" s="754" t="e">
        <f t="shared" si="14"/>
        <v>#N/A</v>
      </c>
      <c r="X29" s="1896"/>
      <c r="Y29" s="3011"/>
      <c r="Z29" s="1898" t="str">
        <f t="shared" si="15"/>
        <v>成新率</v>
      </c>
      <c r="AA29" s="1899" t="e">
        <f t="shared" si="3"/>
        <v>#N/A</v>
      </c>
      <c r="AB29" s="1899" t="e">
        <f t="shared" si="4"/>
        <v>#N/A</v>
      </c>
      <c r="AC29" s="1899"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18"/>
      <c r="M30" s="425"/>
      <c r="N30" s="425"/>
      <c r="O30" s="1897"/>
      <c r="P30" s="3011"/>
      <c r="Q30" s="1895" t="str">
        <f t="shared" si="11"/>
        <v>物业等级</v>
      </c>
      <c r="R30" s="753" t="s">
        <v>25</v>
      </c>
      <c r="S30" s="754">
        <f t="shared" si="12"/>
        <v>100</v>
      </c>
      <c r="T30" s="753" t="s">
        <v>25</v>
      </c>
      <c r="U30" s="754">
        <f t="shared" si="13"/>
        <v>100</v>
      </c>
      <c r="V30" s="753" t="s">
        <v>25</v>
      </c>
      <c r="W30" s="754">
        <f t="shared" si="14"/>
        <v>100</v>
      </c>
      <c r="X30" s="1896"/>
      <c r="Y30" s="3011"/>
      <c r="Z30" s="1898" t="str">
        <f t="shared" si="15"/>
        <v>物业等级</v>
      </c>
      <c r="AA30" s="1899">
        <f t="shared" si="3"/>
        <v>1</v>
      </c>
      <c r="AB30" s="1899">
        <f t="shared" si="4"/>
        <v>1</v>
      </c>
      <c r="AC30" s="1899">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3011"/>
      <c r="Q31" s="1883" t="str">
        <f t="shared" si="11"/>
        <v>停车位面积</v>
      </c>
      <c r="R31" s="749" t="s">
        <v>25</v>
      </c>
      <c r="S31" s="750" t="e">
        <f t="shared" si="12"/>
        <v>#N/A</v>
      </c>
      <c r="T31" s="749" t="s">
        <v>25</v>
      </c>
      <c r="U31" s="750" t="e">
        <f t="shared" si="13"/>
        <v>#N/A</v>
      </c>
      <c r="V31" s="749" t="s">
        <v>25</v>
      </c>
      <c r="W31" s="750" t="e">
        <f t="shared" si="14"/>
        <v>#N/A</v>
      </c>
      <c r="X31" s="751"/>
      <c r="Y31" s="3011"/>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7"/>
      <c r="P32" s="3011" t="s">
        <v>2370</v>
      </c>
      <c r="Q32" s="1895" t="str">
        <f t="shared" si="11"/>
        <v>车位类型</v>
      </c>
      <c r="R32" s="753" t="s">
        <v>25</v>
      </c>
      <c r="S32" s="754">
        <f t="shared" si="12"/>
        <v>100</v>
      </c>
      <c r="T32" s="753" t="s">
        <v>25</v>
      </c>
      <c r="U32" s="754">
        <f t="shared" si="13"/>
        <v>100</v>
      </c>
      <c r="V32" s="753" t="s">
        <v>25</v>
      </c>
      <c r="W32" s="754">
        <f t="shared" si="14"/>
        <v>100</v>
      </c>
      <c r="X32" s="1896"/>
      <c r="Y32" s="3011" t="s">
        <v>2370</v>
      </c>
      <c r="Z32" s="1898" t="str">
        <f t="shared" si="15"/>
        <v>车位类型</v>
      </c>
      <c r="AA32" s="1899">
        <f t="shared" si="3"/>
        <v>1</v>
      </c>
      <c r="AB32" s="1899">
        <f t="shared" si="4"/>
        <v>1</v>
      </c>
      <c r="AC32" s="1899">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7"/>
      <c r="P33" s="3011"/>
      <c r="Q33" s="1895" t="str">
        <f t="shared" si="11"/>
        <v>是否直接入户</v>
      </c>
      <c r="R33" s="753" t="s">
        <v>25</v>
      </c>
      <c r="S33" s="754">
        <f t="shared" si="12"/>
        <v>100</v>
      </c>
      <c r="T33" s="753" t="s">
        <v>25</v>
      </c>
      <c r="U33" s="754">
        <f t="shared" si="13"/>
        <v>100</v>
      </c>
      <c r="V33" s="753" t="s">
        <v>25</v>
      </c>
      <c r="W33" s="754">
        <f t="shared" si="14"/>
        <v>100</v>
      </c>
      <c r="X33" s="1896"/>
      <c r="Y33" s="3011"/>
      <c r="Z33" s="1898" t="str">
        <f t="shared" si="15"/>
        <v>是否直接入户</v>
      </c>
      <c r="AA33" s="1899">
        <f t="shared" si="3"/>
        <v>1</v>
      </c>
      <c r="AB33" s="1899">
        <f t="shared" si="4"/>
        <v>1</v>
      </c>
      <c r="AC33" s="1899">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7"/>
      <c r="P34" s="3011"/>
      <c r="Q34" s="1895">
        <f t="shared" si="11"/>
        <v>111</v>
      </c>
      <c r="R34" s="753" t="s">
        <v>25</v>
      </c>
      <c r="S34" s="754">
        <f t="shared" si="12"/>
        <v>100</v>
      </c>
      <c r="T34" s="753" t="s">
        <v>25</v>
      </c>
      <c r="U34" s="754">
        <f t="shared" si="13"/>
        <v>100</v>
      </c>
      <c r="V34" s="753" t="s">
        <v>25</v>
      </c>
      <c r="W34" s="754">
        <f t="shared" si="14"/>
        <v>100</v>
      </c>
      <c r="X34" s="1896"/>
      <c r="Y34" s="3011"/>
      <c r="Z34" s="1898">
        <f t="shared" si="15"/>
        <v>111</v>
      </c>
      <c r="AA34" s="1899">
        <f t="shared" si="3"/>
        <v>1</v>
      </c>
      <c r="AB34" s="1899">
        <f t="shared" si="4"/>
        <v>1</v>
      </c>
      <c r="AC34" s="1899">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3011"/>
      <c r="Q35" s="755">
        <f t="shared" si="11"/>
        <v>111</v>
      </c>
      <c r="R35" s="756" t="s">
        <v>25</v>
      </c>
      <c r="S35" s="757">
        <f t="shared" si="12"/>
        <v>100</v>
      </c>
      <c r="T35" s="756" t="s">
        <v>25</v>
      </c>
      <c r="U35" s="757">
        <f t="shared" si="13"/>
        <v>100</v>
      </c>
      <c r="V35" s="756" t="s">
        <v>25</v>
      </c>
      <c r="W35" s="757">
        <f t="shared" si="14"/>
        <v>100</v>
      </c>
      <c r="X35" s="758"/>
      <c r="Y35" s="3011"/>
      <c r="Z35" s="759">
        <f t="shared" si="15"/>
        <v>111</v>
      </c>
      <c r="AA35" s="1899">
        <f t="shared" si="3"/>
        <v>1</v>
      </c>
      <c r="AB35" s="1899">
        <f t="shared" si="4"/>
        <v>1</v>
      </c>
      <c r="AC35" s="1899">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7"/>
      <c r="P36" s="3011"/>
      <c r="Q36" s="1895">
        <f t="shared" si="11"/>
        <v>111</v>
      </c>
      <c r="R36" s="753" t="s">
        <v>25</v>
      </c>
      <c r="S36" s="754">
        <f t="shared" si="12"/>
        <v>100</v>
      </c>
      <c r="T36" s="753" t="s">
        <v>25</v>
      </c>
      <c r="U36" s="754">
        <f t="shared" si="13"/>
        <v>100</v>
      </c>
      <c r="V36" s="753" t="s">
        <v>25</v>
      </c>
      <c r="W36" s="754">
        <f t="shared" si="14"/>
        <v>100</v>
      </c>
      <c r="X36" s="1896"/>
      <c r="Y36" s="3011"/>
      <c r="Z36" s="1898">
        <f t="shared" si="15"/>
        <v>111</v>
      </c>
      <c r="AA36" s="1899">
        <f t="shared" si="3"/>
        <v>1</v>
      </c>
      <c r="AB36" s="1899">
        <f t="shared" si="4"/>
        <v>1</v>
      </c>
      <c r="AC36" s="1899">
        <f t="shared" si="5"/>
        <v>1</v>
      </c>
    </row>
    <row r="37" spans="1:29" ht="15">
      <c r="A37" s="460" t="s">
        <v>2518</v>
      </c>
      <c r="B37" s="1089" t="s">
        <v>2519</v>
      </c>
      <c r="C37" s="1498" t="s">
        <v>1</v>
      </c>
      <c r="D37" s="1499"/>
      <c r="E37" s="1500"/>
      <c r="F37" s="1501"/>
      <c r="G37" s="1502"/>
      <c r="H37" s="1503"/>
      <c r="I37" s="1500"/>
      <c r="J37" s="1503"/>
      <c r="K37" s="603"/>
      <c r="L37" s="1521"/>
      <c r="M37" s="738"/>
      <c r="N37" s="425"/>
      <c r="O37" s="738"/>
      <c r="P37" s="3013" t="str">
        <f>A37</f>
        <v>成交单价</v>
      </c>
      <c r="Q37" s="3013"/>
      <c r="R37" s="3014">
        <f>E37</f>
        <v>0</v>
      </c>
      <c r="S37" s="3014"/>
      <c r="T37" s="3014">
        <f>G37</f>
        <v>0</v>
      </c>
      <c r="U37" s="3014"/>
      <c r="V37" s="3014">
        <f>I37</f>
        <v>0</v>
      </c>
      <c r="W37" s="3014"/>
      <c r="X37" s="738"/>
      <c r="Y37" s="760"/>
      <c r="Z37" s="738"/>
      <c r="AA37" s="738"/>
      <c r="AB37" s="738"/>
      <c r="AC37" s="738"/>
    </row>
    <row r="38" spans="1:29" ht="15.75" thickBot="1">
      <c r="A38" s="467" t="s">
        <v>2520</v>
      </c>
      <c r="B38" s="468" t="str">
        <f>B37</f>
        <v>元/平方米</v>
      </c>
      <c r="C38" s="1504" t="e">
        <f>R39</f>
        <v>#DIV/0!</v>
      </c>
      <c r="D38" s="1505"/>
      <c r="E38" s="1506" t="e">
        <f>R38</f>
        <v>#DIV/0!</v>
      </c>
      <c r="F38" s="1506"/>
      <c r="G38" s="1504" t="e">
        <f>T38</f>
        <v>#DIV/0!</v>
      </c>
      <c r="H38" s="1505"/>
      <c r="I38" s="1506" t="e">
        <f>V38</f>
        <v>#DIV/0!</v>
      </c>
      <c r="J38" s="1505"/>
      <c r="K38" s="604"/>
      <c r="L38" s="1521"/>
      <c r="M38" s="738"/>
      <c r="N38" s="738"/>
      <c r="O38" s="738"/>
      <c r="P38" s="3013" t="str">
        <f>A38</f>
        <v>比较价值</v>
      </c>
      <c r="Q38" s="3013"/>
      <c r="R38" s="3014" t="e">
        <f>IF(E1="售价",ROUND(PRODUCT(R37,AA7:AA36),0),ROUND(PRODUCT(R37,AA7:AA36),1))</f>
        <v>#DIV/0!</v>
      </c>
      <c r="S38" s="3014"/>
      <c r="T38" s="3014" t="e">
        <f>IF(E1="售价",ROUND(PRODUCT(T37,AB7:AB36),0),ROUND(PRODUCT(T37,AB7:AB36),1))</f>
        <v>#DIV/0!</v>
      </c>
      <c r="U38" s="3014"/>
      <c r="V38" s="3014" t="e">
        <f>IF(E1="售价",ROUND(PRODUCT(V37,AC7:AC36),0),ROUND(PRODUCT(V37,AC7:AC36),1))</f>
        <v>#DIV/0!</v>
      </c>
      <c r="W38" s="3014"/>
      <c r="X38" s="738"/>
      <c r="Y38" s="738"/>
      <c r="Z38" s="738"/>
      <c r="AA38" s="738"/>
      <c r="AB38" s="738"/>
      <c r="AC38" s="738"/>
    </row>
    <row r="39" spans="1:29" ht="15.75" thickBot="1">
      <c r="A39" s="473" t="s">
        <v>2521</v>
      </c>
      <c r="B39" s="474"/>
      <c r="C39" s="1508" t="e">
        <f>R39</f>
        <v>#DIV/0!</v>
      </c>
      <c r="D39" s="1508"/>
      <c r="E39" s="1508"/>
      <c r="F39" s="1508"/>
      <c r="G39" s="1508"/>
      <c r="H39" s="1508"/>
      <c r="I39" s="1508"/>
      <c r="J39" s="1508"/>
      <c r="K39" s="605"/>
      <c r="L39" s="1521"/>
      <c r="M39" s="738"/>
      <c r="N39" s="738"/>
      <c r="O39" s="738"/>
      <c r="P39" s="3051" t="str">
        <f>A39</f>
        <v>估价对象XX用房的比较价值（楼面单价，元/平方米）</v>
      </c>
      <c r="Q39" s="2977"/>
      <c r="R39" s="3016" t="e">
        <f>IF(E1="售价",ROUND(AVERAGE(R38:V38),0),ROUND(AVERAGE(R38:V38),1))</f>
        <v>#DIV/0!</v>
      </c>
      <c r="S39" s="3016"/>
      <c r="T39" s="3016"/>
      <c r="U39" s="3016"/>
      <c r="V39" s="3016"/>
      <c r="W39" s="3016"/>
      <c r="X39" s="738"/>
      <c r="Y39" s="738"/>
      <c r="Z39" s="738"/>
      <c r="AA39" s="738"/>
      <c r="AB39" s="738"/>
      <c r="AC39" s="738"/>
    </row>
    <row r="40" spans="1:29">
      <c r="A40" s="1253"/>
      <c r="B40" s="1253"/>
      <c r="C40" s="1253"/>
      <c r="D40" s="1253"/>
      <c r="E40" s="1253"/>
      <c r="F40" s="1253"/>
      <c r="G40" s="1257"/>
      <c r="H40" s="1253"/>
      <c r="I40" s="1253"/>
      <c r="J40" s="1253"/>
      <c r="K40" s="1258"/>
      <c r="L40" s="1522"/>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22"/>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2"/>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2"/>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3"/>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3"/>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22"/>
      <c r="M46" s="738"/>
      <c r="N46" s="738"/>
      <c r="O46" s="738"/>
      <c r="P46" s="738"/>
      <c r="Q46" s="738"/>
      <c r="R46" s="738"/>
      <c r="S46" s="738"/>
      <c r="T46" s="738"/>
      <c r="U46" s="738"/>
      <c r="V46" s="738"/>
      <c r="W46" s="738"/>
      <c r="X46" s="738"/>
      <c r="Y46" s="738"/>
      <c r="Z46" s="738"/>
      <c r="AA46" s="738"/>
      <c r="AB46" s="738"/>
      <c r="AC46" s="738"/>
    </row>
    <row r="47" spans="1:29" ht="21.75" thickBot="1">
      <c r="A47" s="1525" t="s">
        <v>2525</v>
      </c>
      <c r="B47" s="1253"/>
      <c r="C47" s="1269"/>
      <c r="D47" s="1269"/>
      <c r="E47" s="1269"/>
      <c r="F47" s="1526"/>
      <c r="G47" s="1526"/>
      <c r="H47" s="1269"/>
      <c r="I47" s="1269"/>
      <c r="J47" s="1269"/>
      <c r="K47" s="1267"/>
      <c r="L47" s="746"/>
      <c r="M47" s="743"/>
      <c r="N47" s="743"/>
      <c r="O47" s="743"/>
      <c r="P47" s="743"/>
      <c r="Q47" s="1524"/>
      <c r="R47" s="738"/>
      <c r="S47" s="738"/>
      <c r="T47" s="738"/>
      <c r="U47" s="738"/>
      <c r="V47" s="738"/>
      <c r="W47" s="738"/>
      <c r="X47" s="738"/>
      <c r="Y47" s="738"/>
      <c r="Z47" s="738"/>
      <c r="AA47" s="738"/>
      <c r="AB47" s="738"/>
      <c r="AC47" s="738"/>
    </row>
    <row r="48" spans="1:29" s="489" customFormat="1" ht="15">
      <c r="A48" s="486" t="s">
        <v>2526</v>
      </c>
      <c r="B48" s="487"/>
      <c r="C48" s="1674" t="str">
        <f>YEAR(C7)&amp;"-"&amp;MONTH(C7)</f>
        <v>2018-6</v>
      </c>
      <c r="D48" s="1675">
        <f>EDATE(C48,-1)</f>
        <v>43221</v>
      </c>
      <c r="E48" s="1675">
        <f t="shared" ref="E48:O48" si="16">EDATE(D48,-1)</f>
        <v>43191</v>
      </c>
      <c r="F48" s="1675">
        <f t="shared" si="16"/>
        <v>43160</v>
      </c>
      <c r="G48" s="1675">
        <f t="shared" si="16"/>
        <v>43132</v>
      </c>
      <c r="H48" s="1675">
        <f t="shared" si="16"/>
        <v>43101</v>
      </c>
      <c r="I48" s="1675">
        <f t="shared" si="16"/>
        <v>43070</v>
      </c>
      <c r="J48" s="1675">
        <f t="shared" si="16"/>
        <v>43040</v>
      </c>
      <c r="K48" s="1675">
        <f t="shared" si="16"/>
        <v>43009</v>
      </c>
      <c r="L48" s="1675">
        <f t="shared" si="16"/>
        <v>42979</v>
      </c>
      <c r="M48" s="1675">
        <f t="shared" si="16"/>
        <v>42948</v>
      </c>
      <c r="N48" s="1675">
        <f t="shared" si="16"/>
        <v>42917</v>
      </c>
      <c r="O48" s="1675">
        <f t="shared" si="16"/>
        <v>42887</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2354</v>
      </c>
      <c r="B51" s="491"/>
      <c r="C51" s="503" t="s">
        <v>2355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2361</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2363</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2368</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2505</v>
      </c>
      <c r="B1" s="2473"/>
      <c r="C1" s="1725"/>
      <c r="D1" s="1735"/>
      <c r="E1" s="2375"/>
      <c r="F1" s="1736" t="s">
        <v>2337</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2005</v>
      </c>
      <c r="B2" s="1721" t="e">
        <f ca="1">IF(D2="——",IF(C2="元",ROUND(C37*D3,0),ROUND(C37*D3/10000,0)),IF(C2="元",ROUND(C37*D3,0),ROUND(C37*D3/10000,0))-E2)</f>
        <v>#DIV/0!</v>
      </c>
      <c r="C2" s="163" t="str">
        <f>'数据-取费表'!B3</f>
        <v>元</v>
      </c>
      <c r="D2" s="2377"/>
      <c r="E2" s="1734" t="e">
        <f ca="1">SUMIF(INDIRECT("'"&amp;G2&amp;"'"&amp;"!A:A"),"承租人权益价值",INDIRECT("'"&amp;G2&amp;"'"&amp;"!c:c"))</f>
        <v>#REF!</v>
      </c>
      <c r="F2" s="2378" t="str">
        <f>C2</f>
        <v>元</v>
      </c>
      <c r="G2" s="2379"/>
      <c r="H2" s="981"/>
      <c r="I2" s="981"/>
      <c r="J2" s="981"/>
      <c r="K2" s="983"/>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2006</v>
      </c>
      <c r="B3" s="593" t="e">
        <f ca="1">ROUND(IF(D2="——",C37,IF(C2="万元",B2*10000/D3,B2/D3)),0)</f>
        <v>#DIV/0!</v>
      </c>
      <c r="C3" s="379" t="s">
        <v>2338</v>
      </c>
      <c r="D3" s="378">
        <f>IF(C1="仅计算典型户型",'数据-取费表'!E5,'数据-取费表'!B5)</f>
        <v>573.89</v>
      </c>
      <c r="E3" s="981"/>
      <c r="F3" s="982"/>
      <c r="G3" s="981"/>
      <c r="H3" s="981"/>
      <c r="I3" s="981"/>
      <c r="J3" s="981"/>
      <c r="K3" s="983"/>
      <c r="L3" s="1237"/>
      <c r="M3" s="1238"/>
      <c r="N3" s="1238"/>
      <c r="O3" s="1238"/>
      <c r="P3" s="747"/>
      <c r="Q3" s="747"/>
      <c r="R3" s="747"/>
      <c r="S3" s="747"/>
      <c r="T3" s="747"/>
      <c r="U3" s="747"/>
      <c r="V3" s="747"/>
      <c r="W3" s="747"/>
      <c r="X3" s="747"/>
      <c r="Y3" s="747"/>
      <c r="Z3" s="747"/>
      <c r="AA3" s="747"/>
      <c r="AB3" s="767"/>
      <c r="AC3" s="761"/>
    </row>
    <row r="4" spans="1:29" ht="15">
      <c r="A4" s="380" t="s">
        <v>2339</v>
      </c>
      <c r="B4" s="381"/>
      <c r="C4" s="2985" t="s">
        <v>2340</v>
      </c>
      <c r="D4" s="2986"/>
      <c r="E4" s="2987" t="s">
        <v>2341</v>
      </c>
      <c r="F4" s="2988"/>
      <c r="G4" s="2985" t="s">
        <v>2342</v>
      </c>
      <c r="H4" s="2986"/>
      <c r="I4" s="2985" t="s">
        <v>2343</v>
      </c>
      <c r="J4" s="2986"/>
      <c r="K4" s="594" t="s">
        <v>2344</v>
      </c>
      <c r="L4" s="1239"/>
      <c r="M4" s="1240"/>
      <c r="N4" s="1240"/>
      <c r="O4" s="1240"/>
      <c r="P4" s="3040" t="s">
        <v>2345</v>
      </c>
      <c r="Q4" s="2990"/>
      <c r="R4" s="2995" t="s">
        <v>2341</v>
      </c>
      <c r="S4" s="2996"/>
      <c r="T4" s="2995" t="s">
        <v>2342</v>
      </c>
      <c r="U4" s="2996"/>
      <c r="V4" s="3001" t="s">
        <v>2343</v>
      </c>
      <c r="W4" s="3001"/>
      <c r="X4" s="1896"/>
      <c r="Y4" s="2995" t="s">
        <v>2345</v>
      </c>
      <c r="Z4" s="2996"/>
      <c r="AA4" s="2982" t="s">
        <v>2341</v>
      </c>
      <c r="AB4" s="2983" t="s">
        <v>2342</v>
      </c>
      <c r="AC4" s="2982" t="s">
        <v>2343</v>
      </c>
    </row>
    <row r="5" spans="1:29" ht="15">
      <c r="A5" s="383"/>
      <c r="B5" s="384"/>
      <c r="C5" s="3004" t="s">
        <v>2346</v>
      </c>
      <c r="D5" s="2979"/>
      <c r="E5" s="3058" t="s">
        <v>2347</v>
      </c>
      <c r="F5" s="3003"/>
      <c r="G5" s="3004" t="s">
        <v>2348</v>
      </c>
      <c r="H5" s="2979"/>
      <c r="I5" s="3004" t="s">
        <v>2349</v>
      </c>
      <c r="J5" s="2979"/>
      <c r="K5" s="594"/>
      <c r="L5" s="1239"/>
      <c r="M5" s="1240"/>
      <c r="N5" s="1240"/>
      <c r="O5" s="1240"/>
      <c r="P5" s="3041"/>
      <c r="Q5" s="2992"/>
      <c r="R5" s="2997"/>
      <c r="S5" s="2998"/>
      <c r="T5" s="2997"/>
      <c r="U5" s="2998"/>
      <c r="V5" s="3001"/>
      <c r="W5" s="3001"/>
      <c r="X5" s="1896"/>
      <c r="Y5" s="2997"/>
      <c r="Z5" s="2998"/>
      <c r="AA5" s="2983"/>
      <c r="AB5" s="2983"/>
      <c r="AC5" s="2983"/>
    </row>
    <row r="6" spans="1:29" ht="15.75" thickBot="1">
      <c r="A6" s="385"/>
      <c r="B6" s="386"/>
      <c r="C6" s="2975" t="s">
        <v>2350</v>
      </c>
      <c r="D6" s="2976"/>
      <c r="E6" s="2973" t="s">
        <v>2350</v>
      </c>
      <c r="F6" s="2974"/>
      <c r="G6" s="2975" t="s">
        <v>2350</v>
      </c>
      <c r="H6" s="2976"/>
      <c r="I6" s="2975" t="s">
        <v>2350</v>
      </c>
      <c r="J6" s="2976"/>
      <c r="K6" s="594" t="s">
        <v>2351</v>
      </c>
      <c r="L6" s="1239"/>
      <c r="M6" s="1240"/>
      <c r="N6" s="1240"/>
      <c r="O6" s="1240"/>
      <c r="P6" s="3042"/>
      <c r="Q6" s="2994"/>
      <c r="R6" s="2997"/>
      <c r="S6" s="2998"/>
      <c r="T6" s="2999"/>
      <c r="U6" s="3000"/>
      <c r="V6" s="3001"/>
      <c r="W6" s="3001"/>
      <c r="X6" s="1896"/>
      <c r="Y6" s="2999"/>
      <c r="Z6" s="3000"/>
      <c r="AA6" s="2984"/>
      <c r="AB6" s="2984"/>
      <c r="AC6" s="2984"/>
    </row>
    <row r="7" spans="1:29" s="35" customFormat="1" ht="15.75" thickBot="1">
      <c r="A7" s="387" t="s">
        <v>2352</v>
      </c>
      <c r="B7" s="388"/>
      <c r="C7" s="389">
        <f>'数据-取费表'!B2</f>
        <v>43257</v>
      </c>
      <c r="D7" s="390">
        <v>100</v>
      </c>
      <c r="E7" s="2459"/>
      <c r="F7" s="390">
        <f>SUMIF(46:46,YEAR(E7)&amp;"-"&amp;MONTH(E7),47:47)</f>
        <v>0</v>
      </c>
      <c r="G7" s="391"/>
      <c r="H7" s="390">
        <f>SUMIF(46:46,YEAR(G7)&amp;"-"&amp;MONTH(G7),47:47)</f>
        <v>0</v>
      </c>
      <c r="I7" s="391"/>
      <c r="J7" s="390">
        <f>SUMIF(46:46,YEAR(I7)&amp;"-"&amp;MONTH(I7),47:47)</f>
        <v>0</v>
      </c>
      <c r="K7" s="595"/>
      <c r="L7" s="1241"/>
      <c r="M7" s="1242"/>
      <c r="N7" s="1242"/>
      <c r="O7" s="1242"/>
      <c r="P7" s="3005" t="s">
        <v>2353</v>
      </c>
      <c r="Q7" s="2980"/>
      <c r="R7" s="749" t="s">
        <v>25</v>
      </c>
      <c r="S7" s="750">
        <f t="shared" ref="S7:S14" si="0">F7</f>
        <v>0</v>
      </c>
      <c r="T7" s="749" t="s">
        <v>25</v>
      </c>
      <c r="U7" s="750">
        <f t="shared" ref="U7:U14" si="1">H7</f>
        <v>0</v>
      </c>
      <c r="V7" s="749" t="s">
        <v>25</v>
      </c>
      <c r="W7" s="750">
        <f t="shared" ref="W7:W14" si="2">J7</f>
        <v>0</v>
      </c>
      <c r="X7" s="751"/>
      <c r="Y7" s="3005" t="s">
        <v>2353</v>
      </c>
      <c r="Z7" s="2981"/>
      <c r="AA7" s="752" t="e">
        <f>D7/F7</f>
        <v>#DIV/0!</v>
      </c>
      <c r="AB7" s="752" t="e">
        <f>D7/H7</f>
        <v>#DIV/0!</v>
      </c>
      <c r="AC7" s="752" t="e">
        <f>D7/J7</f>
        <v>#DIV/0!</v>
      </c>
    </row>
    <row r="8" spans="1:29" s="35" customFormat="1" ht="15.75" thickBot="1">
      <c r="A8" s="387" t="s">
        <v>2354</v>
      </c>
      <c r="B8" s="388"/>
      <c r="C8" s="394" t="s">
        <v>2355</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3005" t="s">
        <v>2356</v>
      </c>
      <c r="Q8" s="2981"/>
      <c r="R8" s="749" t="s">
        <v>25</v>
      </c>
      <c r="S8" s="750">
        <f t="shared" si="0"/>
        <v>0</v>
      </c>
      <c r="T8" s="749" t="s">
        <v>25</v>
      </c>
      <c r="U8" s="750">
        <f t="shared" si="1"/>
        <v>0</v>
      </c>
      <c r="V8" s="749" t="s">
        <v>25</v>
      </c>
      <c r="W8" s="750">
        <f t="shared" si="2"/>
        <v>0</v>
      </c>
      <c r="X8" s="751"/>
      <c r="Y8" s="3005" t="s">
        <v>2356</v>
      </c>
      <c r="Z8" s="2981"/>
      <c r="AA8" s="752" t="e">
        <f t="shared" ref="AA8:AA34" si="3">D8/F8</f>
        <v>#DIV/0!</v>
      </c>
      <c r="AB8" s="752" t="e">
        <f t="shared" ref="AB8:AB34" si="4">D8/H8</f>
        <v>#DIV/0!</v>
      </c>
      <c r="AC8" s="752" t="e">
        <f t="shared" ref="AC8:AC34" si="5">D8/J8</f>
        <v>#DIV/0!</v>
      </c>
    </row>
    <row r="9" spans="1:29" s="35" customFormat="1">
      <c r="A9" s="395" t="s">
        <v>2357</v>
      </c>
      <c r="B9" s="28" t="s">
        <v>2358</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3013" t="s">
        <v>2359</v>
      </c>
      <c r="Q9" s="1883" t="str">
        <f t="shared" ref="Q9:Q14" si="6">B9</f>
        <v>用途</v>
      </c>
      <c r="R9" s="749" t="s">
        <v>25</v>
      </c>
      <c r="S9" s="750">
        <f t="shared" si="0"/>
        <v>100</v>
      </c>
      <c r="T9" s="749" t="s">
        <v>25</v>
      </c>
      <c r="U9" s="750">
        <f t="shared" si="1"/>
        <v>100</v>
      </c>
      <c r="V9" s="749" t="s">
        <v>25</v>
      </c>
      <c r="W9" s="750">
        <f t="shared" si="2"/>
        <v>100</v>
      </c>
      <c r="X9" s="751"/>
      <c r="Y9" s="2853" t="s">
        <v>2360</v>
      </c>
      <c r="Z9" s="23" t="str">
        <f t="shared" ref="Z9:Z14" si="7">Q9</f>
        <v>用途</v>
      </c>
      <c r="AA9" s="752">
        <f t="shared" si="3"/>
        <v>1</v>
      </c>
      <c r="AB9" s="752">
        <f t="shared" si="4"/>
        <v>1</v>
      </c>
      <c r="AC9" s="752">
        <f t="shared" si="5"/>
        <v>1</v>
      </c>
    </row>
    <row r="10" spans="1:29" s="407" customFormat="1" ht="27">
      <c r="A10" s="401"/>
      <c r="B10" s="402" t="s">
        <v>2361</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3013"/>
      <c r="Q10" s="1883" t="str">
        <f t="shared" si="6"/>
        <v>土地使用年限（年）</v>
      </c>
      <c r="R10" s="749" t="s">
        <v>25</v>
      </c>
      <c r="S10" s="750">
        <f t="shared" si="0"/>
        <v>100</v>
      </c>
      <c r="T10" s="749" t="s">
        <v>25</v>
      </c>
      <c r="U10" s="750">
        <f t="shared" si="1"/>
        <v>100</v>
      </c>
      <c r="V10" s="749" t="s">
        <v>25</v>
      </c>
      <c r="W10" s="750">
        <f t="shared" si="2"/>
        <v>100</v>
      </c>
      <c r="X10" s="751"/>
      <c r="Y10" s="2853"/>
      <c r="Z10" s="23" t="str">
        <f t="shared" si="7"/>
        <v>土地使用年限（年）</v>
      </c>
      <c r="AA10" s="752">
        <f t="shared" si="3"/>
        <v>1</v>
      </c>
      <c r="AB10" s="752">
        <f t="shared" si="4"/>
        <v>1</v>
      </c>
      <c r="AC10" s="752">
        <f t="shared" si="5"/>
        <v>1</v>
      </c>
    </row>
    <row r="11" spans="1:29" ht="15">
      <c r="A11" s="408"/>
      <c r="B11" s="2392">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3013"/>
      <c r="Q11" s="1883">
        <f t="shared" si="6"/>
        <v>111</v>
      </c>
      <c r="R11" s="749" t="s">
        <v>25</v>
      </c>
      <c r="S11" s="750">
        <f t="shared" si="0"/>
        <v>100</v>
      </c>
      <c r="T11" s="749" t="s">
        <v>25</v>
      </c>
      <c r="U11" s="750">
        <f t="shared" si="1"/>
        <v>100</v>
      </c>
      <c r="V11" s="749" t="s">
        <v>25</v>
      </c>
      <c r="W11" s="750">
        <f t="shared" si="2"/>
        <v>100</v>
      </c>
      <c r="X11" s="751"/>
      <c r="Y11" s="2853"/>
      <c r="Z11" s="23">
        <f t="shared" si="7"/>
        <v>111</v>
      </c>
      <c r="AA11" s="752">
        <f t="shared" si="3"/>
        <v>1</v>
      </c>
      <c r="AB11" s="752">
        <f t="shared" si="4"/>
        <v>1</v>
      </c>
      <c r="AC11" s="752">
        <f t="shared" si="5"/>
        <v>1</v>
      </c>
    </row>
    <row r="12" spans="1:29" s="35" customFormat="1" ht="15">
      <c r="A12" s="411"/>
      <c r="B12" s="2392">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3013"/>
      <c r="Q12" s="1883">
        <f t="shared" si="6"/>
        <v>111</v>
      </c>
      <c r="R12" s="749" t="s">
        <v>25</v>
      </c>
      <c r="S12" s="750">
        <f t="shared" si="0"/>
        <v>100</v>
      </c>
      <c r="T12" s="749" t="s">
        <v>25</v>
      </c>
      <c r="U12" s="750">
        <f t="shared" si="1"/>
        <v>100</v>
      </c>
      <c r="V12" s="749" t="s">
        <v>25</v>
      </c>
      <c r="W12" s="750">
        <f t="shared" si="2"/>
        <v>100</v>
      </c>
      <c r="X12" s="751"/>
      <c r="Y12" s="2853"/>
      <c r="Z12" s="23">
        <f t="shared" si="7"/>
        <v>111</v>
      </c>
      <c r="AA12" s="752">
        <f>D12/F12</f>
        <v>1</v>
      </c>
      <c r="AB12" s="752">
        <f>D12/H12</f>
        <v>1</v>
      </c>
      <c r="AC12" s="752">
        <f>D12/J12</f>
        <v>1</v>
      </c>
    </row>
    <row r="13" spans="1:29" ht="15.75" thickBot="1">
      <c r="A13" s="408"/>
      <c r="B13" s="2392">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3013"/>
      <c r="Q13" s="1883">
        <f t="shared" si="6"/>
        <v>111</v>
      </c>
      <c r="R13" s="749" t="s">
        <v>25</v>
      </c>
      <c r="S13" s="750">
        <f t="shared" si="0"/>
        <v>100</v>
      </c>
      <c r="T13" s="749" t="s">
        <v>25</v>
      </c>
      <c r="U13" s="750">
        <f t="shared" si="1"/>
        <v>100</v>
      </c>
      <c r="V13" s="749" t="s">
        <v>25</v>
      </c>
      <c r="W13" s="750">
        <f t="shared" si="2"/>
        <v>100</v>
      </c>
      <c r="X13" s="751"/>
      <c r="Y13" s="2853"/>
      <c r="Z13" s="23">
        <f t="shared" si="7"/>
        <v>111</v>
      </c>
      <c r="AA13" s="752">
        <f t="shared" si="3"/>
        <v>1</v>
      </c>
      <c r="AB13" s="752">
        <f t="shared" si="4"/>
        <v>1</v>
      </c>
      <c r="AC13" s="752">
        <f t="shared" si="5"/>
        <v>1</v>
      </c>
    </row>
    <row r="14" spans="1:29" ht="114">
      <c r="A14" s="419" t="s">
        <v>2363</v>
      </c>
      <c r="B14" s="26" t="s">
        <v>2507</v>
      </c>
      <c r="C14" s="2472" t="str">
        <f>IF(B1="工业",估价对象房地状况!G4,估价对象房地状况!C6)</f>
        <v>估价对象周边道路状况为临近金榆路、通8路、快专55路公交线路经过、停车便捷程度较好，综合评价交通便捷度一般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006" t="s">
        <v>2364</v>
      </c>
      <c r="Q14" s="1895" t="str">
        <f t="shared" si="6"/>
        <v>交通便捷度</v>
      </c>
      <c r="R14" s="753" t="s">
        <v>25</v>
      </c>
      <c r="S14" s="754">
        <f t="shared" si="0"/>
        <v>100</v>
      </c>
      <c r="T14" s="753" t="s">
        <v>25</v>
      </c>
      <c r="U14" s="754">
        <f t="shared" si="1"/>
        <v>100</v>
      </c>
      <c r="V14" s="753" t="s">
        <v>25</v>
      </c>
      <c r="W14" s="754">
        <f t="shared" si="2"/>
        <v>100</v>
      </c>
      <c r="X14" s="1896"/>
      <c r="Y14" s="3006" t="s">
        <v>2364</v>
      </c>
      <c r="Z14" s="1898" t="str">
        <f t="shared" si="7"/>
        <v>交通便捷度</v>
      </c>
      <c r="AA14" s="1899">
        <f t="shared" si="3"/>
        <v>1</v>
      </c>
      <c r="AB14" s="1899">
        <f t="shared" si="4"/>
        <v>1</v>
      </c>
      <c r="AC14" s="1899">
        <f t="shared" si="5"/>
        <v>1</v>
      </c>
    </row>
    <row r="15" spans="1:29" ht="15">
      <c r="A15" s="408"/>
      <c r="B15" s="425"/>
      <c r="C15" s="426"/>
      <c r="D15" s="427"/>
      <c r="E15" s="426"/>
      <c r="F15" s="429"/>
      <c r="G15" s="426"/>
      <c r="H15" s="430"/>
      <c r="I15" s="426"/>
      <c r="J15" s="427"/>
      <c r="K15" s="599"/>
      <c r="L15" s="1249"/>
      <c r="M15" s="1240"/>
      <c r="N15" s="1240"/>
      <c r="O15" s="1248"/>
      <c r="P15" s="3007"/>
      <c r="Q15" s="1895"/>
      <c r="R15" s="753"/>
      <c r="S15" s="754"/>
      <c r="T15" s="753"/>
      <c r="U15" s="754"/>
      <c r="V15" s="753"/>
      <c r="W15" s="754"/>
      <c r="X15" s="1896"/>
      <c r="Y15" s="3007"/>
      <c r="Z15" s="1898"/>
      <c r="AA15" s="1899">
        <v>1</v>
      </c>
      <c r="AB15" s="1899">
        <v>1</v>
      </c>
      <c r="AC15" s="1899">
        <v>1</v>
      </c>
    </row>
    <row r="16" spans="1:29" ht="42.75">
      <c r="A16" s="408"/>
      <c r="B16" s="615" t="s">
        <v>2479</v>
      </c>
      <c r="C16" s="2399" t="str">
        <f>IF(B1="工业",估价对象房地状况!G5,估价对象房地状况!C7)</f>
        <v>估价对象所在区域公共配套设施齐备情况一般</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007"/>
      <c r="Q16" s="1895" t="str">
        <f>B16</f>
        <v>公共配套设施</v>
      </c>
      <c r="R16" s="753" t="s">
        <v>25</v>
      </c>
      <c r="S16" s="754">
        <f>F16</f>
        <v>100</v>
      </c>
      <c r="T16" s="753" t="s">
        <v>25</v>
      </c>
      <c r="U16" s="754">
        <f>H16</f>
        <v>100</v>
      </c>
      <c r="V16" s="753" t="s">
        <v>25</v>
      </c>
      <c r="W16" s="754">
        <f>J16</f>
        <v>100</v>
      </c>
      <c r="X16" s="1896"/>
      <c r="Y16" s="3007"/>
      <c r="Z16" s="1898" t="str">
        <f>Q16</f>
        <v>公共配套设施</v>
      </c>
      <c r="AA16" s="1899">
        <f t="shared" si="3"/>
        <v>1</v>
      </c>
      <c r="AB16" s="1899">
        <f t="shared" si="4"/>
        <v>1</v>
      </c>
      <c r="AC16" s="1899">
        <f t="shared" si="5"/>
        <v>1</v>
      </c>
    </row>
    <row r="17" spans="1:29" ht="15">
      <c r="A17" s="408"/>
      <c r="B17" s="616"/>
      <c r="C17" s="437"/>
      <c r="D17" s="427"/>
      <c r="E17" s="426"/>
      <c r="F17" s="429"/>
      <c r="G17" s="426"/>
      <c r="H17" s="427"/>
      <c r="I17" s="426"/>
      <c r="J17" s="427"/>
      <c r="K17" s="599"/>
      <c r="L17" s="1249"/>
      <c r="M17" s="1240"/>
      <c r="N17" s="1240"/>
      <c r="O17" s="1248"/>
      <c r="P17" s="3007"/>
      <c r="Q17" s="1895"/>
      <c r="R17" s="753"/>
      <c r="S17" s="754"/>
      <c r="T17" s="753"/>
      <c r="U17" s="754"/>
      <c r="V17" s="753"/>
      <c r="W17" s="754"/>
      <c r="X17" s="1896"/>
      <c r="Y17" s="3007"/>
      <c r="Z17" s="1898"/>
      <c r="AA17" s="1899">
        <v>1</v>
      </c>
      <c r="AB17" s="1899">
        <v>1</v>
      </c>
      <c r="AC17" s="1899">
        <v>1</v>
      </c>
    </row>
    <row r="18" spans="1:29" ht="42.75">
      <c r="A18" s="408"/>
      <c r="B18" s="617" t="s">
        <v>2480</v>
      </c>
      <c r="C18" s="2399"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007"/>
      <c r="Q18" s="1895" t="str">
        <f>B18</f>
        <v>基础设施水平</v>
      </c>
      <c r="R18" s="753" t="s">
        <v>25</v>
      </c>
      <c r="S18" s="754">
        <f>F18</f>
        <v>100</v>
      </c>
      <c r="T18" s="753" t="s">
        <v>25</v>
      </c>
      <c r="U18" s="754">
        <f>H18</f>
        <v>100</v>
      </c>
      <c r="V18" s="753" t="s">
        <v>25</v>
      </c>
      <c r="W18" s="754">
        <f>J18</f>
        <v>100</v>
      </c>
      <c r="X18" s="1896"/>
      <c r="Y18" s="3007"/>
      <c r="Z18" s="1898" t="str">
        <f>Q18</f>
        <v>基础设施水平</v>
      </c>
      <c r="AA18" s="1899">
        <f t="shared" ref="AA18" si="8">D18/F18</f>
        <v>1</v>
      </c>
      <c r="AB18" s="1899">
        <f t="shared" ref="AB18" si="9">D18/H18</f>
        <v>1</v>
      </c>
      <c r="AC18" s="1899">
        <f t="shared" ref="AC18" si="10">D18/J18</f>
        <v>1</v>
      </c>
    </row>
    <row r="19" spans="1:29" ht="15">
      <c r="A19" s="408"/>
      <c r="B19" s="617"/>
      <c r="C19" s="437"/>
      <c r="D19" s="427"/>
      <c r="E19" s="437"/>
      <c r="F19" s="433"/>
      <c r="G19" s="437"/>
      <c r="H19" s="427"/>
      <c r="I19" s="426"/>
      <c r="J19" s="427"/>
      <c r="K19" s="1465"/>
      <c r="L19" s="1249"/>
      <c r="M19" s="1240"/>
      <c r="N19" s="1240"/>
      <c r="O19" s="1248"/>
      <c r="P19" s="3007"/>
      <c r="Q19" s="1895"/>
      <c r="R19" s="753"/>
      <c r="S19" s="754"/>
      <c r="T19" s="753"/>
      <c r="U19" s="754"/>
      <c r="V19" s="753"/>
      <c r="W19" s="754"/>
      <c r="X19" s="1896"/>
      <c r="Y19" s="3007"/>
      <c r="Z19" s="1898"/>
      <c r="AA19" s="1899">
        <v>1</v>
      </c>
      <c r="AB19" s="1899">
        <v>1</v>
      </c>
      <c r="AC19" s="1899">
        <v>1</v>
      </c>
    </row>
    <row r="20" spans="1:29" ht="85.5">
      <c r="A20" s="408"/>
      <c r="B20" s="431" t="s">
        <v>2508</v>
      </c>
      <c r="C20" s="2399" t="str">
        <f>IF(B1="工业",估价对象房地状况!G7,估价对象房地状况!C9)</f>
        <v>区域2公里内有自然环境：温榆河；人文环境：北京物资学院；综合评价环境状况较好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007"/>
      <c r="Q20" s="1895" t="str">
        <f>B20</f>
        <v>自然及人文环境</v>
      </c>
      <c r="R20" s="753" t="s">
        <v>25</v>
      </c>
      <c r="S20" s="754">
        <f>F20</f>
        <v>100</v>
      </c>
      <c r="T20" s="753" t="s">
        <v>25</v>
      </c>
      <c r="U20" s="754">
        <f>H20</f>
        <v>100</v>
      </c>
      <c r="V20" s="753" t="s">
        <v>25</v>
      </c>
      <c r="W20" s="754">
        <f>J20</f>
        <v>100</v>
      </c>
      <c r="X20" s="1896"/>
      <c r="Y20" s="3007"/>
      <c r="Z20" s="1898" t="str">
        <f>Q20</f>
        <v>自然及人文环境</v>
      </c>
      <c r="AA20" s="1899">
        <f t="shared" si="3"/>
        <v>1</v>
      </c>
      <c r="AB20" s="1899">
        <f t="shared" si="4"/>
        <v>1</v>
      </c>
      <c r="AC20" s="1899">
        <f t="shared" si="5"/>
        <v>1</v>
      </c>
    </row>
    <row r="21" spans="1:29" ht="15">
      <c r="A21" s="408"/>
      <c r="B21" s="436"/>
      <c r="C21" s="426"/>
      <c r="D21" s="427"/>
      <c r="E21" s="426"/>
      <c r="F21" s="429"/>
      <c r="G21" s="426"/>
      <c r="H21" s="427"/>
      <c r="I21" s="426"/>
      <c r="J21" s="427"/>
      <c r="K21" s="599"/>
      <c r="L21" s="1249"/>
      <c r="M21" s="1240"/>
      <c r="N21" s="1240"/>
      <c r="O21" s="1248"/>
      <c r="P21" s="3007"/>
      <c r="Q21" s="1895"/>
      <c r="R21" s="753"/>
      <c r="S21" s="754"/>
      <c r="T21" s="753"/>
      <c r="U21" s="754"/>
      <c r="V21" s="753"/>
      <c r="W21" s="754"/>
      <c r="X21" s="1896"/>
      <c r="Y21" s="3007"/>
      <c r="Z21" s="1898"/>
      <c r="AA21" s="1899">
        <v>1</v>
      </c>
      <c r="AB21" s="1899">
        <v>1</v>
      </c>
      <c r="AC21" s="1899">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007"/>
      <c r="Q22" s="1895" t="str">
        <f>B22</f>
        <v>楼层</v>
      </c>
      <c r="R22" s="753" t="s">
        <v>25</v>
      </c>
      <c r="S22" s="754">
        <f>F22</f>
        <v>100</v>
      </c>
      <c r="T22" s="753" t="s">
        <v>25</v>
      </c>
      <c r="U22" s="754">
        <f>H22</f>
        <v>100</v>
      </c>
      <c r="V22" s="753" t="s">
        <v>25</v>
      </c>
      <c r="W22" s="754">
        <f>J22</f>
        <v>100</v>
      </c>
      <c r="X22" s="1896"/>
      <c r="Y22" s="3007"/>
      <c r="Z22" s="1898" t="str">
        <f>Q22</f>
        <v>楼层</v>
      </c>
      <c r="AA22" s="1899">
        <f t="shared" si="3"/>
        <v>1</v>
      </c>
      <c r="AB22" s="1899">
        <f t="shared" si="4"/>
        <v>1</v>
      </c>
      <c r="AC22" s="1899">
        <f t="shared" si="5"/>
        <v>1</v>
      </c>
    </row>
    <row r="23" spans="1:29" ht="15">
      <c r="A23" s="383"/>
      <c r="B23" s="2392">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007"/>
      <c r="Q23" s="1895">
        <f>B23</f>
        <v>111</v>
      </c>
      <c r="R23" s="753" t="s">
        <v>25</v>
      </c>
      <c r="S23" s="754">
        <f>F23</f>
        <v>100</v>
      </c>
      <c r="T23" s="753" t="s">
        <v>25</v>
      </c>
      <c r="U23" s="754">
        <f>H23</f>
        <v>100</v>
      </c>
      <c r="V23" s="753" t="s">
        <v>25</v>
      </c>
      <c r="W23" s="754">
        <f>J23</f>
        <v>100</v>
      </c>
      <c r="X23" s="1896"/>
      <c r="Y23" s="3007"/>
      <c r="Z23" s="1898">
        <f>Q23</f>
        <v>111</v>
      </c>
      <c r="AA23" s="1899">
        <f t="shared" si="3"/>
        <v>1</v>
      </c>
      <c r="AB23" s="1899">
        <f t="shared" si="4"/>
        <v>1</v>
      </c>
      <c r="AC23" s="1899">
        <f t="shared" si="5"/>
        <v>1</v>
      </c>
    </row>
    <row r="24" spans="1:29" ht="15">
      <c r="A24" s="408"/>
      <c r="B24" s="2392">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007"/>
      <c r="Q24" s="1895">
        <f t="shared" ref="Q24:Q34" si="11">B24</f>
        <v>111</v>
      </c>
      <c r="R24" s="753" t="s">
        <v>25</v>
      </c>
      <c r="S24" s="754">
        <f>F24</f>
        <v>100</v>
      </c>
      <c r="T24" s="753" t="s">
        <v>25</v>
      </c>
      <c r="U24" s="754">
        <f>H24</f>
        <v>100</v>
      </c>
      <c r="V24" s="753" t="s">
        <v>25</v>
      </c>
      <c r="W24" s="754">
        <f>J24</f>
        <v>100</v>
      </c>
      <c r="X24" s="1896"/>
      <c r="Y24" s="3007"/>
      <c r="Z24" s="1898">
        <f>Q24</f>
        <v>111</v>
      </c>
      <c r="AA24" s="1899">
        <f t="shared" si="3"/>
        <v>1</v>
      </c>
      <c r="AB24" s="1899">
        <f t="shared" si="4"/>
        <v>1</v>
      </c>
      <c r="AC24" s="1899">
        <f t="shared" si="5"/>
        <v>1</v>
      </c>
    </row>
    <row r="25" spans="1:29" s="35" customFormat="1" ht="15.75" thickBot="1">
      <c r="A25" s="411"/>
      <c r="B25" s="2392">
        <v>111</v>
      </c>
      <c r="C25" s="2475"/>
      <c r="D25" s="648">
        <v>100</v>
      </c>
      <c r="E25" s="2475"/>
      <c r="F25" s="649">
        <f>SUMIF(75:75,E25,76:76)-SUMIF(75:75,C25,76:76)+100</f>
        <v>100</v>
      </c>
      <c r="G25" s="2475"/>
      <c r="H25" s="648">
        <f>SUMIF(75:75,G25,76:76)-SUMIF(75:75,C25,76:76)+100</f>
        <v>100</v>
      </c>
      <c r="I25" s="2475"/>
      <c r="J25" s="648">
        <f>SUMIF(75:75,I25,76:76)-SUMIF(75:75,C25,76:76)+100</f>
        <v>100</v>
      </c>
      <c r="K25" s="597"/>
      <c r="L25" s="1241"/>
      <c r="M25" s="1242"/>
      <c r="N25" s="1242"/>
      <c r="O25" s="1243"/>
      <c r="P25" s="3007"/>
      <c r="Q25" s="1883">
        <f t="shared" si="11"/>
        <v>111</v>
      </c>
      <c r="R25" s="749" t="s">
        <v>25</v>
      </c>
      <c r="S25" s="750">
        <f>F25</f>
        <v>100</v>
      </c>
      <c r="T25" s="749" t="s">
        <v>25</v>
      </c>
      <c r="U25" s="750">
        <f>H25</f>
        <v>100</v>
      </c>
      <c r="V25" s="749" t="s">
        <v>25</v>
      </c>
      <c r="W25" s="750">
        <f>J25</f>
        <v>100</v>
      </c>
      <c r="X25" s="751"/>
      <c r="Y25" s="3007"/>
      <c r="Z25" s="23">
        <f>Q25</f>
        <v>111</v>
      </c>
      <c r="AA25" s="1899">
        <f>D25/F25</f>
        <v>1</v>
      </c>
      <c r="AB25" s="1899">
        <f>D25/H25</f>
        <v>1</v>
      </c>
      <c r="AC25" s="1899">
        <f>D25/J25</f>
        <v>1</v>
      </c>
    </row>
    <row r="26" spans="1:29" ht="15">
      <c r="A26" s="447" t="s">
        <v>2368</v>
      </c>
      <c r="B26" s="28" t="s">
        <v>2512</v>
      </c>
      <c r="C26" s="2466"/>
      <c r="D26" s="448">
        <v>100</v>
      </c>
      <c r="E26" s="2466"/>
      <c r="F26" s="650">
        <f>SUMIF(77:77,E26,78:78)-SUMIF(77:77,C26,78:78)+100</f>
        <v>100</v>
      </c>
      <c r="G26" s="2466"/>
      <c r="H26" s="448">
        <f>SUMIF(77:77,G26,78:78)-SUMIF(77:77,C26,78:78)+100</f>
        <v>100</v>
      </c>
      <c r="I26" s="2466"/>
      <c r="J26" s="448">
        <f>SUMIF(77:77,I26,78:78)-SUMIF(77:77,C26,78:78)+100</f>
        <v>100</v>
      </c>
      <c r="K26" s="596"/>
      <c r="L26" s="1249"/>
      <c r="M26" s="1240"/>
      <c r="N26" s="1240"/>
      <c r="O26" s="1248"/>
      <c r="P26" s="3059" t="s">
        <v>2370</v>
      </c>
      <c r="Q26" s="1895" t="str">
        <f t="shared" si="11"/>
        <v>公共部分装修</v>
      </c>
      <c r="R26" s="753" t="s">
        <v>25</v>
      </c>
      <c r="S26" s="754">
        <f t="shared" ref="S26:S34" si="12">F26</f>
        <v>100</v>
      </c>
      <c r="T26" s="753" t="s">
        <v>25</v>
      </c>
      <c r="U26" s="754">
        <f t="shared" ref="U26:U34" si="13">H26</f>
        <v>100</v>
      </c>
      <c r="V26" s="753" t="s">
        <v>25</v>
      </c>
      <c r="W26" s="754">
        <f t="shared" ref="W26:W34" si="14">J26</f>
        <v>100</v>
      </c>
      <c r="X26" s="1896"/>
      <c r="Y26" s="3011" t="s">
        <v>2370</v>
      </c>
      <c r="Z26" s="1898" t="str">
        <f t="shared" ref="Z26:Z34" si="15">Q26</f>
        <v>公共部分装修</v>
      </c>
      <c r="AA26" s="1899">
        <f t="shared" si="3"/>
        <v>1</v>
      </c>
      <c r="AB26" s="1899">
        <f t="shared" si="4"/>
        <v>1</v>
      </c>
      <c r="AC26" s="1899">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3011"/>
      <c r="Q27" s="755" t="str">
        <f t="shared" si="11"/>
        <v>成新率</v>
      </c>
      <c r="R27" s="756" t="s">
        <v>25</v>
      </c>
      <c r="S27" s="757" t="e">
        <f t="shared" si="12"/>
        <v>#N/A</v>
      </c>
      <c r="T27" s="756" t="s">
        <v>25</v>
      </c>
      <c r="U27" s="757" t="e">
        <f t="shared" si="13"/>
        <v>#N/A</v>
      </c>
      <c r="V27" s="756" t="s">
        <v>25</v>
      </c>
      <c r="W27" s="757" t="e">
        <f t="shared" si="14"/>
        <v>#N/A</v>
      </c>
      <c r="X27" s="758"/>
      <c r="Y27" s="3011"/>
      <c r="Z27" s="759" t="str">
        <f t="shared" si="15"/>
        <v>成新率</v>
      </c>
      <c r="AA27" s="1899" t="e">
        <f t="shared" si="3"/>
        <v>#N/A</v>
      </c>
      <c r="AB27" s="1899" t="e">
        <f t="shared" si="4"/>
        <v>#N/A</v>
      </c>
      <c r="AC27" s="1899"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3011"/>
      <c r="Q28" s="1895" t="str">
        <f t="shared" si="11"/>
        <v>物业等级</v>
      </c>
      <c r="R28" s="753" t="s">
        <v>25</v>
      </c>
      <c r="S28" s="754">
        <f t="shared" si="12"/>
        <v>100</v>
      </c>
      <c r="T28" s="753" t="s">
        <v>25</v>
      </c>
      <c r="U28" s="754">
        <f t="shared" si="13"/>
        <v>100</v>
      </c>
      <c r="V28" s="753" t="s">
        <v>25</v>
      </c>
      <c r="W28" s="754">
        <f t="shared" si="14"/>
        <v>100</v>
      </c>
      <c r="X28" s="1896"/>
      <c r="Y28" s="3011"/>
      <c r="Z28" s="1898" t="str">
        <f t="shared" si="15"/>
        <v>物业等级</v>
      </c>
      <c r="AA28" s="1899">
        <f t="shared" si="3"/>
        <v>1</v>
      </c>
      <c r="AB28" s="1899">
        <f t="shared" si="4"/>
        <v>1</v>
      </c>
      <c r="AC28" s="1899">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3011"/>
      <c r="Q29" s="1895" t="str">
        <f t="shared" si="11"/>
        <v>有无电梯</v>
      </c>
      <c r="R29" s="753" t="s">
        <v>25</v>
      </c>
      <c r="S29" s="754">
        <f t="shared" si="12"/>
        <v>100</v>
      </c>
      <c r="T29" s="753" t="s">
        <v>25</v>
      </c>
      <c r="U29" s="754">
        <f t="shared" si="13"/>
        <v>100</v>
      </c>
      <c r="V29" s="753" t="s">
        <v>25</v>
      </c>
      <c r="W29" s="754">
        <f t="shared" si="14"/>
        <v>100</v>
      </c>
      <c r="X29" s="1896"/>
      <c r="Y29" s="3011"/>
      <c r="Z29" s="1898" t="str">
        <f t="shared" si="15"/>
        <v>有无电梯</v>
      </c>
      <c r="AA29" s="1899">
        <f t="shared" si="3"/>
        <v>1</v>
      </c>
      <c r="AB29" s="1899">
        <f t="shared" si="4"/>
        <v>1</v>
      </c>
      <c r="AC29" s="1899">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3011"/>
      <c r="Q30" s="1895" t="str">
        <f t="shared" si="11"/>
        <v>建筑面积</v>
      </c>
      <c r="R30" s="753" t="s">
        <v>25</v>
      </c>
      <c r="S30" s="754" t="e">
        <f t="shared" si="12"/>
        <v>#N/A</v>
      </c>
      <c r="T30" s="753" t="s">
        <v>25</v>
      </c>
      <c r="U30" s="754" t="e">
        <f t="shared" si="13"/>
        <v>#N/A</v>
      </c>
      <c r="V30" s="753" t="s">
        <v>25</v>
      </c>
      <c r="W30" s="754" t="e">
        <f t="shared" si="14"/>
        <v>#N/A</v>
      </c>
      <c r="X30" s="1896"/>
      <c r="Y30" s="3011"/>
      <c r="Z30" s="1898" t="str">
        <f t="shared" si="15"/>
        <v>建筑面积</v>
      </c>
      <c r="AA30" s="1899" t="e">
        <f t="shared" si="3"/>
        <v>#N/A</v>
      </c>
      <c r="AB30" s="1899" t="e">
        <f t="shared" si="4"/>
        <v>#N/A</v>
      </c>
      <c r="AC30" s="1899"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3011"/>
      <c r="Q31" s="1883" t="str">
        <f t="shared" si="11"/>
        <v>是否封闭</v>
      </c>
      <c r="R31" s="749" t="s">
        <v>25</v>
      </c>
      <c r="S31" s="750">
        <f t="shared" si="12"/>
        <v>100</v>
      </c>
      <c r="T31" s="749" t="s">
        <v>25</v>
      </c>
      <c r="U31" s="750">
        <f t="shared" si="13"/>
        <v>100</v>
      </c>
      <c r="V31" s="749" t="s">
        <v>25</v>
      </c>
      <c r="W31" s="750">
        <f t="shared" si="14"/>
        <v>100</v>
      </c>
      <c r="X31" s="751"/>
      <c r="Y31" s="3011"/>
      <c r="Z31" s="23" t="str">
        <f t="shared" si="15"/>
        <v>是否封闭</v>
      </c>
      <c r="AA31" s="752">
        <f t="shared" si="3"/>
        <v>1</v>
      </c>
      <c r="AB31" s="752">
        <f t="shared" si="4"/>
        <v>1</v>
      </c>
      <c r="AC31" s="752">
        <f t="shared" si="5"/>
        <v>1</v>
      </c>
    </row>
    <row r="32" spans="1:29" ht="15">
      <c r="A32" s="453"/>
      <c r="B32" s="2392">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3011" t="s">
        <v>2370</v>
      </c>
      <c r="Q32" s="1895">
        <f t="shared" si="11"/>
        <v>111</v>
      </c>
      <c r="R32" s="753" t="s">
        <v>25</v>
      </c>
      <c r="S32" s="754">
        <f t="shared" si="12"/>
        <v>100</v>
      </c>
      <c r="T32" s="753" t="s">
        <v>25</v>
      </c>
      <c r="U32" s="754">
        <f t="shared" si="13"/>
        <v>100</v>
      </c>
      <c r="V32" s="753" t="s">
        <v>25</v>
      </c>
      <c r="W32" s="754">
        <f t="shared" si="14"/>
        <v>100</v>
      </c>
      <c r="X32" s="1896"/>
      <c r="Y32" s="3011" t="s">
        <v>2370</v>
      </c>
      <c r="Z32" s="1898">
        <f t="shared" si="15"/>
        <v>111</v>
      </c>
      <c r="AA32" s="1899">
        <f t="shared" si="3"/>
        <v>1</v>
      </c>
      <c r="AB32" s="1899">
        <f t="shared" si="4"/>
        <v>1</v>
      </c>
      <c r="AC32" s="1899">
        <f t="shared" si="5"/>
        <v>1</v>
      </c>
    </row>
    <row r="33" spans="1:29" ht="15">
      <c r="A33" s="453"/>
      <c r="B33" s="2392">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3011"/>
      <c r="Q33" s="1895">
        <f t="shared" si="11"/>
        <v>111</v>
      </c>
      <c r="R33" s="753" t="s">
        <v>25</v>
      </c>
      <c r="S33" s="754">
        <f t="shared" si="12"/>
        <v>100</v>
      </c>
      <c r="T33" s="753" t="s">
        <v>25</v>
      </c>
      <c r="U33" s="754">
        <f t="shared" si="13"/>
        <v>100</v>
      </c>
      <c r="V33" s="753" t="s">
        <v>25</v>
      </c>
      <c r="W33" s="754">
        <f t="shared" si="14"/>
        <v>100</v>
      </c>
      <c r="X33" s="1896"/>
      <c r="Y33" s="3011"/>
      <c r="Z33" s="1898">
        <f t="shared" si="15"/>
        <v>111</v>
      </c>
      <c r="AA33" s="1899">
        <f t="shared" si="3"/>
        <v>1</v>
      </c>
      <c r="AB33" s="1899">
        <f t="shared" si="4"/>
        <v>1</v>
      </c>
      <c r="AC33" s="1899">
        <f t="shared" si="5"/>
        <v>1</v>
      </c>
    </row>
    <row r="34" spans="1:29" ht="15.75" thickBot="1">
      <c r="A34" s="459"/>
      <c r="B34" s="2394">
        <v>111</v>
      </c>
      <c r="C34" s="2395"/>
      <c r="D34" s="417">
        <v>100</v>
      </c>
      <c r="E34" s="2476"/>
      <c r="F34" s="418">
        <f>SUMIF(95:95,E34,96:96)-SUMIF(95:95,C34,96:96)+100</f>
        <v>100</v>
      </c>
      <c r="G34" s="2476"/>
      <c r="H34" s="417">
        <f>SUMIF(95:95,G34,96:96)-SUMIF(95:95,C34,96:96)+100</f>
        <v>100</v>
      </c>
      <c r="I34" s="2476"/>
      <c r="J34" s="417">
        <f>SUMIF(95:95,I34,96:96)-SUMIF(95:95,C34,96:96)+100</f>
        <v>100</v>
      </c>
      <c r="K34" s="597"/>
      <c r="L34" s="1249"/>
      <c r="M34" s="1240"/>
      <c r="N34" s="1240"/>
      <c r="O34" s="1248"/>
      <c r="P34" s="3011"/>
      <c r="Q34" s="1895">
        <f t="shared" si="11"/>
        <v>111</v>
      </c>
      <c r="R34" s="753" t="s">
        <v>25</v>
      </c>
      <c r="S34" s="754">
        <f t="shared" si="12"/>
        <v>100</v>
      </c>
      <c r="T34" s="753" t="s">
        <v>25</v>
      </c>
      <c r="U34" s="754">
        <f t="shared" si="13"/>
        <v>100</v>
      </c>
      <c r="V34" s="753" t="s">
        <v>25</v>
      </c>
      <c r="W34" s="754">
        <f t="shared" si="14"/>
        <v>100</v>
      </c>
      <c r="X34" s="1896"/>
      <c r="Y34" s="3011"/>
      <c r="Z34" s="1898">
        <f t="shared" si="15"/>
        <v>111</v>
      </c>
      <c r="AA34" s="1899">
        <f t="shared" si="3"/>
        <v>1</v>
      </c>
      <c r="AB34" s="1899">
        <f t="shared" si="4"/>
        <v>1</v>
      </c>
      <c r="AC34" s="1899">
        <f t="shared" si="5"/>
        <v>1</v>
      </c>
    </row>
    <row r="35" spans="1:29" ht="15">
      <c r="A35" s="460" t="s">
        <v>2382</v>
      </c>
      <c r="B35" s="461"/>
      <c r="C35" s="1498" t="s">
        <v>1</v>
      </c>
      <c r="D35" s="1499"/>
      <c r="E35" s="1500"/>
      <c r="F35" s="1501"/>
      <c r="G35" s="1502"/>
      <c r="H35" s="1503"/>
      <c r="I35" s="1500"/>
      <c r="J35" s="1503"/>
      <c r="K35" s="762"/>
      <c r="L35" s="1252"/>
      <c r="M35" s="1253"/>
      <c r="N35" s="1240"/>
      <c r="O35" s="1253"/>
      <c r="P35" s="3013" t="str">
        <f>A35</f>
        <v>成交单价（元/平方米）</v>
      </c>
      <c r="Q35" s="3013"/>
      <c r="R35" s="3014">
        <f>E35</f>
        <v>0</v>
      </c>
      <c r="S35" s="3014"/>
      <c r="T35" s="3014">
        <f>G35</f>
        <v>0</v>
      </c>
      <c r="U35" s="3014"/>
      <c r="V35" s="3014">
        <f>I35</f>
        <v>0</v>
      </c>
      <c r="W35" s="3014"/>
      <c r="X35" s="738"/>
      <c r="Y35" s="760"/>
      <c r="Z35" s="738"/>
      <c r="AA35" s="738"/>
      <c r="AB35" s="738"/>
      <c r="AC35" s="738"/>
    </row>
    <row r="36" spans="1:29" ht="15.75" thickBot="1">
      <c r="A36" s="467" t="s">
        <v>2465</v>
      </c>
      <c r="B36" s="468"/>
      <c r="C36" s="1504" t="e">
        <f>R37</f>
        <v>#DIV/0!</v>
      </c>
      <c r="D36" s="1505"/>
      <c r="E36" s="1506" t="e">
        <f>R36</f>
        <v>#DIV/0!</v>
      </c>
      <c r="F36" s="1506"/>
      <c r="G36" s="1504" t="e">
        <f>T36</f>
        <v>#DIV/0!</v>
      </c>
      <c r="H36" s="1505"/>
      <c r="I36" s="1506" t="e">
        <f>V36</f>
        <v>#DIV/0!</v>
      </c>
      <c r="J36" s="1505"/>
      <c r="K36" s="763"/>
      <c r="L36" s="1252"/>
      <c r="M36" s="1253"/>
      <c r="N36" s="1240"/>
      <c r="O36" s="1253"/>
      <c r="P36" s="3013" t="str">
        <f>A36</f>
        <v>比较价值（元/平方米）</v>
      </c>
      <c r="Q36" s="3013"/>
      <c r="R36" s="3014" t="e">
        <f>IF(E1="售价",ROUND(PRODUCT(R35,AA7:AA34),0),ROUND(PRODUCT(R35,AA7:AA34),1))</f>
        <v>#DIV/0!</v>
      </c>
      <c r="S36" s="3014"/>
      <c r="T36" s="3014" t="e">
        <f>IF(E1="售价",ROUND(PRODUCT(T35,AB7:AB34),0),ROUND(PRODUCT(T35,AB7:AB34),1))</f>
        <v>#DIV/0!</v>
      </c>
      <c r="U36" s="3014"/>
      <c r="V36" s="3014" t="e">
        <f>IF(E1="售价",ROUND(PRODUCT(V35,AC7:AC34),0),ROUND(PRODUCT(V35,AC7:AC34),1))</f>
        <v>#DIV/0!</v>
      </c>
      <c r="W36" s="3014"/>
      <c r="X36" s="738"/>
      <c r="Y36" s="738"/>
      <c r="Z36" s="738"/>
      <c r="AA36" s="738"/>
      <c r="AB36" s="738"/>
      <c r="AC36" s="738"/>
    </row>
    <row r="37" spans="1:29" ht="15.75" thickBot="1">
      <c r="A37" s="473" t="s">
        <v>2488</v>
      </c>
      <c r="B37" s="474"/>
      <c r="C37" s="1508" t="e">
        <f>R37</f>
        <v>#DIV/0!</v>
      </c>
      <c r="D37" s="1508"/>
      <c r="E37" s="1508"/>
      <c r="F37" s="1508"/>
      <c r="G37" s="1508"/>
      <c r="H37" s="1508"/>
      <c r="I37" s="1508"/>
      <c r="J37" s="1508"/>
      <c r="K37" s="764"/>
      <c r="L37" s="1252"/>
      <c r="M37" s="1253"/>
      <c r="N37" s="1253"/>
      <c r="O37" s="1253"/>
      <c r="P37" s="3051" t="str">
        <f>A37</f>
        <v>估价对象XX用房的比较价值（楼面单价，元/平方米）</v>
      </c>
      <c r="Q37" s="2977"/>
      <c r="R37" s="3016" t="e">
        <f>IF(E1="售价",ROUND(AVERAGE(R36:V36),0),ROUND(AVERAGE(R36:V36),1))</f>
        <v>#DIV/0!</v>
      </c>
      <c r="S37" s="3016"/>
      <c r="T37" s="3016"/>
      <c r="U37" s="3016"/>
      <c r="V37" s="3016"/>
      <c r="W37" s="3016"/>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2352</v>
      </c>
      <c r="B46" s="487"/>
      <c r="C46" s="1674" t="str">
        <f>YEAR(C7)&amp;"-"&amp;MONTH(C7)</f>
        <v>2018-6</v>
      </c>
      <c r="D46" s="1675">
        <f>EDATE(C46,-1)</f>
        <v>43221</v>
      </c>
      <c r="E46" s="1675">
        <f t="shared" ref="E46:O46" si="16">EDATE(D46,-1)</f>
        <v>43191</v>
      </c>
      <c r="F46" s="1675">
        <f t="shared" si="16"/>
        <v>43160</v>
      </c>
      <c r="G46" s="1675">
        <f t="shared" si="16"/>
        <v>43132</v>
      </c>
      <c r="H46" s="1675">
        <f t="shared" si="16"/>
        <v>43101</v>
      </c>
      <c r="I46" s="1675">
        <f t="shared" si="16"/>
        <v>43070</v>
      </c>
      <c r="J46" s="1675">
        <f t="shared" si="16"/>
        <v>43040</v>
      </c>
      <c r="K46" s="1675">
        <f t="shared" si="16"/>
        <v>43009</v>
      </c>
      <c r="L46" s="1675">
        <f t="shared" si="16"/>
        <v>42979</v>
      </c>
      <c r="M46" s="1675">
        <f t="shared" si="16"/>
        <v>42948</v>
      </c>
      <c r="N46" s="1675">
        <f t="shared" si="16"/>
        <v>42917</v>
      </c>
      <c r="O46" s="1675">
        <f t="shared" si="16"/>
        <v>42887</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2354</v>
      </c>
      <c r="B49" s="491"/>
      <c r="C49" s="503" t="s">
        <v>2355</v>
      </c>
      <c r="D49" s="504"/>
      <c r="E49" s="504"/>
      <c r="F49" s="504"/>
      <c r="G49" s="504"/>
      <c r="H49" s="504"/>
      <c r="I49" s="504"/>
      <c r="J49" s="504"/>
      <c r="K49" s="504"/>
      <c r="L49" s="505"/>
      <c r="M49" s="506"/>
      <c r="N49" s="1262"/>
      <c r="O49" s="1262"/>
      <c r="P49" s="507"/>
      <c r="Q49" s="485"/>
    </row>
    <row r="50" spans="1:17" s="35" customFormat="1" ht="15.75" thickBot="1">
      <c r="A50" s="502"/>
      <c r="B50" s="491"/>
      <c r="C50" s="623">
        <v>100</v>
      </c>
      <c r="D50" s="493"/>
      <c r="E50" s="493"/>
      <c r="F50" s="493"/>
      <c r="G50" s="493"/>
      <c r="H50" s="493"/>
      <c r="I50" s="493"/>
      <c r="J50" s="493"/>
      <c r="K50" s="493"/>
      <c r="L50" s="493"/>
      <c r="M50" s="495"/>
      <c r="N50" s="1262"/>
      <c r="O50" s="1262"/>
      <c r="P50" s="485"/>
      <c r="Q50" s="485"/>
    </row>
    <row r="51" spans="1:17">
      <c r="A51" s="508" t="s">
        <v>2393</v>
      </c>
      <c r="B51" s="509" t="s">
        <v>2358</v>
      </c>
      <c r="C51" s="510">
        <f>C9</f>
        <v>0</v>
      </c>
      <c r="D51" s="511"/>
      <c r="E51" s="511"/>
      <c r="F51" s="511"/>
      <c r="G51" s="511"/>
      <c r="H51" s="511"/>
      <c r="I51" s="511"/>
      <c r="J51" s="511"/>
      <c r="K51" s="512"/>
      <c r="L51" s="513"/>
      <c r="M51" s="514"/>
      <c r="N51" s="1263"/>
      <c r="O51" s="1263"/>
      <c r="P51" s="22"/>
      <c r="Q51" s="485"/>
    </row>
    <row r="52" spans="1:17" ht="15.75" thickBot="1">
      <c r="A52" s="516"/>
      <c r="B52" s="517"/>
      <c r="C52" s="518">
        <v>100</v>
      </c>
      <c r="D52" s="518"/>
      <c r="E52" s="518"/>
      <c r="F52" s="518"/>
      <c r="G52" s="518"/>
      <c r="H52" s="518"/>
      <c r="I52" s="518"/>
      <c r="J52" s="518"/>
      <c r="K52" s="518"/>
      <c r="L52" s="518"/>
      <c r="M52" s="519"/>
      <c r="N52" s="1264"/>
      <c r="O52" s="1264"/>
      <c r="P52" s="22"/>
      <c r="Q52" s="485"/>
    </row>
    <row r="53" spans="1:17" ht="27.75" thickTop="1">
      <c r="A53" s="516"/>
      <c r="B53" s="521" t="s">
        <v>2361</v>
      </c>
      <c r="C53" s="522" t="s">
        <v>2394</v>
      </c>
      <c r="D53" s="522" t="s">
        <v>2395</v>
      </c>
      <c r="E53" s="522" t="s">
        <v>2396</v>
      </c>
      <c r="F53" s="522" t="s">
        <v>2397</v>
      </c>
      <c r="G53" s="522" t="s">
        <v>2398</v>
      </c>
      <c r="H53" s="522" t="s">
        <v>2399</v>
      </c>
      <c r="I53" s="522" t="s">
        <v>2400</v>
      </c>
      <c r="J53" s="522"/>
      <c r="K53" s="523"/>
      <c r="L53" s="524"/>
      <c r="M53" s="525"/>
      <c r="N53" s="1263"/>
      <c r="O53" s="1263"/>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5.75" thickTop="1">
      <c r="A55" s="516"/>
      <c r="B55" s="643">
        <f>B11</f>
        <v>111</v>
      </c>
      <c r="C55" s="532"/>
      <c r="D55" s="532"/>
      <c r="E55" s="532"/>
      <c r="F55" s="532"/>
      <c r="G55" s="532"/>
      <c r="H55" s="532"/>
      <c r="I55" s="532"/>
      <c r="J55" s="532"/>
      <c r="K55" s="533"/>
      <c r="L55" s="534"/>
      <c r="M55" s="535"/>
      <c r="N55" s="1263"/>
      <c r="O55" s="1263"/>
      <c r="P55" s="22"/>
      <c r="Q55" s="485"/>
    </row>
    <row r="56" spans="1:17" ht="15.75" thickBot="1">
      <c r="A56" s="516"/>
      <c r="B56" s="517"/>
      <c r="C56" s="544"/>
      <c r="D56" s="518"/>
      <c r="E56" s="518"/>
      <c r="F56" s="518"/>
      <c r="G56" s="518"/>
      <c r="H56" s="518"/>
      <c r="I56" s="518"/>
      <c r="J56" s="518"/>
      <c r="K56" s="518"/>
      <c r="L56" s="518"/>
      <c r="M56" s="519"/>
      <c r="N56" s="1264"/>
      <c r="O56" s="1264"/>
      <c r="P56" s="22"/>
      <c r="Q56" s="485"/>
    </row>
    <row r="57" spans="1:17" s="452" customFormat="1" ht="15.75" thickTop="1">
      <c r="A57" s="536"/>
      <c r="B57" s="521">
        <f>B12</f>
        <v>111</v>
      </c>
      <c r="C57" s="532"/>
      <c r="D57" s="532"/>
      <c r="E57" s="532"/>
      <c r="F57" s="532"/>
      <c r="G57" s="537"/>
      <c r="H57" s="538"/>
      <c r="I57" s="538"/>
      <c r="J57" s="538"/>
      <c r="K57" s="538"/>
      <c r="L57" s="539"/>
      <c r="M57" s="540"/>
      <c r="N57" s="1265"/>
      <c r="O57" s="1265"/>
      <c r="P57" s="542"/>
      <c r="Q57" s="543"/>
    </row>
    <row r="58" spans="1:17" s="452" customFormat="1" ht="15.75" thickBot="1">
      <c r="A58" s="536"/>
      <c r="B58" s="526"/>
      <c r="C58" s="544"/>
      <c r="D58" s="518"/>
      <c r="E58" s="518"/>
      <c r="F58" s="518"/>
      <c r="G58" s="518"/>
      <c r="H58" s="518"/>
      <c r="I58" s="518"/>
      <c r="J58" s="518"/>
      <c r="K58" s="518"/>
      <c r="L58" s="518"/>
      <c r="M58" s="519"/>
      <c r="N58" s="1264"/>
      <c r="O58" s="1264"/>
      <c r="P58" s="542"/>
      <c r="Q58" s="543"/>
    </row>
    <row r="59" spans="1:17" s="452" customFormat="1" ht="15.75" thickTop="1">
      <c r="A59" s="536"/>
      <c r="B59" s="521">
        <f>B13</f>
        <v>111</v>
      </c>
      <c r="C59" s="532"/>
      <c r="D59" s="532"/>
      <c r="E59" s="532"/>
      <c r="F59" s="532"/>
      <c r="G59" s="537"/>
      <c r="H59" s="538"/>
      <c r="I59" s="538"/>
      <c r="J59" s="538"/>
      <c r="K59" s="538"/>
      <c r="L59" s="539"/>
      <c r="M59" s="540"/>
      <c r="N59" s="1265"/>
      <c r="O59" s="1265"/>
      <c r="P59" s="451"/>
      <c r="Q59" s="545"/>
    </row>
    <row r="60" spans="1:17" s="452" customFormat="1" ht="15.75" thickBot="1">
      <c r="A60" s="536"/>
      <c r="B60" s="526"/>
      <c r="C60" s="544"/>
      <c r="D60" s="544"/>
      <c r="E60" s="544"/>
      <c r="F60" s="544"/>
      <c r="G60" s="544"/>
      <c r="H60" s="546"/>
      <c r="I60" s="546"/>
      <c r="J60" s="546"/>
      <c r="K60" s="546"/>
      <c r="L60" s="546"/>
      <c r="M60" s="547"/>
      <c r="N60" s="1265"/>
      <c r="O60" s="1265"/>
      <c r="P60" s="542"/>
      <c r="Q60" s="543"/>
    </row>
    <row r="61" spans="1:17" ht="15" thickTop="1">
      <c r="A61" s="508" t="s">
        <v>2363</v>
      </c>
      <c r="B61" s="509" t="s">
        <v>2407</v>
      </c>
      <c r="C61" s="557" t="s">
        <v>2402</v>
      </c>
      <c r="D61" s="557" t="s">
        <v>2403</v>
      </c>
      <c r="E61" s="557" t="s">
        <v>2404</v>
      </c>
      <c r="F61" s="557" t="s">
        <v>2405</v>
      </c>
      <c r="G61" s="557" t="s">
        <v>2406</v>
      </c>
      <c r="H61" s="510"/>
      <c r="I61" s="510"/>
      <c r="J61" s="510"/>
      <c r="K61" s="558"/>
      <c r="L61" s="559"/>
      <c r="M61" s="560"/>
      <c r="N61" s="1263"/>
      <c r="O61" s="1263"/>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3"/>
      <c r="O63" s="1263"/>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3"/>
      <c r="N65" s="1264"/>
      <c r="O65" s="1264"/>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3"/>
      <c r="O67" s="1263"/>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75" thickTop="1">
      <c r="A69" s="516"/>
      <c r="B69" s="521" t="s">
        <v>2527</v>
      </c>
      <c r="C69" s="537"/>
      <c r="D69" s="537"/>
      <c r="E69" s="537"/>
      <c r="F69" s="537"/>
      <c r="G69" s="537"/>
      <c r="H69" s="567"/>
      <c r="I69" s="567"/>
      <c r="J69" s="567"/>
      <c r="K69" s="568"/>
      <c r="L69" s="569"/>
      <c r="M69" s="570"/>
      <c r="N69" s="1263"/>
      <c r="O69" s="1263"/>
      <c r="P69" s="22"/>
      <c r="Q69" s="485"/>
    </row>
    <row r="70" spans="1:17" ht="15.75"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5.75" thickTop="1">
      <c r="A71" s="563"/>
      <c r="B71" s="521">
        <f>B23</f>
        <v>111</v>
      </c>
      <c r="C71" s="532"/>
      <c r="D71" s="532"/>
      <c r="E71" s="532"/>
      <c r="F71" s="532"/>
      <c r="G71" s="537"/>
      <c r="H71" s="537"/>
      <c r="I71" s="537"/>
      <c r="J71" s="537"/>
      <c r="K71" s="537"/>
      <c r="L71" s="564"/>
      <c r="M71" s="565"/>
      <c r="N71" s="1262"/>
      <c r="O71" s="1262"/>
      <c r="P71" s="22"/>
      <c r="Q71" s="485"/>
    </row>
    <row r="72" spans="1:17" s="35" customFormat="1" ht="15.75" thickBot="1">
      <c r="A72" s="563"/>
      <c r="B72" s="526"/>
      <c r="C72" s="544"/>
      <c r="D72" s="518"/>
      <c r="E72" s="518"/>
      <c r="F72" s="518"/>
      <c r="G72" s="518"/>
      <c r="H72" s="518"/>
      <c r="I72" s="518"/>
      <c r="J72" s="518"/>
      <c r="K72" s="518"/>
      <c r="L72" s="518"/>
      <c r="M72" s="519"/>
      <c r="N72" s="1264"/>
      <c r="O72" s="1264"/>
      <c r="P72" s="22"/>
      <c r="Q72" s="485"/>
    </row>
    <row r="73" spans="1:17" s="35" customFormat="1" ht="15.75" thickTop="1">
      <c r="A73" s="563"/>
      <c r="B73" s="521">
        <f>B24</f>
        <v>111</v>
      </c>
      <c r="C73" s="532"/>
      <c r="D73" s="532"/>
      <c r="E73" s="532"/>
      <c r="F73" s="532"/>
      <c r="G73" s="537"/>
      <c r="H73" s="537"/>
      <c r="I73" s="537"/>
      <c r="J73" s="537"/>
      <c r="K73" s="537"/>
      <c r="L73" s="537"/>
      <c r="M73" s="565"/>
      <c r="N73" s="1262"/>
      <c r="O73" s="1262"/>
      <c r="P73" s="22"/>
      <c r="Q73" s="485"/>
    </row>
    <row r="74" spans="1:17" s="35" customFormat="1" ht="15.75" thickBot="1">
      <c r="A74" s="563"/>
      <c r="B74" s="526"/>
      <c r="C74" s="544"/>
      <c r="D74" s="518"/>
      <c r="E74" s="518"/>
      <c r="F74" s="518"/>
      <c r="G74" s="518"/>
      <c r="H74" s="518"/>
      <c r="I74" s="518"/>
      <c r="J74" s="518"/>
      <c r="K74" s="518"/>
      <c r="L74" s="518"/>
      <c r="M74" s="519"/>
      <c r="N74" s="1264"/>
      <c r="O74" s="1264"/>
      <c r="P74" s="22"/>
      <c r="Q74" s="485"/>
    </row>
    <row r="75" spans="1:17" s="452" customFormat="1" ht="15.75" thickTop="1">
      <c r="A75" s="536"/>
      <c r="B75" s="521">
        <f>B25</f>
        <v>111</v>
      </c>
      <c r="C75" s="532"/>
      <c r="D75" s="532"/>
      <c r="E75" s="532"/>
      <c r="F75" s="532"/>
      <c r="G75" s="537"/>
      <c r="H75" s="538"/>
      <c r="I75" s="538"/>
      <c r="J75" s="538"/>
      <c r="K75" s="538"/>
      <c r="L75" s="539"/>
      <c r="M75" s="540"/>
      <c r="N75" s="1265"/>
      <c r="O75" s="1265"/>
      <c r="P75" s="542"/>
      <c r="Q75" s="543"/>
    </row>
    <row r="76" spans="1:17" s="452" customFormat="1" ht="15.75" thickBot="1">
      <c r="A76" s="536"/>
      <c r="B76" s="526"/>
      <c r="C76" s="544"/>
      <c r="D76" s="544"/>
      <c r="E76" s="544"/>
      <c r="F76" s="544"/>
      <c r="G76" s="518"/>
      <c r="H76" s="518"/>
      <c r="I76" s="518"/>
      <c r="J76" s="518"/>
      <c r="K76" s="518"/>
      <c r="L76" s="518"/>
      <c r="M76" s="519"/>
      <c r="N76" s="1265"/>
      <c r="O76" s="1265"/>
      <c r="P76" s="542"/>
      <c r="Q76" s="543"/>
    </row>
    <row r="77" spans="1:17" ht="15" thickTop="1">
      <c r="A77" s="508" t="s">
        <v>2368</v>
      </c>
      <c r="B77" s="509" t="s">
        <v>2421</v>
      </c>
      <c r="C77" s="537"/>
      <c r="D77" s="537"/>
      <c r="E77" s="511"/>
      <c r="F77" s="511"/>
      <c r="G77" s="511"/>
      <c r="H77" s="511"/>
      <c r="I77" s="511"/>
      <c r="J77" s="511"/>
      <c r="K77" s="512"/>
      <c r="L77" s="513"/>
      <c r="M77" s="514"/>
      <c r="N77" s="1263"/>
      <c r="O77" s="1263"/>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ht="15">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2531</v>
      </c>
      <c r="C82" s="537"/>
      <c r="D82" s="537"/>
      <c r="E82" s="567"/>
      <c r="F82" s="567"/>
      <c r="G82" s="567"/>
      <c r="H82" s="567"/>
      <c r="I82" s="567"/>
      <c r="J82" s="567"/>
      <c r="K82" s="568"/>
      <c r="L82" s="569"/>
      <c r="M82" s="570"/>
      <c r="N82" s="1263"/>
      <c r="O82" s="1263"/>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2538</v>
      </c>
      <c r="C84" s="537"/>
      <c r="D84" s="537"/>
      <c r="E84" s="537"/>
      <c r="F84" s="537"/>
      <c r="G84" s="537"/>
      <c r="H84" s="537"/>
      <c r="I84" s="567"/>
      <c r="J84" s="567"/>
      <c r="K84" s="568"/>
      <c r="L84" s="569"/>
      <c r="M84" s="570"/>
      <c r="N84" s="1263"/>
      <c r="O84" s="1263"/>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5.75"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2540</v>
      </c>
      <c r="C89" s="537"/>
      <c r="D89" s="537"/>
      <c r="E89" s="537"/>
      <c r="F89" s="537"/>
      <c r="G89" s="537"/>
      <c r="H89" s="537"/>
      <c r="I89" s="537"/>
      <c r="J89" s="537"/>
      <c r="K89" s="537"/>
      <c r="L89" s="537"/>
      <c r="M89" s="565"/>
      <c r="N89" s="1265"/>
      <c r="O89" s="1265"/>
      <c r="P89" s="542"/>
      <c r="Q89" s="543"/>
    </row>
    <row r="90" spans="1:17" s="452" customFormat="1" ht="15.75" thickBot="1">
      <c r="A90" s="536"/>
      <c r="B90" s="526"/>
      <c r="C90" s="544"/>
      <c r="D90" s="518"/>
      <c r="E90" s="518"/>
      <c r="F90" s="518"/>
      <c r="G90" s="518"/>
      <c r="H90" s="518"/>
      <c r="I90" s="518"/>
      <c r="J90" s="518"/>
      <c r="K90" s="518"/>
      <c r="L90" s="518"/>
      <c r="M90" s="519"/>
      <c r="N90" s="1265"/>
      <c r="O90" s="1265"/>
      <c r="P90" s="542"/>
      <c r="Q90" s="543"/>
    </row>
    <row r="91" spans="1:17" ht="15" thickTop="1">
      <c r="A91" s="583"/>
      <c r="B91" s="521">
        <f>B32</f>
        <v>111</v>
      </c>
      <c r="C91" s="532"/>
      <c r="D91" s="532"/>
      <c r="E91" s="532"/>
      <c r="F91" s="532"/>
      <c r="G91" s="537"/>
      <c r="H91" s="538"/>
      <c r="I91" s="538"/>
      <c r="J91" s="538"/>
      <c r="K91" s="538"/>
      <c r="L91" s="539"/>
      <c r="M91" s="540"/>
      <c r="N91" s="1263"/>
      <c r="O91" s="1263"/>
      <c r="P91" s="22"/>
      <c r="Q91" s="485"/>
    </row>
    <row r="92" spans="1:17" ht="15.75" thickBot="1">
      <c r="A92" s="516"/>
      <c r="B92" s="526"/>
      <c r="C92" s="544"/>
      <c r="D92" s="518"/>
      <c r="E92" s="518"/>
      <c r="F92" s="518"/>
      <c r="G92" s="544"/>
      <c r="H92" s="546"/>
      <c r="I92" s="546"/>
      <c r="J92" s="546"/>
      <c r="K92" s="546"/>
      <c r="L92" s="546"/>
      <c r="M92" s="547"/>
      <c r="N92" s="1264"/>
      <c r="O92" s="1264"/>
      <c r="P92" s="22"/>
      <c r="Q92" s="485"/>
    </row>
    <row r="93" spans="1:17" ht="15" thickTop="1">
      <c r="A93" s="583"/>
      <c r="B93" s="521">
        <f>B33</f>
        <v>111</v>
      </c>
      <c r="C93" s="532"/>
      <c r="D93" s="532"/>
      <c r="E93" s="532"/>
      <c r="F93" s="532"/>
      <c r="G93" s="537"/>
      <c r="H93" s="538"/>
      <c r="I93" s="538"/>
      <c r="J93" s="538"/>
      <c r="K93" s="538"/>
      <c r="L93" s="539"/>
      <c r="M93" s="540"/>
      <c r="N93" s="1263"/>
      <c r="O93" s="1263"/>
      <c r="P93" s="22"/>
      <c r="Q93" s="485"/>
    </row>
    <row r="94" spans="1:17" ht="15.75" thickBot="1">
      <c r="A94" s="516"/>
      <c r="B94" s="526"/>
      <c r="C94" s="544"/>
      <c r="D94" s="518"/>
      <c r="E94" s="518"/>
      <c r="F94" s="518"/>
      <c r="G94" s="544"/>
      <c r="H94" s="546"/>
      <c r="I94" s="546"/>
      <c r="J94" s="546"/>
      <c r="K94" s="546"/>
      <c r="L94" s="546"/>
      <c r="M94" s="547"/>
      <c r="N94" s="1264"/>
      <c r="O94" s="1264"/>
      <c r="P94" s="22"/>
      <c r="Q94" s="485"/>
    </row>
    <row r="95" spans="1:17" ht="15" thickTop="1">
      <c r="A95" s="583"/>
      <c r="B95" s="620">
        <f>B34</f>
        <v>111</v>
      </c>
      <c r="C95" s="532"/>
      <c r="D95" s="532"/>
      <c r="E95" s="532"/>
      <c r="F95" s="532"/>
      <c r="G95" s="537"/>
      <c r="H95" s="538"/>
      <c r="I95" s="538"/>
      <c r="J95" s="538"/>
      <c r="K95" s="538"/>
      <c r="L95" s="539"/>
      <c r="M95" s="540"/>
      <c r="N95" s="1264"/>
      <c r="O95" s="1264"/>
      <c r="P95" s="621"/>
      <c r="Q95" s="622"/>
    </row>
    <row r="96" spans="1:17" ht="15.75" thickBot="1">
      <c r="A96" s="516"/>
      <c r="B96" s="526"/>
      <c r="C96" s="544"/>
      <c r="D96" s="544"/>
      <c r="E96" s="544"/>
      <c r="F96" s="544"/>
      <c r="G96" s="544"/>
      <c r="H96" s="546"/>
      <c r="I96" s="546"/>
      <c r="J96" s="546"/>
      <c r="K96" s="546"/>
      <c r="L96" s="546"/>
      <c r="M96" s="547"/>
      <c r="N96" s="1264"/>
      <c r="O96" s="1264"/>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2005</v>
      </c>
      <c r="B2" s="654" t="e">
        <f>F66</f>
        <v>#DIV/0!</v>
      </c>
      <c r="C2" s="732" t="s">
        <v>2543</v>
      </c>
      <c r="D2" s="980"/>
      <c r="E2" s="981"/>
      <c r="F2" s="982"/>
      <c r="G2" s="981"/>
      <c r="H2" s="981"/>
      <c r="I2" s="981"/>
      <c r="J2" s="981"/>
      <c r="K2" s="983"/>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2006</v>
      </c>
      <c r="B3" s="593" t="e">
        <f>ROUND(B2/'数据-取费表'!B5,0)</f>
        <v>#DIV/0!</v>
      </c>
      <c r="C3" s="732" t="s">
        <v>2544</v>
      </c>
      <c r="D3" s="981"/>
      <c r="E3" s="981"/>
      <c r="F3" s="982"/>
      <c r="G3" s="981"/>
      <c r="H3" s="981"/>
      <c r="I3" s="981"/>
      <c r="J3" s="981"/>
      <c r="K3" s="983"/>
      <c r="L3" s="1237"/>
      <c r="M3" s="1238"/>
      <c r="N3" s="1238"/>
      <c r="O3" s="1238"/>
      <c r="P3" s="747"/>
      <c r="Q3" s="747"/>
      <c r="R3" s="747"/>
      <c r="S3" s="747"/>
      <c r="T3" s="747"/>
      <c r="U3" s="747"/>
      <c r="V3" s="747"/>
      <c r="W3" s="747"/>
      <c r="X3" s="747"/>
      <c r="Y3" s="747"/>
      <c r="Z3" s="747"/>
      <c r="AA3" s="747"/>
      <c r="AB3" s="767"/>
      <c r="AC3" s="761"/>
    </row>
    <row r="4" spans="1:30" ht="15">
      <c r="A4" s="380" t="s">
        <v>2339</v>
      </c>
      <c r="B4" s="381"/>
      <c r="C4" s="2985" t="s">
        <v>2340</v>
      </c>
      <c r="D4" s="2986"/>
      <c r="E4" s="2987" t="s">
        <v>2341</v>
      </c>
      <c r="F4" s="2988"/>
      <c r="G4" s="2985" t="s">
        <v>2342</v>
      </c>
      <c r="H4" s="2986"/>
      <c r="I4" s="2985" t="s">
        <v>2343</v>
      </c>
      <c r="J4" s="2986"/>
      <c r="K4" s="594" t="s">
        <v>2344</v>
      </c>
      <c r="L4" s="1239"/>
      <c r="M4" s="1240"/>
      <c r="N4" s="1240"/>
      <c r="O4" s="1240"/>
      <c r="P4" s="3040" t="s">
        <v>2345</v>
      </c>
      <c r="Q4" s="2990"/>
      <c r="R4" s="2995" t="s">
        <v>2341</v>
      </c>
      <c r="S4" s="2996"/>
      <c r="T4" s="2995" t="s">
        <v>2342</v>
      </c>
      <c r="U4" s="2996"/>
      <c r="V4" s="3001" t="s">
        <v>2343</v>
      </c>
      <c r="W4" s="3001"/>
      <c r="X4" s="1896"/>
      <c r="Y4" s="2995" t="s">
        <v>2345</v>
      </c>
      <c r="Z4" s="2996"/>
      <c r="AA4" s="2982" t="s">
        <v>2341</v>
      </c>
      <c r="AB4" s="2983" t="s">
        <v>2342</v>
      </c>
      <c r="AC4" s="2982" t="s">
        <v>2343</v>
      </c>
    </row>
    <row r="5" spans="1:30" ht="15">
      <c r="A5" s="383"/>
      <c r="B5" s="384"/>
      <c r="C5" s="3004" t="s">
        <v>2346</v>
      </c>
      <c r="D5" s="2979"/>
      <c r="E5" s="3058" t="s">
        <v>2347</v>
      </c>
      <c r="F5" s="3003"/>
      <c r="G5" s="3004" t="s">
        <v>2348</v>
      </c>
      <c r="H5" s="2979"/>
      <c r="I5" s="3004" t="s">
        <v>2349</v>
      </c>
      <c r="J5" s="2979"/>
      <c r="K5" s="594"/>
      <c r="L5" s="1239"/>
      <c r="M5" s="1240"/>
      <c r="N5" s="1240"/>
      <c r="O5" s="1240"/>
      <c r="P5" s="3041"/>
      <c r="Q5" s="2992"/>
      <c r="R5" s="2997"/>
      <c r="S5" s="2998"/>
      <c r="T5" s="2997"/>
      <c r="U5" s="2998"/>
      <c r="V5" s="3001"/>
      <c r="W5" s="3001"/>
      <c r="X5" s="1896"/>
      <c r="Y5" s="2997"/>
      <c r="Z5" s="2998"/>
      <c r="AA5" s="2983"/>
      <c r="AB5" s="2983"/>
      <c r="AC5" s="2983"/>
    </row>
    <row r="6" spans="1:30" ht="15.75" thickBot="1">
      <c r="A6" s="385"/>
      <c r="B6" s="386"/>
      <c r="C6" s="2975" t="s">
        <v>2350</v>
      </c>
      <c r="D6" s="2976"/>
      <c r="E6" s="2973" t="s">
        <v>2350</v>
      </c>
      <c r="F6" s="2974"/>
      <c r="G6" s="2975" t="s">
        <v>2350</v>
      </c>
      <c r="H6" s="2976"/>
      <c r="I6" s="2975" t="s">
        <v>2350</v>
      </c>
      <c r="J6" s="2976"/>
      <c r="K6" s="594" t="s">
        <v>2351</v>
      </c>
      <c r="L6" s="1239"/>
      <c r="M6" s="1240"/>
      <c r="N6" s="1240"/>
      <c r="O6" s="1240"/>
      <c r="P6" s="3042"/>
      <c r="Q6" s="2994"/>
      <c r="R6" s="2997"/>
      <c r="S6" s="2998"/>
      <c r="T6" s="2999"/>
      <c r="U6" s="3000"/>
      <c r="V6" s="3001"/>
      <c r="W6" s="3001"/>
      <c r="X6" s="1896"/>
      <c r="Y6" s="2999"/>
      <c r="Z6" s="3000"/>
      <c r="AA6" s="2984"/>
      <c r="AB6" s="2984"/>
      <c r="AC6" s="2984"/>
    </row>
    <row r="7" spans="1:30" s="35" customFormat="1" ht="15.75" thickBot="1">
      <c r="A7" s="387" t="s">
        <v>2352</v>
      </c>
      <c r="B7" s="388"/>
      <c r="C7" s="389">
        <f>'数据-取费表'!B2</f>
        <v>43257</v>
      </c>
      <c r="D7" s="390">
        <v>100</v>
      </c>
      <c r="E7" s="391"/>
      <c r="F7" s="392">
        <f>SUMIF(70:70,YEAR(E7)&amp;"-"&amp;INT((MONTH(E7)+2)/3),71:71)</f>
        <v>0</v>
      </c>
      <c r="G7" s="2459"/>
      <c r="H7" s="390">
        <f>SUMIF(70:70,YEAR(G7)&amp;"-"&amp;INT((MONTH(G7)+2)/3),71:71)</f>
        <v>0</v>
      </c>
      <c r="I7" s="2459"/>
      <c r="J7" s="390">
        <f>SUMIF(70:70,YEAR(I7)&amp;"-"&amp;INT((MONTH(I7)+2)/3),71:71)</f>
        <v>0</v>
      </c>
      <c r="K7" s="595"/>
      <c r="L7" s="1241"/>
      <c r="M7" s="1242"/>
      <c r="N7" s="1242"/>
      <c r="O7" s="1242"/>
      <c r="P7" s="3005" t="s">
        <v>2353</v>
      </c>
      <c r="Q7" s="2980"/>
      <c r="R7" s="749" t="s">
        <v>25</v>
      </c>
      <c r="S7" s="750">
        <f t="shared" ref="S7:S15" si="0">F7</f>
        <v>0</v>
      </c>
      <c r="T7" s="749" t="s">
        <v>25</v>
      </c>
      <c r="U7" s="750">
        <f t="shared" ref="U7:U15" si="1">H7</f>
        <v>0</v>
      </c>
      <c r="V7" s="749" t="s">
        <v>25</v>
      </c>
      <c r="W7" s="750">
        <f t="shared" ref="W7:W15" si="2">J7</f>
        <v>0</v>
      </c>
      <c r="X7" s="751"/>
      <c r="Y7" s="3005" t="s">
        <v>2353</v>
      </c>
      <c r="Z7" s="2981"/>
      <c r="AA7" s="752" t="e">
        <f>D7/F7</f>
        <v>#DIV/0!</v>
      </c>
      <c r="AB7" s="752" t="e">
        <f>D7/H7</f>
        <v>#DIV/0!</v>
      </c>
      <c r="AC7" s="752" t="e">
        <f>D7/J7</f>
        <v>#DIV/0!</v>
      </c>
    </row>
    <row r="8" spans="1:30" s="35" customFormat="1" ht="15.75" thickBot="1">
      <c r="A8" s="387" t="s">
        <v>2354</v>
      </c>
      <c r="B8" s="388"/>
      <c r="C8" s="394" t="s">
        <v>2545</v>
      </c>
      <c r="D8" s="390">
        <v>100</v>
      </c>
      <c r="E8" s="394"/>
      <c r="F8" s="392">
        <f>SUMIF(73:73,E8,74:74)-SUMIF(73:73,C8,74:74)+100</f>
        <v>0</v>
      </c>
      <c r="G8" s="394"/>
      <c r="H8" s="390">
        <f>SUMIF(73:73,G8,74:74)-SUMIF(73:73,C8,74:74)+100</f>
        <v>0</v>
      </c>
      <c r="I8" s="394"/>
      <c r="J8" s="390">
        <f>SUMIF(73:73,I8,74:74)-SUMIF(73:73,C8,74:74)+100</f>
        <v>0</v>
      </c>
      <c r="K8" s="595"/>
      <c r="L8" s="1241"/>
      <c r="M8" s="1242"/>
      <c r="N8" s="1242"/>
      <c r="O8" s="1242"/>
      <c r="P8" s="3005" t="s">
        <v>2356</v>
      </c>
      <c r="Q8" s="2981"/>
      <c r="R8" s="749" t="s">
        <v>25</v>
      </c>
      <c r="S8" s="750">
        <f t="shared" si="0"/>
        <v>0</v>
      </c>
      <c r="T8" s="749" t="s">
        <v>25</v>
      </c>
      <c r="U8" s="750">
        <f t="shared" si="1"/>
        <v>0</v>
      </c>
      <c r="V8" s="749" t="s">
        <v>25</v>
      </c>
      <c r="W8" s="750">
        <f t="shared" si="2"/>
        <v>0</v>
      </c>
      <c r="X8" s="751"/>
      <c r="Y8" s="3005" t="s">
        <v>2356</v>
      </c>
      <c r="Z8" s="2981"/>
      <c r="AA8" s="752" t="e">
        <f t="shared" ref="AA8:AA45" si="3">D8/F8</f>
        <v>#DIV/0!</v>
      </c>
      <c r="AB8" s="752" t="e">
        <f t="shared" ref="AB8:AB45" si="4">D8/H8</f>
        <v>#DIV/0!</v>
      </c>
      <c r="AC8" s="752" t="e">
        <f t="shared" ref="AC8:AC45" si="5">D8/J8</f>
        <v>#DIV/0!</v>
      </c>
    </row>
    <row r="9" spans="1:30" s="35" customFormat="1">
      <c r="A9" s="395" t="s">
        <v>2357</v>
      </c>
      <c r="B9" s="28" t="s">
        <v>2358</v>
      </c>
      <c r="C9" s="2477"/>
      <c r="D9" s="51">
        <v>100</v>
      </c>
      <c r="E9" s="2477"/>
      <c r="F9" s="51">
        <f>SUMIF(75:75,E9,76:76)-SUMIF(75:75,C9,76:76)+100</f>
        <v>100</v>
      </c>
      <c r="G9" s="2477"/>
      <c r="H9" s="51">
        <f>SUMIF(75:75,G9,76:76)-SUMIF(75:75,C9,76:76)+100</f>
        <v>100</v>
      </c>
      <c r="I9" s="2477"/>
      <c r="J9" s="51">
        <f>SUMIF(75:75,I9,76:76)-SUMIF(75:75,C9,76:76)+100</f>
        <v>100</v>
      </c>
      <c r="K9" s="595"/>
      <c r="L9" s="1241"/>
      <c r="M9" s="1242"/>
      <c r="N9" s="1242"/>
      <c r="O9" s="1243"/>
      <c r="P9" s="3013" t="s">
        <v>2359</v>
      </c>
      <c r="Q9" s="1883" t="str">
        <f t="shared" ref="Q9:Q15" si="6">B9</f>
        <v>用途</v>
      </c>
      <c r="R9" s="749" t="s">
        <v>25</v>
      </c>
      <c r="S9" s="750">
        <f t="shared" si="0"/>
        <v>100</v>
      </c>
      <c r="T9" s="749" t="s">
        <v>25</v>
      </c>
      <c r="U9" s="750">
        <f t="shared" si="1"/>
        <v>100</v>
      </c>
      <c r="V9" s="749" t="s">
        <v>25</v>
      </c>
      <c r="W9" s="750">
        <f t="shared" si="2"/>
        <v>100</v>
      </c>
      <c r="X9" s="751"/>
      <c r="Y9" s="2853" t="s">
        <v>2360</v>
      </c>
      <c r="Z9" s="23" t="str">
        <f t="shared" ref="Z9:Z15" si="7">Q9</f>
        <v>用途</v>
      </c>
      <c r="AA9" s="752">
        <f t="shared" si="3"/>
        <v>1</v>
      </c>
      <c r="AB9" s="752">
        <f t="shared" si="4"/>
        <v>1</v>
      </c>
      <c r="AC9" s="752">
        <f t="shared" si="5"/>
        <v>1</v>
      </c>
    </row>
    <row r="10" spans="1:30" s="407" customFormat="1" ht="27">
      <c r="A10" s="401"/>
      <c r="B10" s="402" t="s">
        <v>2361</v>
      </c>
      <c r="C10" s="412"/>
      <c r="D10" s="52">
        <v>100</v>
      </c>
      <c r="E10" s="446"/>
      <c r="F10" s="52">
        <f>ROUND(100/'数据-取费表'!B14,0)</f>
        <v>104</v>
      </c>
      <c r="G10" s="444"/>
      <c r="H10" s="52">
        <f>ROUND(100/'数据-取费表'!B14,0)</f>
        <v>104</v>
      </c>
      <c r="I10" s="444"/>
      <c r="J10" s="52">
        <f>ROUND(100/'数据-取费表'!B14,0)</f>
        <v>104</v>
      </c>
      <c r="K10" s="655"/>
      <c r="L10" s="1244"/>
      <c r="M10" s="1245"/>
      <c r="N10" s="1245"/>
      <c r="O10" s="1246"/>
      <c r="P10" s="3013"/>
      <c r="Q10" s="1883" t="str">
        <f t="shared" si="6"/>
        <v>土地使用年限（年）</v>
      </c>
      <c r="R10" s="749" t="s">
        <v>25</v>
      </c>
      <c r="S10" s="750">
        <f t="shared" si="0"/>
        <v>104</v>
      </c>
      <c r="T10" s="749" t="s">
        <v>25</v>
      </c>
      <c r="U10" s="750">
        <f t="shared" si="1"/>
        <v>104</v>
      </c>
      <c r="V10" s="749" t="s">
        <v>25</v>
      </c>
      <c r="W10" s="750">
        <f t="shared" si="2"/>
        <v>104</v>
      </c>
      <c r="X10" s="751"/>
      <c r="Y10" s="2853"/>
      <c r="Z10" s="23" t="str">
        <f t="shared" si="7"/>
        <v>土地使用年限（年）</v>
      </c>
      <c r="AA10" s="752">
        <f t="shared" si="3"/>
        <v>0.96153846153846156</v>
      </c>
      <c r="AB10" s="752">
        <f t="shared" si="4"/>
        <v>0.96153846153846156</v>
      </c>
      <c r="AC10" s="752">
        <f t="shared" si="5"/>
        <v>0.96153846153846156</v>
      </c>
    </row>
    <row r="11" spans="1:30" ht="15">
      <c r="A11" s="408"/>
      <c r="B11" s="402" t="s">
        <v>2362</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3013"/>
      <c r="Q11" s="1883" t="str">
        <f t="shared" si="6"/>
        <v>容积率</v>
      </c>
      <c r="R11" s="749" t="s">
        <v>25</v>
      </c>
      <c r="S11" s="750" t="e">
        <f t="shared" si="0"/>
        <v>#N/A</v>
      </c>
      <c r="T11" s="749" t="s">
        <v>25</v>
      </c>
      <c r="U11" s="750" t="e">
        <f t="shared" si="1"/>
        <v>#N/A</v>
      </c>
      <c r="V11" s="749" t="s">
        <v>25</v>
      </c>
      <c r="W11" s="750" t="e">
        <f t="shared" si="2"/>
        <v>#N/A</v>
      </c>
      <c r="X11" s="751"/>
      <c r="Y11" s="2853"/>
      <c r="Z11" s="23" t="str">
        <f t="shared" si="7"/>
        <v>容积率</v>
      </c>
      <c r="AA11" s="752" t="e">
        <f t="shared" si="3"/>
        <v>#N/A</v>
      </c>
      <c r="AB11" s="752" t="e">
        <f t="shared" si="4"/>
        <v>#N/A</v>
      </c>
      <c r="AC11" s="752" t="e">
        <f t="shared" si="5"/>
        <v>#N/A</v>
      </c>
    </row>
    <row r="12" spans="1:30" s="35" customFormat="1" ht="15">
      <c r="A12" s="411"/>
      <c r="B12" s="2392" t="s">
        <v>2546</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3013"/>
      <c r="Q12" s="1883" t="str">
        <f t="shared" si="6"/>
        <v>配建</v>
      </c>
      <c r="R12" s="749" t="s">
        <v>25</v>
      </c>
      <c r="S12" s="750">
        <f t="shared" si="0"/>
        <v>100</v>
      </c>
      <c r="T12" s="749" t="s">
        <v>25</v>
      </c>
      <c r="U12" s="750">
        <f t="shared" si="1"/>
        <v>100</v>
      </c>
      <c r="V12" s="749" t="s">
        <v>25</v>
      </c>
      <c r="W12" s="750">
        <f t="shared" si="2"/>
        <v>100</v>
      </c>
      <c r="X12" s="751"/>
      <c r="Y12" s="2853"/>
      <c r="Z12" s="23" t="str">
        <f t="shared" si="7"/>
        <v>配建</v>
      </c>
      <c r="AA12" s="752">
        <f>D12/F12</f>
        <v>1</v>
      </c>
      <c r="AB12" s="752">
        <f>D12/H12</f>
        <v>1</v>
      </c>
      <c r="AC12" s="752">
        <f>D12/J12</f>
        <v>1</v>
      </c>
    </row>
    <row r="13" spans="1:30" ht="15">
      <c r="A13" s="408"/>
      <c r="B13" s="2392">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3013"/>
      <c r="Q13" s="1883">
        <f t="shared" si="6"/>
        <v>111</v>
      </c>
      <c r="R13" s="749" t="s">
        <v>25</v>
      </c>
      <c r="S13" s="750">
        <f t="shared" si="0"/>
        <v>100</v>
      </c>
      <c r="T13" s="749" t="s">
        <v>25</v>
      </c>
      <c r="U13" s="750">
        <f t="shared" si="1"/>
        <v>100</v>
      </c>
      <c r="V13" s="749" t="s">
        <v>25</v>
      </c>
      <c r="W13" s="750">
        <f t="shared" si="2"/>
        <v>100</v>
      </c>
      <c r="X13" s="751"/>
      <c r="Y13" s="2853"/>
      <c r="Z13" s="23">
        <f t="shared" si="7"/>
        <v>111</v>
      </c>
      <c r="AA13" s="752">
        <f>D13/F13</f>
        <v>1</v>
      </c>
      <c r="AB13" s="752">
        <f>D13/H13</f>
        <v>1</v>
      </c>
      <c r="AC13" s="752">
        <f>D13/J13</f>
        <v>1</v>
      </c>
    </row>
    <row r="14" spans="1:30" ht="15.75" thickBot="1">
      <c r="A14" s="416"/>
      <c r="B14" s="2394">
        <v>111</v>
      </c>
      <c r="C14" s="2395"/>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3013"/>
      <c r="Q14" s="1883">
        <f t="shared" si="6"/>
        <v>111</v>
      </c>
      <c r="R14" s="749" t="s">
        <v>25</v>
      </c>
      <c r="S14" s="750">
        <f t="shared" si="0"/>
        <v>100</v>
      </c>
      <c r="T14" s="749" t="s">
        <v>25</v>
      </c>
      <c r="U14" s="750">
        <f t="shared" si="1"/>
        <v>100</v>
      </c>
      <c r="V14" s="749" t="s">
        <v>25</v>
      </c>
      <c r="W14" s="750">
        <f t="shared" si="2"/>
        <v>100</v>
      </c>
      <c r="X14" s="751"/>
      <c r="Y14" s="2853"/>
      <c r="Z14" s="23">
        <f t="shared" si="7"/>
        <v>111</v>
      </c>
      <c r="AA14" s="752">
        <f>D14/F14</f>
        <v>1</v>
      </c>
      <c r="AB14" s="752">
        <f>D14/H14</f>
        <v>1</v>
      </c>
      <c r="AC14" s="752">
        <f>D14/J14</f>
        <v>1</v>
      </c>
    </row>
    <row r="15" spans="1:30" ht="15">
      <c r="A15" s="380" t="s">
        <v>2363</v>
      </c>
      <c r="B15" s="1483" t="s">
        <v>1739</v>
      </c>
      <c r="C15" s="2460" t="str">
        <f>估价对象房地状况!C15</f>
        <v>——</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006" t="s">
        <v>2364</v>
      </c>
      <c r="Q15" s="1895" t="str">
        <f t="shared" si="6"/>
        <v>居住社区成熟度</v>
      </c>
      <c r="R15" s="753" t="s">
        <v>25</v>
      </c>
      <c r="S15" s="754">
        <f t="shared" si="0"/>
        <v>100</v>
      </c>
      <c r="T15" s="753" t="s">
        <v>25</v>
      </c>
      <c r="U15" s="754">
        <f t="shared" si="1"/>
        <v>100</v>
      </c>
      <c r="V15" s="753" t="s">
        <v>25</v>
      </c>
      <c r="W15" s="754">
        <f t="shared" si="2"/>
        <v>100</v>
      </c>
      <c r="X15" s="1896"/>
      <c r="Y15" s="3006" t="s">
        <v>2364</v>
      </c>
      <c r="Z15" s="1898" t="str">
        <f t="shared" si="7"/>
        <v>居住社区成熟度</v>
      </c>
      <c r="AA15" s="1899">
        <f t="shared" si="3"/>
        <v>1</v>
      </c>
      <c r="AB15" s="1899">
        <f t="shared" si="4"/>
        <v>1</v>
      </c>
      <c r="AC15" s="1899">
        <f t="shared" si="5"/>
        <v>1</v>
      </c>
    </row>
    <row r="16" spans="1:30" ht="15">
      <c r="A16" s="383"/>
      <c r="B16" s="1484"/>
      <c r="C16" s="1468"/>
      <c r="D16" s="427"/>
      <c r="E16" s="428"/>
      <c r="F16" s="427"/>
      <c r="G16" s="428"/>
      <c r="H16" s="430"/>
      <c r="I16" s="2397"/>
      <c r="J16" s="427"/>
      <c r="K16" s="655"/>
      <c r="L16" s="1249"/>
      <c r="M16" s="1240"/>
      <c r="N16" s="1240"/>
      <c r="O16" s="1248"/>
      <c r="P16" s="3007"/>
      <c r="Q16" s="1895"/>
      <c r="R16" s="753"/>
      <c r="S16" s="754"/>
      <c r="T16" s="753"/>
      <c r="U16" s="754"/>
      <c r="V16" s="753"/>
      <c r="W16" s="754"/>
      <c r="X16" s="1896"/>
      <c r="Y16" s="3007"/>
      <c r="Z16" s="1898"/>
      <c r="AA16" s="1899">
        <v>1</v>
      </c>
      <c r="AB16" s="1899">
        <v>1</v>
      </c>
      <c r="AC16" s="1899">
        <v>1</v>
      </c>
    </row>
    <row r="17" spans="1:29" ht="15">
      <c r="A17" s="383"/>
      <c r="B17" s="1485" t="s">
        <v>2449</v>
      </c>
      <c r="C17" s="2478" t="str">
        <f>估价对象房地状况!C16</f>
        <v>——</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007"/>
      <c r="Q17" s="1895" t="str">
        <f>B17</f>
        <v>商业繁华度</v>
      </c>
      <c r="R17" s="753" t="s">
        <v>25</v>
      </c>
      <c r="S17" s="754">
        <f>F17</f>
        <v>100</v>
      </c>
      <c r="T17" s="753" t="s">
        <v>25</v>
      </c>
      <c r="U17" s="754">
        <f>H17</f>
        <v>100</v>
      </c>
      <c r="V17" s="753" t="s">
        <v>25</v>
      </c>
      <c r="W17" s="754">
        <f>J17</f>
        <v>100</v>
      </c>
      <c r="X17" s="1896"/>
      <c r="Y17" s="3007"/>
      <c r="Z17" s="1898" t="str">
        <f>Q17</f>
        <v>商业繁华度</v>
      </c>
      <c r="AA17" s="1899">
        <f t="shared" si="3"/>
        <v>1</v>
      </c>
      <c r="AB17" s="1899">
        <f t="shared" si="4"/>
        <v>1</v>
      </c>
      <c r="AC17" s="1899">
        <f t="shared" si="5"/>
        <v>1</v>
      </c>
    </row>
    <row r="18" spans="1:29" ht="15">
      <c r="A18" s="383"/>
      <c r="B18" s="1486"/>
      <c r="C18" s="2462"/>
      <c r="D18" s="430"/>
      <c r="E18" s="1464"/>
      <c r="F18" s="430"/>
      <c r="G18" s="1464"/>
      <c r="H18" s="427"/>
      <c r="I18" s="2400"/>
      <c r="J18" s="427"/>
      <c r="K18" s="655"/>
      <c r="L18" s="1249"/>
      <c r="M18" s="1240"/>
      <c r="N18" s="1240"/>
      <c r="O18" s="1248"/>
      <c r="P18" s="3007"/>
      <c r="Q18" s="1895"/>
      <c r="R18" s="753"/>
      <c r="S18" s="754"/>
      <c r="T18" s="753"/>
      <c r="U18" s="754"/>
      <c r="V18" s="753"/>
      <c r="W18" s="754"/>
      <c r="X18" s="1896"/>
      <c r="Y18" s="3007"/>
      <c r="Z18" s="1898"/>
      <c r="AA18" s="1899">
        <v>1</v>
      </c>
      <c r="AB18" s="1899">
        <v>1</v>
      </c>
      <c r="AC18" s="1899">
        <v>1</v>
      </c>
    </row>
    <row r="19" spans="1:29" ht="85.5">
      <c r="A19" s="383"/>
      <c r="B19" s="1485" t="s">
        <v>2478</v>
      </c>
      <c r="C19" s="2478" t="str">
        <f>估价对象房地状况!C17</f>
        <v>估价对象位于北京市副中心西北部，周边办公楼项目较少，入驻率一般，办公集聚程度较差</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007"/>
      <c r="Q19" s="1895" t="str">
        <f>B19</f>
        <v>办公集聚程度</v>
      </c>
      <c r="R19" s="753" t="s">
        <v>25</v>
      </c>
      <c r="S19" s="754">
        <f>F19</f>
        <v>100</v>
      </c>
      <c r="T19" s="753" t="s">
        <v>25</v>
      </c>
      <c r="U19" s="754">
        <f>H19</f>
        <v>100</v>
      </c>
      <c r="V19" s="753" t="s">
        <v>25</v>
      </c>
      <c r="W19" s="754">
        <f>J19</f>
        <v>100</v>
      </c>
      <c r="X19" s="1896"/>
      <c r="Y19" s="3007"/>
      <c r="Z19" s="1898" t="str">
        <f>Q19</f>
        <v>办公集聚程度</v>
      </c>
      <c r="AA19" s="1899">
        <f t="shared" si="3"/>
        <v>1</v>
      </c>
      <c r="AB19" s="1899">
        <f t="shared" si="4"/>
        <v>1</v>
      </c>
      <c r="AC19" s="1899">
        <f t="shared" si="5"/>
        <v>1</v>
      </c>
    </row>
    <row r="20" spans="1:29" ht="15">
      <c r="A20" s="383"/>
      <c r="B20" s="1486"/>
      <c r="C20" s="1468"/>
      <c r="D20" s="427"/>
      <c r="E20" s="428"/>
      <c r="F20" s="427"/>
      <c r="G20" s="428"/>
      <c r="H20" s="427"/>
      <c r="I20" s="2397"/>
      <c r="J20" s="427"/>
      <c r="K20" s="655"/>
      <c r="L20" s="1249"/>
      <c r="M20" s="1240"/>
      <c r="N20" s="1240"/>
      <c r="O20" s="1248"/>
      <c r="P20" s="3007"/>
      <c r="Q20" s="1895"/>
      <c r="R20" s="753"/>
      <c r="S20" s="754"/>
      <c r="T20" s="753"/>
      <c r="U20" s="754"/>
      <c r="V20" s="753"/>
      <c r="W20" s="754"/>
      <c r="X20" s="1896"/>
      <c r="Y20" s="3007"/>
      <c r="Z20" s="1898"/>
      <c r="AA20" s="1899">
        <v>1</v>
      </c>
      <c r="AB20" s="1899">
        <v>1</v>
      </c>
      <c r="AC20" s="1899">
        <v>1</v>
      </c>
    </row>
    <row r="21" spans="1:29" ht="114">
      <c r="A21" s="383"/>
      <c r="B21" s="1485" t="s">
        <v>2507</v>
      </c>
      <c r="C21" s="2461" t="str">
        <f>估价对象房地状况!C18</f>
        <v>估价对象周边道路状况为临近金榆路、通8路、快专55路公交线路经过、停车便捷程度较好，综合评价交通便捷度一般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007"/>
      <c r="Q21" s="1895" t="str">
        <f>B21</f>
        <v>交通便捷度</v>
      </c>
      <c r="R21" s="753" t="s">
        <v>25</v>
      </c>
      <c r="S21" s="754">
        <f>F21</f>
        <v>100</v>
      </c>
      <c r="T21" s="753" t="s">
        <v>25</v>
      </c>
      <c r="U21" s="754">
        <f>H21</f>
        <v>100</v>
      </c>
      <c r="V21" s="753" t="s">
        <v>25</v>
      </c>
      <c r="W21" s="754">
        <f>J21</f>
        <v>100</v>
      </c>
      <c r="X21" s="1896"/>
      <c r="Y21" s="3007"/>
      <c r="Z21" s="1898" t="str">
        <f>Q21</f>
        <v>交通便捷度</v>
      </c>
      <c r="AA21" s="1899">
        <f t="shared" si="3"/>
        <v>1</v>
      </c>
      <c r="AB21" s="1899">
        <f t="shared" si="4"/>
        <v>1</v>
      </c>
      <c r="AC21" s="1899">
        <f t="shared" si="5"/>
        <v>1</v>
      </c>
    </row>
    <row r="22" spans="1:29" ht="15">
      <c r="A22" s="383"/>
      <c r="B22" s="1487"/>
      <c r="C22" s="1468"/>
      <c r="D22" s="430"/>
      <c r="E22" s="428"/>
      <c r="F22" s="427"/>
      <c r="G22" s="428"/>
      <c r="H22" s="427"/>
      <c r="I22" s="2397"/>
      <c r="J22" s="427"/>
      <c r="K22" s="655"/>
      <c r="L22" s="1249"/>
      <c r="M22" s="1240"/>
      <c r="N22" s="1240"/>
      <c r="O22" s="1248"/>
      <c r="P22" s="3007"/>
      <c r="Q22" s="1895"/>
      <c r="R22" s="753"/>
      <c r="S22" s="754"/>
      <c r="T22" s="753"/>
      <c r="U22" s="754"/>
      <c r="V22" s="753"/>
      <c r="W22" s="754"/>
      <c r="X22" s="1896"/>
      <c r="Y22" s="3007"/>
      <c r="Z22" s="1898"/>
      <c r="AA22" s="1899">
        <v>1</v>
      </c>
      <c r="AB22" s="1899">
        <v>1</v>
      </c>
      <c r="AC22" s="1899">
        <v>1</v>
      </c>
    </row>
    <row r="23" spans="1:29" ht="15">
      <c r="A23" s="383"/>
      <c r="B23" s="1488" t="s">
        <v>2547</v>
      </c>
      <c r="C23" s="2479">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007"/>
      <c r="Q23" s="1895" t="str">
        <f t="shared" ref="Q23:Q37" si="8">B23</f>
        <v>区域土地利用方向</v>
      </c>
      <c r="R23" s="753" t="s">
        <v>25</v>
      </c>
      <c r="S23" s="754">
        <f>F23</f>
        <v>100</v>
      </c>
      <c r="T23" s="753" t="s">
        <v>25</v>
      </c>
      <c r="U23" s="754">
        <f>H23</f>
        <v>100</v>
      </c>
      <c r="V23" s="753" t="s">
        <v>25</v>
      </c>
      <c r="W23" s="754">
        <f>J23</f>
        <v>100</v>
      </c>
      <c r="X23" s="1896"/>
      <c r="Y23" s="3007"/>
      <c r="Z23" s="1898" t="str">
        <f>Q23</f>
        <v>区域土地利用方向</v>
      </c>
      <c r="AA23" s="1899">
        <f t="shared" si="3"/>
        <v>1</v>
      </c>
      <c r="AB23" s="1899">
        <f t="shared" si="4"/>
        <v>1</v>
      </c>
      <c r="AC23" s="1899">
        <f t="shared" si="5"/>
        <v>1</v>
      </c>
    </row>
    <row r="24" spans="1:29" ht="15">
      <c r="A24" s="383"/>
      <c r="B24" s="1489"/>
      <c r="C24" s="618"/>
      <c r="D24" s="427"/>
      <c r="E24" s="428"/>
      <c r="F24" s="427"/>
      <c r="G24" s="2397"/>
      <c r="H24" s="427"/>
      <c r="I24" s="2397"/>
      <c r="J24" s="427"/>
      <c r="K24" s="804"/>
      <c r="L24" s="1249"/>
      <c r="M24" s="1240"/>
      <c r="N24" s="1240"/>
      <c r="O24" s="1248"/>
      <c r="P24" s="3007"/>
      <c r="Q24" s="1895"/>
      <c r="R24" s="753"/>
      <c r="S24" s="754"/>
      <c r="T24" s="753"/>
      <c r="U24" s="754"/>
      <c r="V24" s="753"/>
      <c r="W24" s="754"/>
      <c r="X24" s="1896"/>
      <c r="Y24" s="3007"/>
      <c r="Z24" s="1898"/>
      <c r="AA24" s="1899"/>
      <c r="AB24" s="1899"/>
      <c r="AC24" s="1899"/>
    </row>
    <row r="25" spans="1:29" ht="85.5">
      <c r="A25" s="383"/>
      <c r="B25" s="1487" t="s">
        <v>2548</v>
      </c>
      <c r="C25" s="2478" t="str">
        <f>估价对象房地状况!C20</f>
        <v>区域2公里内有自然环境：温榆河；人文环境：北京物资学院；综合评价环境状况较好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007"/>
      <c r="Q25" s="1895" t="str">
        <f t="shared" si="8"/>
        <v>自然及人文环境状况</v>
      </c>
      <c r="R25" s="753" t="s">
        <v>25</v>
      </c>
      <c r="S25" s="754">
        <f>F25</f>
        <v>100</v>
      </c>
      <c r="T25" s="753" t="s">
        <v>25</v>
      </c>
      <c r="U25" s="754">
        <f>H25</f>
        <v>100</v>
      </c>
      <c r="V25" s="753" t="s">
        <v>25</v>
      </c>
      <c r="W25" s="754">
        <f>J25</f>
        <v>100</v>
      </c>
      <c r="X25" s="1896"/>
      <c r="Y25" s="3007"/>
      <c r="Z25" s="1898" t="str">
        <f>Q25</f>
        <v>自然及人文环境状况</v>
      </c>
      <c r="AA25" s="1899">
        <f t="shared" si="3"/>
        <v>1</v>
      </c>
      <c r="AB25" s="1899">
        <f t="shared" si="4"/>
        <v>1</v>
      </c>
      <c r="AC25" s="1899">
        <f t="shared" si="5"/>
        <v>1</v>
      </c>
    </row>
    <row r="26" spans="1:29" ht="15">
      <c r="A26" s="383"/>
      <c r="B26" s="1486"/>
      <c r="C26" s="1468"/>
      <c r="D26" s="427"/>
      <c r="E26" s="1468"/>
      <c r="F26" s="427"/>
      <c r="G26" s="1468"/>
      <c r="H26" s="427"/>
      <c r="I26" s="426"/>
      <c r="J26" s="427"/>
      <c r="K26" s="655"/>
      <c r="L26" s="1249"/>
      <c r="M26" s="1240"/>
      <c r="N26" s="1240"/>
      <c r="O26" s="1248"/>
      <c r="P26" s="3007"/>
      <c r="Q26" s="1895"/>
      <c r="R26" s="753"/>
      <c r="S26" s="754"/>
      <c r="T26" s="753"/>
      <c r="U26" s="754"/>
      <c r="V26" s="753"/>
      <c r="W26" s="754"/>
      <c r="X26" s="1896"/>
      <c r="Y26" s="3007"/>
      <c r="Z26" s="1898"/>
      <c r="AA26" s="1899">
        <v>1</v>
      </c>
      <c r="AB26" s="1899">
        <v>1</v>
      </c>
      <c r="AC26" s="1899">
        <v>1</v>
      </c>
    </row>
    <row r="27" spans="1:29" ht="42.75">
      <c r="A27" s="383"/>
      <c r="B27" s="1487" t="s">
        <v>2450</v>
      </c>
      <c r="C27" s="2461" t="str">
        <f>估价对象房地状况!C21</f>
        <v>估价对象所在区域公共配套设施齐备情况一般</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49"/>
      <c r="M27" s="1240"/>
      <c r="N27" s="1240"/>
      <c r="O27" s="1248"/>
      <c r="P27" s="3007"/>
      <c r="Q27" s="1883" t="str">
        <f t="shared" ref="Q27" si="9">B27</f>
        <v>公共配套设施</v>
      </c>
      <c r="R27" s="749" t="s">
        <v>25</v>
      </c>
      <c r="S27" s="750">
        <f>F27</f>
        <v>100</v>
      </c>
      <c r="T27" s="749" t="s">
        <v>25</v>
      </c>
      <c r="U27" s="750">
        <f>H27</f>
        <v>100</v>
      </c>
      <c r="V27" s="749" t="s">
        <v>25</v>
      </c>
      <c r="W27" s="750">
        <f>J27</f>
        <v>100</v>
      </c>
      <c r="X27" s="1896"/>
      <c r="Y27" s="3007"/>
      <c r="Z27" s="23" t="str">
        <f>Q27</f>
        <v>公共配套设施</v>
      </c>
      <c r="AA27" s="1899">
        <f>D27/F27</f>
        <v>1</v>
      </c>
      <c r="AB27" s="1899">
        <f>D27/H27</f>
        <v>1</v>
      </c>
      <c r="AC27" s="1899">
        <f>D27/J27</f>
        <v>1</v>
      </c>
    </row>
    <row r="28" spans="1:29" ht="15">
      <c r="A28" s="383"/>
      <c r="B28" s="1486"/>
      <c r="C28" s="2480"/>
      <c r="D28" s="427"/>
      <c r="E28" s="2480"/>
      <c r="F28" s="427"/>
      <c r="G28" s="2480"/>
      <c r="H28" s="427"/>
      <c r="I28" s="2480"/>
      <c r="J28" s="427"/>
      <c r="K28" s="655"/>
      <c r="L28" s="1249"/>
      <c r="M28" s="1240"/>
      <c r="N28" s="1240"/>
      <c r="O28" s="1248"/>
      <c r="P28" s="3007"/>
      <c r="Q28" s="1895"/>
      <c r="R28" s="753"/>
      <c r="S28" s="754"/>
      <c r="T28" s="753"/>
      <c r="U28" s="754"/>
      <c r="V28" s="753"/>
      <c r="W28" s="754"/>
      <c r="X28" s="1896"/>
      <c r="Y28" s="3007"/>
      <c r="Z28" s="23"/>
      <c r="AA28" s="1899">
        <v>1</v>
      </c>
      <c r="AB28" s="1899">
        <v>1</v>
      </c>
      <c r="AC28" s="1899">
        <v>1</v>
      </c>
    </row>
    <row r="29" spans="1:29" s="35" customFormat="1" ht="42.75">
      <c r="A29" s="633"/>
      <c r="B29" s="1487" t="s">
        <v>2451</v>
      </c>
      <c r="C29" s="2481"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1"/>
      <c r="M29" s="1242"/>
      <c r="N29" s="1242"/>
      <c r="O29" s="1243"/>
      <c r="P29" s="3007"/>
      <c r="Q29" s="1883" t="str">
        <f t="shared" si="8"/>
        <v>基础设施水平</v>
      </c>
      <c r="R29" s="749" t="s">
        <v>25</v>
      </c>
      <c r="S29" s="750">
        <f>F29</f>
        <v>100</v>
      </c>
      <c r="T29" s="749" t="s">
        <v>25</v>
      </c>
      <c r="U29" s="750">
        <f>H29</f>
        <v>100</v>
      </c>
      <c r="V29" s="749" t="s">
        <v>25</v>
      </c>
      <c r="W29" s="750">
        <f>J29</f>
        <v>100</v>
      </c>
      <c r="X29" s="751"/>
      <c r="Y29" s="3007"/>
      <c r="Z29" s="23" t="str">
        <f>Q29</f>
        <v>基础设施水平</v>
      </c>
      <c r="AA29" s="1899">
        <f>D29/F29</f>
        <v>1</v>
      </c>
      <c r="AB29" s="1899">
        <f>D29/H29</f>
        <v>1</v>
      </c>
      <c r="AC29" s="1899">
        <f>D29/J29</f>
        <v>1</v>
      </c>
    </row>
    <row r="30" spans="1:29" s="35" customFormat="1" ht="15">
      <c r="A30" s="633"/>
      <c r="B30" s="1486"/>
      <c r="C30" s="2480"/>
      <c r="D30" s="427"/>
      <c r="E30" s="2480"/>
      <c r="F30" s="427"/>
      <c r="G30" s="2480"/>
      <c r="H30" s="427"/>
      <c r="I30" s="2480"/>
      <c r="J30" s="427"/>
      <c r="K30" s="655"/>
      <c r="L30" s="1241"/>
      <c r="M30" s="1242"/>
      <c r="N30" s="1242"/>
      <c r="O30" s="1243"/>
      <c r="P30" s="3007"/>
      <c r="Q30" s="1883"/>
      <c r="R30" s="749"/>
      <c r="S30" s="750"/>
      <c r="T30" s="749"/>
      <c r="U30" s="750"/>
      <c r="V30" s="749"/>
      <c r="W30" s="750"/>
      <c r="X30" s="751"/>
      <c r="Y30" s="3007"/>
      <c r="Z30" s="23"/>
      <c r="AA30" s="1899">
        <v>1</v>
      </c>
      <c r="AB30" s="1899">
        <v>1</v>
      </c>
      <c r="AC30" s="1899">
        <v>1</v>
      </c>
    </row>
    <row r="31" spans="1:29" ht="15">
      <c r="A31" s="383"/>
      <c r="B31" s="1486"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9"/>
      <c r="M31" s="1240"/>
      <c r="N31" s="1240"/>
      <c r="O31" s="1248"/>
      <c r="P31" s="3007"/>
      <c r="Q31" s="1895" t="str">
        <f t="shared" si="8"/>
        <v>临街状况</v>
      </c>
      <c r="R31" s="753" t="s">
        <v>25</v>
      </c>
      <c r="S31" s="754">
        <f t="shared" ref="S31:S45" si="10">F31</f>
        <v>100</v>
      </c>
      <c r="T31" s="753" t="s">
        <v>25</v>
      </c>
      <c r="U31" s="754">
        <f t="shared" ref="U31:U45" si="11">H31</f>
        <v>100</v>
      </c>
      <c r="V31" s="753" t="s">
        <v>25</v>
      </c>
      <c r="W31" s="754">
        <f t="shared" ref="W31:W45" si="12">J31</f>
        <v>100</v>
      </c>
      <c r="X31" s="1896"/>
      <c r="Y31" s="3007"/>
      <c r="Z31" s="1898" t="str">
        <f t="shared" ref="Z31:Z45" si="13">Q31</f>
        <v>临街状况</v>
      </c>
      <c r="AA31" s="1899">
        <f t="shared" si="3"/>
        <v>1</v>
      </c>
      <c r="AB31" s="1899">
        <f t="shared" si="4"/>
        <v>1</v>
      </c>
      <c r="AC31" s="1899">
        <f t="shared" si="5"/>
        <v>1</v>
      </c>
    </row>
    <row r="32" spans="1:29" ht="27">
      <c r="A32" s="383"/>
      <c r="B32" s="1487"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007"/>
      <c r="Q32" s="1895" t="str">
        <f t="shared" si="8"/>
        <v>毗邻道路的类型与等级</v>
      </c>
      <c r="R32" s="753" t="s">
        <v>25</v>
      </c>
      <c r="S32" s="754">
        <f t="shared" si="10"/>
        <v>100</v>
      </c>
      <c r="T32" s="753" t="s">
        <v>25</v>
      </c>
      <c r="U32" s="754">
        <f t="shared" si="11"/>
        <v>100</v>
      </c>
      <c r="V32" s="753" t="s">
        <v>25</v>
      </c>
      <c r="W32" s="754">
        <f t="shared" si="12"/>
        <v>100</v>
      </c>
      <c r="X32" s="1896"/>
      <c r="Y32" s="3007"/>
      <c r="Z32" s="1898" t="str">
        <f t="shared" si="13"/>
        <v>毗邻道路的类型与等级</v>
      </c>
      <c r="AA32" s="1899">
        <f t="shared" si="3"/>
        <v>1</v>
      </c>
      <c r="AB32" s="1899">
        <f t="shared" si="4"/>
        <v>1</v>
      </c>
      <c r="AC32" s="1899">
        <f t="shared" si="5"/>
        <v>1</v>
      </c>
    </row>
    <row r="33" spans="1:29" ht="15">
      <c r="A33" s="383"/>
      <c r="B33" s="1486"/>
      <c r="C33" s="1468"/>
      <c r="D33" s="427"/>
      <c r="E33" s="1468"/>
      <c r="F33" s="427"/>
      <c r="G33" s="1468"/>
      <c r="H33" s="427"/>
      <c r="I33" s="426"/>
      <c r="J33" s="427"/>
      <c r="K33" s="597"/>
      <c r="L33" s="1249"/>
      <c r="M33" s="1240"/>
      <c r="N33" s="1240"/>
      <c r="O33" s="1248"/>
      <c r="P33" s="3007"/>
      <c r="Q33" s="1895"/>
      <c r="R33" s="753"/>
      <c r="S33" s="754"/>
      <c r="T33" s="753"/>
      <c r="U33" s="754"/>
      <c r="V33" s="753"/>
      <c r="W33" s="754"/>
      <c r="X33" s="1896"/>
      <c r="Y33" s="3007"/>
      <c r="Z33" s="1898"/>
      <c r="AA33" s="1899">
        <v>1</v>
      </c>
      <c r="AB33" s="1899">
        <v>1</v>
      </c>
      <c r="AC33" s="1899">
        <v>1</v>
      </c>
    </row>
    <row r="34" spans="1:29" ht="15">
      <c r="A34" s="383"/>
      <c r="B34" s="1490"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007"/>
      <c r="Q34" s="1895" t="str">
        <f t="shared" si="8"/>
        <v>土地级别</v>
      </c>
      <c r="R34" s="753" t="s">
        <v>25</v>
      </c>
      <c r="S34" s="754">
        <f t="shared" si="10"/>
        <v>100</v>
      </c>
      <c r="T34" s="753" t="s">
        <v>25</v>
      </c>
      <c r="U34" s="754">
        <f t="shared" si="11"/>
        <v>100</v>
      </c>
      <c r="V34" s="753" t="s">
        <v>25</v>
      </c>
      <c r="W34" s="754">
        <f t="shared" si="12"/>
        <v>100</v>
      </c>
      <c r="X34" s="1896"/>
      <c r="Y34" s="3007"/>
      <c r="Z34" s="1898" t="str">
        <f t="shared" si="13"/>
        <v>土地级别</v>
      </c>
      <c r="AA34" s="1899">
        <f t="shared" si="3"/>
        <v>1</v>
      </c>
      <c r="AB34" s="1899">
        <f t="shared" si="4"/>
        <v>1</v>
      </c>
      <c r="AC34" s="1899">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007"/>
      <c r="Q35" s="1895">
        <f t="shared" si="8"/>
        <v>111</v>
      </c>
      <c r="R35" s="753" t="s">
        <v>25</v>
      </c>
      <c r="S35" s="754">
        <f t="shared" si="10"/>
        <v>100</v>
      </c>
      <c r="T35" s="753" t="s">
        <v>25</v>
      </c>
      <c r="U35" s="754">
        <f t="shared" si="11"/>
        <v>100</v>
      </c>
      <c r="V35" s="753" t="s">
        <v>25</v>
      </c>
      <c r="W35" s="754">
        <f t="shared" si="12"/>
        <v>100</v>
      </c>
      <c r="X35" s="1896"/>
      <c r="Y35" s="3007"/>
      <c r="Z35" s="1898">
        <f t="shared" si="13"/>
        <v>111</v>
      </c>
      <c r="AA35" s="1899">
        <f t="shared" si="3"/>
        <v>1</v>
      </c>
      <c r="AB35" s="1899">
        <f t="shared" si="4"/>
        <v>1</v>
      </c>
      <c r="AC35" s="1899">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059" t="s">
        <v>2370</v>
      </c>
      <c r="Q36" s="1895">
        <f t="shared" si="8"/>
        <v>111</v>
      </c>
      <c r="R36" s="753" t="s">
        <v>25</v>
      </c>
      <c r="S36" s="754">
        <f t="shared" si="10"/>
        <v>100</v>
      </c>
      <c r="T36" s="753" t="s">
        <v>25</v>
      </c>
      <c r="U36" s="754">
        <f t="shared" si="11"/>
        <v>100</v>
      </c>
      <c r="V36" s="753" t="s">
        <v>25</v>
      </c>
      <c r="W36" s="754">
        <f t="shared" si="12"/>
        <v>100</v>
      </c>
      <c r="X36" s="1896"/>
      <c r="Y36" s="3011" t="s">
        <v>2370</v>
      </c>
      <c r="Z36" s="1898">
        <f t="shared" si="13"/>
        <v>111</v>
      </c>
      <c r="AA36" s="1899">
        <f t="shared" si="3"/>
        <v>1</v>
      </c>
      <c r="AB36" s="1899">
        <f t="shared" si="4"/>
        <v>1</v>
      </c>
      <c r="AC36" s="1899">
        <f t="shared" si="5"/>
        <v>1</v>
      </c>
    </row>
    <row r="37" spans="1:29" s="452" customFormat="1" ht="15.75"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3011"/>
      <c r="Q37" s="1895">
        <f t="shared" si="8"/>
        <v>111</v>
      </c>
      <c r="R37" s="756" t="s">
        <v>25</v>
      </c>
      <c r="S37" s="757">
        <f t="shared" si="10"/>
        <v>100</v>
      </c>
      <c r="T37" s="756" t="s">
        <v>25</v>
      </c>
      <c r="U37" s="757">
        <f t="shared" si="11"/>
        <v>100</v>
      </c>
      <c r="V37" s="756" t="s">
        <v>25</v>
      </c>
      <c r="W37" s="757">
        <f t="shared" si="12"/>
        <v>100</v>
      </c>
      <c r="X37" s="758"/>
      <c r="Y37" s="3011"/>
      <c r="Z37" s="759">
        <f t="shared" si="13"/>
        <v>111</v>
      </c>
      <c r="AA37" s="1899">
        <f t="shared" si="3"/>
        <v>1</v>
      </c>
      <c r="AB37" s="1899">
        <f t="shared" si="4"/>
        <v>1</v>
      </c>
      <c r="AC37" s="1899">
        <f t="shared" si="5"/>
        <v>1</v>
      </c>
    </row>
    <row r="38" spans="1:29" ht="15">
      <c r="A38" s="380" t="s">
        <v>2368</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3011"/>
      <c r="Q38" s="1895" t="str">
        <f>B38</f>
        <v>宗地面积</v>
      </c>
      <c r="R38" s="753" t="s">
        <v>25</v>
      </c>
      <c r="S38" s="754" t="e">
        <f t="shared" si="10"/>
        <v>#N/A</v>
      </c>
      <c r="T38" s="753" t="s">
        <v>25</v>
      </c>
      <c r="U38" s="754" t="e">
        <f t="shared" si="11"/>
        <v>#N/A</v>
      </c>
      <c r="V38" s="753" t="s">
        <v>25</v>
      </c>
      <c r="W38" s="754" t="e">
        <f t="shared" si="12"/>
        <v>#N/A</v>
      </c>
      <c r="X38" s="1896"/>
      <c r="Y38" s="3011"/>
      <c r="Z38" s="1898" t="str">
        <f t="shared" si="13"/>
        <v>宗地面积</v>
      </c>
      <c r="AA38" s="1899" t="e">
        <f t="shared" si="3"/>
        <v>#N/A</v>
      </c>
      <c r="AB38" s="1899" t="e">
        <f t="shared" si="4"/>
        <v>#N/A</v>
      </c>
      <c r="AC38" s="1899" t="e">
        <f t="shared" si="5"/>
        <v>#N/A</v>
      </c>
    </row>
    <row r="39" spans="1:29" ht="15">
      <c r="A39" s="453"/>
      <c r="B39" s="402" t="s">
        <v>2551</v>
      </c>
      <c r="C39" s="2404"/>
      <c r="D39" s="415">
        <v>100</v>
      </c>
      <c r="E39" s="2404"/>
      <c r="F39" s="415">
        <f>SUMIF(119:119,E39,120:120)-SUMIF(119:119,C39,120:120)+100</f>
        <v>100</v>
      </c>
      <c r="G39" s="2404"/>
      <c r="H39" s="415">
        <f>SUMIF(119:119,G39,120:120)-SUMIF(119:119,C39,120:120)+100</f>
        <v>100</v>
      </c>
      <c r="I39" s="2404"/>
      <c r="J39" s="415">
        <f>SUMIF(119:119,I39,120:120)-SUMIF(119:119,C39,120:120)+100</f>
        <v>100</v>
      </c>
      <c r="K39" s="596"/>
      <c r="L39" s="1249"/>
      <c r="M39" s="1240"/>
      <c r="N39" s="1240"/>
      <c r="O39" s="1248"/>
      <c r="P39" s="3011"/>
      <c r="Q39" s="1895" t="str">
        <f t="shared" ref="Q39:Q45" si="14">B39</f>
        <v>宗地形状</v>
      </c>
      <c r="R39" s="753" t="s">
        <v>25</v>
      </c>
      <c r="S39" s="754">
        <f t="shared" si="10"/>
        <v>100</v>
      </c>
      <c r="T39" s="753" t="s">
        <v>25</v>
      </c>
      <c r="U39" s="754">
        <f t="shared" si="11"/>
        <v>100</v>
      </c>
      <c r="V39" s="753" t="s">
        <v>25</v>
      </c>
      <c r="W39" s="754">
        <f t="shared" si="12"/>
        <v>100</v>
      </c>
      <c r="X39" s="1896"/>
      <c r="Y39" s="3011"/>
      <c r="Z39" s="1898" t="str">
        <f t="shared" si="13"/>
        <v>宗地形状</v>
      </c>
      <c r="AA39" s="1899">
        <f t="shared" si="3"/>
        <v>1</v>
      </c>
      <c r="AB39" s="1899">
        <f t="shared" si="4"/>
        <v>1</v>
      </c>
      <c r="AC39" s="1899">
        <f t="shared" si="5"/>
        <v>1</v>
      </c>
    </row>
    <row r="40" spans="1:29" ht="15">
      <c r="A40" s="453"/>
      <c r="B40" s="402" t="s">
        <v>2552</v>
      </c>
      <c r="C40" s="2404"/>
      <c r="D40" s="415">
        <v>100</v>
      </c>
      <c r="E40" s="2404"/>
      <c r="F40" s="415">
        <f>SUMIF(121:121,E40,122:122)-SUMIF(121:121,C40,122:122)+100</f>
        <v>100</v>
      </c>
      <c r="G40" s="2404"/>
      <c r="H40" s="415">
        <f>SUMIF(121:121,G40,122:122)-SUMIF(121:121,C40,122:122)+100</f>
        <v>100</v>
      </c>
      <c r="I40" s="2404"/>
      <c r="J40" s="415">
        <f>SUMIF(121:121,I40,122:122)-SUMIF(121:121,C40,122:122)+100</f>
        <v>100</v>
      </c>
      <c r="K40" s="596"/>
      <c r="L40" s="1249"/>
      <c r="M40" s="1240"/>
      <c r="N40" s="1240"/>
      <c r="O40" s="1248"/>
      <c r="P40" s="3011"/>
      <c r="Q40" s="1895" t="str">
        <f t="shared" si="14"/>
        <v>临街宽度及深度</v>
      </c>
      <c r="R40" s="753" t="s">
        <v>25</v>
      </c>
      <c r="S40" s="754">
        <f t="shared" si="10"/>
        <v>100</v>
      </c>
      <c r="T40" s="753" t="s">
        <v>25</v>
      </c>
      <c r="U40" s="754">
        <f t="shared" si="11"/>
        <v>100</v>
      </c>
      <c r="V40" s="753" t="s">
        <v>25</v>
      </c>
      <c r="W40" s="754">
        <f t="shared" si="12"/>
        <v>100</v>
      </c>
      <c r="X40" s="1896"/>
      <c r="Y40" s="3011"/>
      <c r="Z40" s="1898" t="str">
        <f t="shared" si="13"/>
        <v>临街宽度及深度</v>
      </c>
      <c r="AA40" s="1899">
        <f t="shared" si="3"/>
        <v>1</v>
      </c>
      <c r="AB40" s="1899">
        <f t="shared" si="4"/>
        <v>1</v>
      </c>
      <c r="AC40" s="1899">
        <f t="shared" si="5"/>
        <v>1</v>
      </c>
    </row>
    <row r="41" spans="1:29" s="35" customFormat="1" ht="15">
      <c r="A41" s="454"/>
      <c r="B41" s="402" t="s">
        <v>2553</v>
      </c>
      <c r="C41" s="2482"/>
      <c r="D41" s="52">
        <v>100</v>
      </c>
      <c r="E41" s="2482"/>
      <c r="F41" s="415">
        <f>SUMIF(123:123,E41,124:124)-SUMIF(123:123,C41,124:124)+100</f>
        <v>100</v>
      </c>
      <c r="G41" s="2482"/>
      <c r="H41" s="415">
        <f>SUMIF(123:123,G41,124:124)-SUMIF(123:123,C41,124:124)+100</f>
        <v>100</v>
      </c>
      <c r="I41" s="2482"/>
      <c r="J41" s="415">
        <f>SUMIF(123:123,I41,124:124)-SUMIF(123:123,C41,124:124)+100</f>
        <v>100</v>
      </c>
      <c r="K41" s="596"/>
      <c r="L41" s="1241"/>
      <c r="M41" s="1242"/>
      <c r="N41" s="1242"/>
      <c r="O41" s="1243"/>
      <c r="P41" s="3011"/>
      <c r="Q41" s="1895" t="str">
        <f t="shared" si="14"/>
        <v>宗地开发程度</v>
      </c>
      <c r="R41" s="749" t="s">
        <v>25</v>
      </c>
      <c r="S41" s="750">
        <f t="shared" si="10"/>
        <v>100</v>
      </c>
      <c r="T41" s="749" t="s">
        <v>25</v>
      </c>
      <c r="U41" s="750">
        <f t="shared" si="11"/>
        <v>100</v>
      </c>
      <c r="V41" s="749" t="s">
        <v>25</v>
      </c>
      <c r="W41" s="750">
        <f t="shared" si="12"/>
        <v>100</v>
      </c>
      <c r="X41" s="751"/>
      <c r="Y41" s="3011"/>
      <c r="Z41" s="23" t="str">
        <f t="shared" si="13"/>
        <v>宗地开发程度</v>
      </c>
      <c r="AA41" s="752">
        <f t="shared" si="3"/>
        <v>1</v>
      </c>
      <c r="AB41" s="752">
        <f t="shared" si="4"/>
        <v>1</v>
      </c>
      <c r="AC41" s="752">
        <f t="shared" si="5"/>
        <v>1</v>
      </c>
    </row>
    <row r="42" spans="1:29" ht="15">
      <c r="A42" s="453"/>
      <c r="B42" s="402" t="s">
        <v>2554</v>
      </c>
      <c r="C42" s="2404"/>
      <c r="D42" s="415">
        <v>100</v>
      </c>
      <c r="E42" s="2404"/>
      <c r="F42" s="415">
        <f>SUMIF(125:125,E42,126:126)-SUMIF(125:125,C42,126:126)+100</f>
        <v>100</v>
      </c>
      <c r="G42" s="2404"/>
      <c r="H42" s="415">
        <f>SUMIF(125:125,G42,126:126)-SUMIF(125:125,C42,126:126)+100</f>
        <v>100</v>
      </c>
      <c r="I42" s="2404"/>
      <c r="J42" s="415">
        <f>SUMIF(125:125,I42,126:126)-SUMIF(125:125,C42,126:126)+100</f>
        <v>100</v>
      </c>
      <c r="K42" s="596"/>
      <c r="L42" s="1249"/>
      <c r="M42" s="1240"/>
      <c r="N42" s="1240"/>
      <c r="O42" s="1248"/>
      <c r="P42" s="3011" t="s">
        <v>2370</v>
      </c>
      <c r="Q42" s="1895" t="str">
        <f t="shared" si="14"/>
        <v>工程地质条件</v>
      </c>
      <c r="R42" s="753" t="s">
        <v>25</v>
      </c>
      <c r="S42" s="754">
        <f t="shared" si="10"/>
        <v>100</v>
      </c>
      <c r="T42" s="753" t="s">
        <v>25</v>
      </c>
      <c r="U42" s="754">
        <f t="shared" si="11"/>
        <v>100</v>
      </c>
      <c r="V42" s="753" t="s">
        <v>25</v>
      </c>
      <c r="W42" s="754">
        <f t="shared" si="12"/>
        <v>100</v>
      </c>
      <c r="X42" s="1896"/>
      <c r="Y42" s="3011" t="s">
        <v>2370</v>
      </c>
      <c r="Z42" s="1898" t="str">
        <f t="shared" si="13"/>
        <v>工程地质条件</v>
      </c>
      <c r="AA42" s="1899">
        <f t="shared" si="3"/>
        <v>1</v>
      </c>
      <c r="AB42" s="1899">
        <f t="shared" si="4"/>
        <v>1</v>
      </c>
      <c r="AC42" s="1899">
        <f t="shared" si="5"/>
        <v>1</v>
      </c>
    </row>
    <row r="43" spans="1:29" ht="15">
      <c r="A43" s="453"/>
      <c r="B43" s="2483">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3011"/>
      <c r="Q43" s="1895">
        <f t="shared" si="14"/>
        <v>111</v>
      </c>
      <c r="R43" s="753" t="s">
        <v>25</v>
      </c>
      <c r="S43" s="754">
        <f t="shared" si="10"/>
        <v>100</v>
      </c>
      <c r="T43" s="753" t="s">
        <v>25</v>
      </c>
      <c r="U43" s="754">
        <f t="shared" si="11"/>
        <v>100</v>
      </c>
      <c r="V43" s="753" t="s">
        <v>25</v>
      </c>
      <c r="W43" s="754">
        <f t="shared" si="12"/>
        <v>100</v>
      </c>
      <c r="X43" s="1896"/>
      <c r="Y43" s="3011"/>
      <c r="Z43" s="1898">
        <f t="shared" si="13"/>
        <v>111</v>
      </c>
      <c r="AA43" s="1899">
        <f t="shared" si="3"/>
        <v>1</v>
      </c>
      <c r="AB43" s="1899">
        <f t="shared" si="4"/>
        <v>1</v>
      </c>
      <c r="AC43" s="1899">
        <f t="shared" si="5"/>
        <v>1</v>
      </c>
    </row>
    <row r="44" spans="1:29" ht="15">
      <c r="A44" s="453"/>
      <c r="B44" s="2483">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3011"/>
      <c r="Q44" s="1895">
        <f t="shared" si="14"/>
        <v>111</v>
      </c>
      <c r="R44" s="753" t="s">
        <v>25</v>
      </c>
      <c r="S44" s="754">
        <f t="shared" si="10"/>
        <v>100</v>
      </c>
      <c r="T44" s="753" t="s">
        <v>25</v>
      </c>
      <c r="U44" s="754">
        <f t="shared" si="11"/>
        <v>100</v>
      </c>
      <c r="V44" s="753" t="s">
        <v>25</v>
      </c>
      <c r="W44" s="754">
        <f t="shared" si="12"/>
        <v>100</v>
      </c>
      <c r="X44" s="1896"/>
      <c r="Y44" s="3011"/>
      <c r="Z44" s="1898">
        <f t="shared" si="13"/>
        <v>111</v>
      </c>
      <c r="AA44" s="1899">
        <f t="shared" si="3"/>
        <v>1</v>
      </c>
      <c r="AB44" s="1899">
        <f t="shared" si="4"/>
        <v>1</v>
      </c>
      <c r="AC44" s="1899">
        <f t="shared" si="5"/>
        <v>1</v>
      </c>
    </row>
    <row r="45" spans="1:29" s="452" customFormat="1" ht="15.75" thickBot="1">
      <c r="A45" s="449"/>
      <c r="B45" s="2483">
        <v>111</v>
      </c>
      <c r="C45" s="2484"/>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3011"/>
      <c r="Q45" s="1895">
        <f t="shared" si="14"/>
        <v>111</v>
      </c>
      <c r="R45" s="756" t="s">
        <v>25</v>
      </c>
      <c r="S45" s="757">
        <f t="shared" si="10"/>
        <v>100</v>
      </c>
      <c r="T45" s="756" t="s">
        <v>25</v>
      </c>
      <c r="U45" s="757">
        <f t="shared" si="11"/>
        <v>100</v>
      </c>
      <c r="V45" s="756" t="s">
        <v>25</v>
      </c>
      <c r="W45" s="757">
        <f t="shared" si="12"/>
        <v>100</v>
      </c>
      <c r="X45" s="758"/>
      <c r="Y45" s="3011"/>
      <c r="Z45" s="759">
        <f t="shared" si="13"/>
        <v>111</v>
      </c>
      <c r="AA45" s="1899">
        <f t="shared" si="3"/>
        <v>1</v>
      </c>
      <c r="AB45" s="1899">
        <f t="shared" si="4"/>
        <v>1</v>
      </c>
      <c r="AC45" s="1899">
        <f t="shared" si="5"/>
        <v>1</v>
      </c>
    </row>
    <row r="46" spans="1:29" ht="15">
      <c r="A46" s="460" t="s">
        <v>2518</v>
      </c>
      <c r="B46" s="2485" t="s">
        <v>2555</v>
      </c>
      <c r="C46" s="665" t="s">
        <v>1</v>
      </c>
      <c r="D46" s="462"/>
      <c r="E46" s="463"/>
      <c r="F46" s="464"/>
      <c r="G46" s="465"/>
      <c r="H46" s="466"/>
      <c r="I46" s="463"/>
      <c r="J46" s="466"/>
      <c r="K46" s="762"/>
      <c r="L46" s="1252"/>
      <c r="M46" s="1253"/>
      <c r="N46" s="1240"/>
      <c r="O46" s="1253"/>
      <c r="P46" s="3013" t="str">
        <f>A46</f>
        <v>成交单价</v>
      </c>
      <c r="Q46" s="3013"/>
      <c r="R46" s="3001">
        <f>E46</f>
        <v>0</v>
      </c>
      <c r="S46" s="3001"/>
      <c r="T46" s="3001">
        <f>G46</f>
        <v>0</v>
      </c>
      <c r="U46" s="3001"/>
      <c r="V46" s="3001">
        <f>I46</f>
        <v>0</v>
      </c>
      <c r="W46" s="3001"/>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2"/>
      <c r="M47" s="1253"/>
      <c r="N47" s="1253"/>
      <c r="O47" s="1253"/>
      <c r="P47" s="3013" t="str">
        <f>A47</f>
        <v>比较价值（元/平方米）</v>
      </c>
      <c r="Q47" s="3013"/>
      <c r="R47" s="3060" t="e">
        <f>ROUND(PRODUCT(R46,AA7:AA45),0)</f>
        <v>#DIV/0!</v>
      </c>
      <c r="S47" s="3060"/>
      <c r="T47" s="3060" t="e">
        <f>ROUND(PRODUCT(T46,AB7:AB45),0)</f>
        <v>#DIV/0!</v>
      </c>
      <c r="U47" s="3060"/>
      <c r="V47" s="3060" t="e">
        <f>ROUND(PRODUCT(V46,AC7:AC45),0)</f>
        <v>#DIV/0!</v>
      </c>
      <c r="W47" s="3060"/>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2"/>
      <c r="M48" s="1253"/>
      <c r="N48" s="1253"/>
      <c r="O48" s="1253"/>
      <c r="P48" s="3051" t="str">
        <f>A48</f>
        <v>估价对象XX用房的比较价值（楼面单价，元/平方米）</v>
      </c>
      <c r="Q48" s="2977"/>
      <c r="R48" s="3061" t="e">
        <f>ROUND(AVERAGE(R47:V47),0)</f>
        <v>#DIV/0!</v>
      </c>
      <c r="S48" s="3061"/>
      <c r="T48" s="3061"/>
      <c r="U48" s="3061"/>
      <c r="V48" s="3061"/>
      <c r="W48" s="3061"/>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8"/>
      <c r="L51" s="1254"/>
      <c r="M51" s="1253"/>
      <c r="N51" s="1253"/>
      <c r="O51" s="1253"/>
    </row>
    <row r="52" spans="1:15" ht="13.5" customHeight="1">
      <c r="A52" s="1253"/>
      <c r="B52" s="1253"/>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8"/>
      <c r="L52" s="1254"/>
      <c r="M52" s="1253"/>
      <c r="N52" s="1253"/>
      <c r="O52" s="1253"/>
    </row>
    <row r="53" spans="1:15" s="483" customFormat="1" ht="13.5" customHeight="1">
      <c r="A53" s="1255"/>
      <c r="B53" s="1255"/>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9"/>
      <c r="L53" s="1260"/>
      <c r="M53" s="1255"/>
      <c r="N53" s="1255"/>
      <c r="O53" s="1255"/>
    </row>
    <row r="54" spans="1:15" s="483" customFormat="1" ht="15" thickBot="1">
      <c r="A54" s="1255"/>
      <c r="B54" s="1256"/>
      <c r="C54" s="741"/>
      <c r="D54" s="740"/>
      <c r="E54" s="740"/>
      <c r="F54" s="740"/>
      <c r="G54" s="740"/>
      <c r="H54" s="740"/>
      <c r="I54" s="740"/>
      <c r="J54" s="740"/>
      <c r="K54" s="1259"/>
      <c r="L54" s="1260"/>
      <c r="M54" s="1255"/>
      <c r="N54" s="1255"/>
      <c r="O54" s="1255"/>
    </row>
    <row r="55" spans="1:15" ht="27">
      <c r="A55" s="667" t="s">
        <v>2556</v>
      </c>
      <c r="B55" s="668" t="s">
        <v>2557</v>
      </c>
      <c r="C55" s="2486" t="s">
        <v>2558</v>
      </c>
      <c r="D55" s="2487" t="s">
        <v>2559</v>
      </c>
      <c r="E55" s="669" t="s">
        <v>2560</v>
      </c>
      <c r="F55" s="670" t="s">
        <v>2561</v>
      </c>
      <c r="G55" s="62" t="s">
        <v>2562</v>
      </c>
      <c r="H55" s="62">
        <f>项目基本情况!G8</f>
        <v>0</v>
      </c>
      <c r="I55" s="2488" t="s">
        <v>2563</v>
      </c>
      <c r="J55" s="739"/>
      <c r="K55" s="1254"/>
      <c r="L55" s="1254"/>
      <c r="M55" s="1253"/>
      <c r="N55" s="1253"/>
      <c r="O55" s="1253"/>
    </row>
    <row r="56" spans="1:15" s="675" customFormat="1">
      <c r="A56" s="671" t="s">
        <v>2564</v>
      </c>
      <c r="B56" s="672" t="e">
        <f>C48</f>
        <v>#DIV/0!</v>
      </c>
      <c r="C56" s="673">
        <v>1</v>
      </c>
      <c r="D56" s="1289">
        <v>1</v>
      </c>
      <c r="E56" s="677">
        <v>120</v>
      </c>
      <c r="F56" s="674" t="e">
        <f t="shared" ref="F56:F65" si="15">ROUND(B56*E56,0)</f>
        <v>#DIV/0!</v>
      </c>
      <c r="G56" s="972">
        <v>1</v>
      </c>
      <c r="H56" s="972">
        <v>1</v>
      </c>
      <c r="I56" s="1255"/>
      <c r="J56" s="1255"/>
      <c r="K56" s="1259"/>
      <c r="L56" s="1260"/>
      <c r="M56" s="1255"/>
      <c r="N56" s="1255"/>
      <c r="O56" s="971"/>
    </row>
    <row r="57" spans="1:15" s="675" customFormat="1">
      <c r="A57" s="676" t="s">
        <v>2565</v>
      </c>
      <c r="B57" s="178" t="e">
        <f>ROUND($C$48*C57*D57,0)</f>
        <v>#DIV/0!</v>
      </c>
      <c r="C57" s="117">
        <f>IF($C$55="北京市系数",G57,H57)</f>
        <v>0.7</v>
      </c>
      <c r="D57" s="1288">
        <v>0.25</v>
      </c>
      <c r="E57" s="677">
        <v>0</v>
      </c>
      <c r="F57" s="674" t="e">
        <f t="shared" si="15"/>
        <v>#DIV/0!</v>
      </c>
      <c r="G57" s="972">
        <f>SUMIF(修正!$A$45:$A$56,项目基本情况!$F$9,修正!B45:B56)</f>
        <v>0.7</v>
      </c>
      <c r="H57" s="973"/>
      <c r="I57" s="1253"/>
      <c r="J57" s="1258"/>
      <c r="K57" s="1254"/>
      <c r="L57" s="1254"/>
      <c r="M57" s="1253"/>
      <c r="N57" s="1253"/>
      <c r="O57" s="971"/>
    </row>
    <row r="58" spans="1:15" s="675" customFormat="1">
      <c r="A58" s="676" t="s">
        <v>2566</v>
      </c>
      <c r="B58" s="178" t="e">
        <f t="shared" ref="B58:B65" si="16">ROUND($C$48*C58*D58,0)</f>
        <v>#DIV/0!</v>
      </c>
      <c r="C58" s="117">
        <f t="shared" ref="C58:C65" si="17">IF($C$55="北京市系数",G58,H58)</f>
        <v>0.4</v>
      </c>
      <c r="D58" s="1288">
        <v>0.25</v>
      </c>
      <c r="E58" s="677">
        <v>0</v>
      </c>
      <c r="F58" s="674" t="e">
        <f t="shared" si="15"/>
        <v>#DIV/0!</v>
      </c>
      <c r="G58" s="972">
        <f>SUMIF(修正!$A$45:$A$56,项目基本情况!$F$9,修正!C45:C56)</f>
        <v>0.4</v>
      </c>
      <c r="H58" s="973"/>
      <c r="I58" s="1255"/>
      <c r="J58" s="1255"/>
      <c r="K58" s="1259"/>
      <c r="L58" s="1260"/>
      <c r="M58" s="1255"/>
      <c r="N58" s="1255"/>
      <c r="O58" s="971"/>
    </row>
    <row r="59" spans="1:15" s="675" customFormat="1">
      <c r="A59" s="676" t="s">
        <v>2567</v>
      </c>
      <c r="B59" s="178" t="e">
        <f t="shared" si="16"/>
        <v>#DIV/0!</v>
      </c>
      <c r="C59" s="117">
        <f t="shared" si="17"/>
        <v>0.28000000000000003</v>
      </c>
      <c r="D59" s="1288">
        <v>0.25</v>
      </c>
      <c r="E59" s="677">
        <v>0</v>
      </c>
      <c r="F59" s="674" t="e">
        <f t="shared" si="15"/>
        <v>#DIV/0!</v>
      </c>
      <c r="G59" s="972">
        <f>SUMIF(修正!$A$45:$A$56,项目基本情况!$F$9,修正!D45:D56)</f>
        <v>0.28000000000000003</v>
      </c>
      <c r="H59" s="973"/>
      <c r="I59" s="1253"/>
      <c r="J59" s="1258"/>
      <c r="K59" s="1254"/>
      <c r="L59" s="1254"/>
      <c r="M59" s="1253"/>
      <c r="N59" s="1253"/>
      <c r="O59" s="971"/>
    </row>
    <row r="60" spans="1:15" s="675" customFormat="1">
      <c r="A60" s="676" t="s">
        <v>2568</v>
      </c>
      <c r="B60" s="178" t="e">
        <f t="shared" si="16"/>
        <v>#DIV/0!</v>
      </c>
      <c r="C60" s="117">
        <f t="shared" si="17"/>
        <v>0.25</v>
      </c>
      <c r="D60" s="1288">
        <v>0.25</v>
      </c>
      <c r="E60" s="677">
        <v>0</v>
      </c>
      <c r="F60" s="674" t="e">
        <f t="shared" si="15"/>
        <v>#DIV/0!</v>
      </c>
      <c r="G60" s="972">
        <f>SUMIF(修正!$A$45:$A$56,项目基本情况!$F$9,修正!E45:E56)</f>
        <v>0.25</v>
      </c>
      <c r="H60" s="973"/>
      <c r="I60" s="1255"/>
      <c r="J60" s="1255"/>
      <c r="K60" s="1259"/>
      <c r="L60" s="1260"/>
      <c r="M60" s="1255"/>
      <c r="N60" s="1255"/>
      <c r="O60" s="971"/>
    </row>
    <row r="61" spans="1:15" s="675" customFormat="1">
      <c r="A61" s="676" t="s">
        <v>2569</v>
      </c>
      <c r="B61" s="178" t="e">
        <f t="shared" si="16"/>
        <v>#DIV/0!</v>
      </c>
      <c r="C61" s="117">
        <f t="shared" si="17"/>
        <v>0.25</v>
      </c>
      <c r="D61" s="1288">
        <v>0.25</v>
      </c>
      <c r="E61" s="677">
        <v>0</v>
      </c>
      <c r="F61" s="674" t="e">
        <f t="shared" si="15"/>
        <v>#DIV/0!</v>
      </c>
      <c r="G61" s="972">
        <f>SUMIF(修正!A45:A56,项目基本情况!F9,修正!F45:F56)</f>
        <v>0.25</v>
      </c>
      <c r="H61" s="973"/>
      <c r="I61" s="1253"/>
      <c r="J61" s="1258"/>
      <c r="K61" s="1254"/>
      <c r="L61" s="1254"/>
      <c r="M61" s="1253"/>
      <c r="N61" s="1253"/>
      <c r="O61" s="971"/>
    </row>
    <row r="62" spans="1:15" s="675" customFormat="1">
      <c r="A62" s="676" t="s">
        <v>2570</v>
      </c>
      <c r="B62" s="178" t="e">
        <f t="shared" si="16"/>
        <v>#DIV/0!</v>
      </c>
      <c r="C62" s="117">
        <f t="shared" si="17"/>
        <v>0.25</v>
      </c>
      <c r="D62" s="1288">
        <v>0.25</v>
      </c>
      <c r="E62" s="677">
        <v>0</v>
      </c>
      <c r="F62" s="674" t="e">
        <f t="shared" si="15"/>
        <v>#DIV/0!</v>
      </c>
      <c r="G62" s="972">
        <f>SUMIF(修正!A45:A56,项目基本情况!F9,修正!G45:G56)</f>
        <v>0.25</v>
      </c>
      <c r="H62" s="973"/>
      <c r="I62" s="1255"/>
      <c r="J62" s="1255"/>
      <c r="K62" s="1259"/>
      <c r="L62" s="1260"/>
      <c r="M62" s="1255"/>
      <c r="N62" s="1255"/>
      <c r="O62" s="971"/>
    </row>
    <row r="63" spans="1:15" s="675" customFormat="1">
      <c r="A63" s="676" t="s">
        <v>2571</v>
      </c>
      <c r="B63" s="178" t="e">
        <f t="shared" si="16"/>
        <v>#DIV/0!</v>
      </c>
      <c r="C63" s="117">
        <f>IF($C$55="北京市系数",G63,H63)</f>
        <v>0.2</v>
      </c>
      <c r="D63" s="1288">
        <v>0.25</v>
      </c>
      <c r="E63" s="677">
        <v>0</v>
      </c>
      <c r="F63" s="674" t="e">
        <f t="shared" si="15"/>
        <v>#DIV/0!</v>
      </c>
      <c r="G63" s="972">
        <f>SUMIF(修正!A45:A56,项目基本情况!F9,修正!H45:H56)</f>
        <v>0.2</v>
      </c>
      <c r="H63" s="973"/>
      <c r="I63" s="1253"/>
      <c r="J63" s="1258"/>
      <c r="K63" s="1254"/>
      <c r="L63" s="1254"/>
      <c r="M63" s="1253"/>
      <c r="N63" s="1253"/>
      <c r="O63" s="971"/>
    </row>
    <row r="64" spans="1:15" s="675" customFormat="1">
      <c r="A64" s="676" t="s">
        <v>2572</v>
      </c>
      <c r="B64" s="178" t="e">
        <f t="shared" si="16"/>
        <v>#DIV/0!</v>
      </c>
      <c r="C64" s="117">
        <f t="shared" si="17"/>
        <v>0.2</v>
      </c>
      <c r="D64" s="1288">
        <v>0.25</v>
      </c>
      <c r="E64" s="677">
        <v>0</v>
      </c>
      <c r="F64" s="674" t="e">
        <f t="shared" si="15"/>
        <v>#DIV/0!</v>
      </c>
      <c r="G64" s="972">
        <f>G63</f>
        <v>0.2</v>
      </c>
      <c r="H64" s="973"/>
      <c r="I64" s="1255"/>
      <c r="J64" s="1255"/>
      <c r="K64" s="1259"/>
      <c r="L64" s="1260"/>
      <c r="M64" s="1255"/>
      <c r="N64" s="1255"/>
      <c r="O64" s="971"/>
    </row>
    <row r="65" spans="1:17" s="675" customFormat="1">
      <c r="A65" s="676" t="s">
        <v>2573</v>
      </c>
      <c r="B65" s="178" t="e">
        <f t="shared" si="16"/>
        <v>#DIV/0!</v>
      </c>
      <c r="C65" s="117">
        <f t="shared" si="17"/>
        <v>0.2</v>
      </c>
      <c r="D65" s="1288">
        <v>0.25</v>
      </c>
      <c r="E65" s="677">
        <v>0</v>
      </c>
      <c r="F65" s="674" t="e">
        <f t="shared" si="15"/>
        <v>#DIV/0!</v>
      </c>
      <c r="G65" s="972">
        <f>G63</f>
        <v>0.2</v>
      </c>
      <c r="H65" s="973"/>
      <c r="I65" s="1253"/>
      <c r="J65" s="1258"/>
      <c r="K65" s="1254"/>
      <c r="L65" s="1254"/>
      <c r="M65" s="1253"/>
      <c r="N65" s="1253"/>
      <c r="O65" s="971"/>
    </row>
    <row r="66" spans="1:17" s="675" customFormat="1" ht="13.5" thickBot="1">
      <c r="A66" s="679" t="s">
        <v>2574</v>
      </c>
      <c r="B66" s="680" t="s">
        <v>39</v>
      </c>
      <c r="C66" s="680" t="s">
        <v>40</v>
      </c>
      <c r="D66" s="680" t="s">
        <v>36</v>
      </c>
      <c r="E66" s="680">
        <f>SUM(E56:E65)</f>
        <v>120</v>
      </c>
      <c r="F66" s="681" t="e">
        <f>SUM(F56:F65)</f>
        <v>#DIV/0!</v>
      </c>
      <c r="G66" s="768"/>
      <c r="H66" s="768"/>
      <c r="I66" s="1266"/>
      <c r="J66" s="1266"/>
      <c r="K66" s="1266"/>
      <c r="L66" s="971"/>
      <c r="M66" s="971"/>
      <c r="N66" s="971"/>
      <c r="O66" s="971"/>
    </row>
    <row r="67" spans="1:17">
      <c r="A67" s="1253"/>
      <c r="B67" s="1256"/>
      <c r="C67" s="1261"/>
      <c r="D67" s="1253"/>
      <c r="E67" s="1253"/>
      <c r="F67" s="1253"/>
      <c r="G67" s="1253"/>
      <c r="H67" s="1253"/>
      <c r="I67" s="1253"/>
      <c r="J67" s="1253"/>
      <c r="K67" s="1258"/>
      <c r="L67" s="1254"/>
      <c r="M67" s="1253"/>
      <c r="N67" s="1253"/>
      <c r="O67" s="1253"/>
    </row>
    <row r="68" spans="1:17" s="1668" customFormat="1">
      <c r="A68" s="738"/>
      <c r="B68" s="1666"/>
      <c r="C68" s="1666" t="str">
        <f>YEAR(C7)&amp;"-"&amp;MONTH(C7)&amp;"-1"</f>
        <v>2018-6-1</v>
      </c>
      <c r="D68" s="1666">
        <f>EDATE(C68,-3)</f>
        <v>43160</v>
      </c>
      <c r="E68" s="1666">
        <f t="shared" ref="E68:O68" si="18">EDATE(D68,-3)</f>
        <v>43070</v>
      </c>
      <c r="F68" s="1666">
        <f t="shared" si="18"/>
        <v>42979</v>
      </c>
      <c r="G68" s="1666">
        <f t="shared" si="18"/>
        <v>42887</v>
      </c>
      <c r="H68" s="1666">
        <f t="shared" si="18"/>
        <v>42795</v>
      </c>
      <c r="I68" s="1666">
        <f t="shared" si="18"/>
        <v>42705</v>
      </c>
      <c r="J68" s="1666">
        <f t="shared" si="18"/>
        <v>42614</v>
      </c>
      <c r="K68" s="1666">
        <f t="shared" si="18"/>
        <v>42522</v>
      </c>
      <c r="L68" s="1666">
        <f t="shared" si="18"/>
        <v>42430</v>
      </c>
      <c r="M68" s="1666">
        <f t="shared" si="18"/>
        <v>42339</v>
      </c>
      <c r="N68" s="1666">
        <f t="shared" si="18"/>
        <v>42248</v>
      </c>
      <c r="O68" s="1666">
        <f t="shared" si="18"/>
        <v>42156</v>
      </c>
    </row>
    <row r="69" spans="1:17" ht="21.75" thickBot="1">
      <c r="A69" s="742" t="s">
        <v>2470</v>
      </c>
      <c r="B69" s="738"/>
      <c r="C69" s="743"/>
      <c r="D69" s="743"/>
      <c r="E69" s="743"/>
      <c r="F69" s="744"/>
      <c r="G69" s="744"/>
      <c r="H69" s="743"/>
      <c r="I69" s="1269"/>
      <c r="J69" s="1269"/>
      <c r="K69" s="1267"/>
      <c r="L69" s="1268"/>
      <c r="M69" s="1269"/>
      <c r="N69" s="1269"/>
      <c r="O69" s="1269"/>
      <c r="P69" s="484"/>
      <c r="Q69" s="485"/>
    </row>
    <row r="70" spans="1:17" s="1670" customFormat="1" ht="15">
      <c r="A70" s="2489" t="s">
        <v>2575</v>
      </c>
      <c r="B70" s="1452"/>
      <c r="C70" s="1667" t="str">
        <f>YEAR(C68)&amp;"-"&amp;ROUNDUP(MONTH(C68)/3,0)</f>
        <v>2018-2</v>
      </c>
      <c r="D70" s="1667" t="str">
        <f>YEAR(D68)&amp;"-"&amp;ROUNDUP(MONTH(D68)/3,0)</f>
        <v>2018-1</v>
      </c>
      <c r="E70" s="1667" t="str">
        <f t="shared" ref="E70:O70" si="19">YEAR(E68)&amp;"-"&amp;ROUNDUP(MONTH(E68)/3,0)</f>
        <v>2017-4</v>
      </c>
      <c r="F70" s="1667" t="str">
        <f t="shared" si="19"/>
        <v>2017-3</v>
      </c>
      <c r="G70" s="1667" t="str">
        <f t="shared" si="19"/>
        <v>2017-2</v>
      </c>
      <c r="H70" s="1667" t="str">
        <f t="shared" si="19"/>
        <v>2017-1</v>
      </c>
      <c r="I70" s="1667" t="str">
        <f t="shared" si="19"/>
        <v>2016-4</v>
      </c>
      <c r="J70" s="1667" t="str">
        <f t="shared" si="19"/>
        <v>2016-3</v>
      </c>
      <c r="K70" s="1667" t="str">
        <f t="shared" si="19"/>
        <v>2016-2</v>
      </c>
      <c r="L70" s="1667" t="str">
        <f t="shared" si="19"/>
        <v>2016-1</v>
      </c>
      <c r="M70" s="1667" t="str">
        <f t="shared" si="19"/>
        <v>2015-4</v>
      </c>
      <c r="N70" s="1667" t="str">
        <f t="shared" si="19"/>
        <v>2015-3</v>
      </c>
      <c r="O70" s="1667" t="str">
        <f t="shared" si="19"/>
        <v>2015-2</v>
      </c>
      <c r="P70" s="1669"/>
    </row>
    <row r="71" spans="1:17" s="35" customFormat="1" ht="29.25" customHeight="1">
      <c r="A71" s="2490" t="s">
        <v>2576</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5"/>
      <c r="N71" s="579"/>
      <c r="O71" s="1671"/>
      <c r="P71" s="485"/>
    </row>
    <row r="72" spans="1:17" s="35" customFormat="1" ht="15.75" thickBot="1">
      <c r="A72" s="496" t="s">
        <v>2390</v>
      </c>
      <c r="B72" s="497"/>
      <c r="C72" s="498"/>
      <c r="D72" s="499"/>
      <c r="E72" s="499"/>
      <c r="F72" s="499"/>
      <c r="G72" s="499"/>
      <c r="H72" s="499"/>
      <c r="I72" s="499"/>
      <c r="J72" s="499"/>
      <c r="K72" s="499"/>
      <c r="L72" s="499"/>
      <c r="M72" s="500"/>
      <c r="N72" s="499"/>
      <c r="O72" s="1672"/>
      <c r="P72" s="485"/>
      <c r="Q72" s="485"/>
    </row>
    <row r="73" spans="1:17" s="35" customFormat="1" ht="15">
      <c r="A73" s="502" t="s">
        <v>2354</v>
      </c>
      <c r="B73" s="491"/>
      <c r="C73" s="503" t="s">
        <v>2355</v>
      </c>
      <c r="D73" s="504"/>
      <c r="E73" s="504"/>
      <c r="F73" s="504"/>
      <c r="G73" s="504"/>
      <c r="H73" s="504"/>
      <c r="I73" s="504"/>
      <c r="J73" s="504"/>
      <c r="K73" s="504"/>
      <c r="L73" s="505"/>
      <c r="M73" s="506"/>
      <c r="N73" s="1262"/>
      <c r="O73" s="1262"/>
      <c r="P73" s="507"/>
      <c r="Q73" s="485"/>
    </row>
    <row r="74" spans="1:17" s="35" customFormat="1" ht="15.75" thickBot="1">
      <c r="A74" s="502"/>
      <c r="B74" s="491"/>
      <c r="C74" s="623">
        <v>100</v>
      </c>
      <c r="D74" s="493"/>
      <c r="E74" s="493"/>
      <c r="F74" s="493"/>
      <c r="G74" s="493"/>
      <c r="H74" s="493"/>
      <c r="I74" s="493"/>
      <c r="J74" s="493"/>
      <c r="K74" s="493"/>
      <c r="L74" s="493"/>
      <c r="M74" s="495"/>
      <c r="N74" s="1262"/>
      <c r="O74" s="1262"/>
      <c r="P74" s="485"/>
      <c r="Q74" s="485"/>
    </row>
    <row r="75" spans="1:17">
      <c r="A75" s="508" t="s">
        <v>2393</v>
      </c>
      <c r="B75" s="509" t="s">
        <v>2358</v>
      </c>
      <c r="C75" s="511"/>
      <c r="D75" s="511"/>
      <c r="E75" s="511"/>
      <c r="F75" s="511"/>
      <c r="G75" s="511"/>
      <c r="H75" s="511"/>
      <c r="I75" s="511"/>
      <c r="J75" s="511"/>
      <c r="K75" s="512"/>
      <c r="L75" s="513"/>
      <c r="M75" s="514"/>
      <c r="N75" s="1263"/>
      <c r="O75" s="1263"/>
      <c r="P75" s="22"/>
      <c r="Q75" s="485"/>
    </row>
    <row r="76" spans="1:17" ht="15.75" thickBot="1">
      <c r="A76" s="516"/>
      <c r="B76" s="517"/>
      <c r="C76" s="518"/>
      <c r="D76" s="518"/>
      <c r="E76" s="518"/>
      <c r="F76" s="518"/>
      <c r="G76" s="518"/>
      <c r="H76" s="518"/>
      <c r="I76" s="518"/>
      <c r="J76" s="518"/>
      <c r="K76" s="518"/>
      <c r="L76" s="518"/>
      <c r="M76" s="519"/>
      <c r="N76" s="1264"/>
      <c r="O76" s="1264"/>
      <c r="P76" s="22"/>
      <c r="Q76" s="485"/>
    </row>
    <row r="77" spans="1:17" ht="27.75" thickTop="1">
      <c r="A77" s="516"/>
      <c r="B77" s="521" t="s">
        <v>2361</v>
      </c>
      <c r="C77" s="522"/>
      <c r="D77" s="522"/>
      <c r="E77" s="522"/>
      <c r="F77" s="522"/>
      <c r="G77" s="522"/>
      <c r="H77" s="522"/>
      <c r="I77" s="522"/>
      <c r="J77" s="522"/>
      <c r="K77" s="523"/>
      <c r="L77" s="524"/>
      <c r="M77" s="525"/>
      <c r="N77" s="1263"/>
      <c r="O77" s="1263"/>
      <c r="P77" s="22"/>
      <c r="Q77" s="485"/>
    </row>
    <row r="78" spans="1:17" ht="15.75" thickBot="1">
      <c r="A78" s="516"/>
      <c r="B78" s="526"/>
      <c r="C78" s="527"/>
      <c r="D78" s="527"/>
      <c r="E78" s="527"/>
      <c r="F78" s="527"/>
      <c r="G78" s="527"/>
      <c r="H78" s="527"/>
      <c r="I78" s="527"/>
      <c r="J78" s="527"/>
      <c r="K78" s="527"/>
      <c r="L78" s="527"/>
      <c r="M78" s="528"/>
      <c r="N78" s="1264"/>
      <c r="O78" s="1264"/>
      <c r="P78" s="22"/>
      <c r="Q78" s="485"/>
    </row>
    <row r="79" spans="1:17" ht="15.75" thickTop="1">
      <c r="A79" s="516"/>
      <c r="B79" s="529" t="s">
        <v>2362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ht="15">
      <c r="A80" s="516"/>
      <c r="B80" s="531"/>
      <c r="C80" s="532"/>
      <c r="D80" s="532"/>
      <c r="E80" s="532"/>
      <c r="F80" s="532"/>
      <c r="G80" s="532"/>
      <c r="H80" s="532"/>
      <c r="I80" s="532"/>
      <c r="J80" s="532"/>
      <c r="K80" s="533"/>
      <c r="L80" s="534"/>
      <c r="M80" s="535"/>
      <c r="N80" s="1263"/>
      <c r="O80" s="1263"/>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5.75"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5.75" thickBot="1">
      <c r="A83" s="536"/>
      <c r="B83" s="526"/>
      <c r="C83" s="544"/>
      <c r="D83" s="518"/>
      <c r="E83" s="518"/>
      <c r="F83" s="518"/>
      <c r="G83" s="518"/>
      <c r="H83" s="518"/>
      <c r="I83" s="518"/>
      <c r="J83" s="518"/>
      <c r="K83" s="518"/>
      <c r="L83" s="518"/>
      <c r="M83" s="519"/>
      <c r="N83" s="1264"/>
      <c r="O83" s="1264"/>
      <c r="P83" s="542"/>
      <c r="Q83" s="543"/>
    </row>
    <row r="84" spans="1:17" s="452" customFormat="1" ht="15.75" thickTop="1">
      <c r="A84" s="536"/>
      <c r="B84" s="521">
        <f>B13</f>
        <v>111</v>
      </c>
      <c r="C84" s="537"/>
      <c r="D84" s="537"/>
      <c r="E84" s="537"/>
      <c r="F84" s="537"/>
      <c r="G84" s="537"/>
      <c r="H84" s="538"/>
      <c r="I84" s="538"/>
      <c r="J84" s="538"/>
      <c r="K84" s="538"/>
      <c r="L84" s="539"/>
      <c r="M84" s="540"/>
      <c r="N84" s="1265"/>
      <c r="O84" s="1265"/>
      <c r="P84" s="451"/>
      <c r="Q84" s="545"/>
    </row>
    <row r="85" spans="1:17" s="452" customFormat="1" ht="15.75" thickBot="1">
      <c r="A85" s="536"/>
      <c r="B85" s="526"/>
      <c r="C85" s="544"/>
      <c r="D85" s="544"/>
      <c r="E85" s="544"/>
      <c r="F85" s="544"/>
      <c r="G85" s="544"/>
      <c r="H85" s="546"/>
      <c r="I85" s="546"/>
      <c r="J85" s="546"/>
      <c r="K85" s="546"/>
      <c r="L85" s="546"/>
      <c r="M85" s="547"/>
      <c r="N85" s="1265"/>
      <c r="O85" s="1265"/>
      <c r="P85" s="542"/>
      <c r="Q85" s="543"/>
    </row>
    <row r="86" spans="1:17" s="452" customFormat="1" ht="15.75" thickTop="1">
      <c r="A86" s="536"/>
      <c r="B86" s="529">
        <f>B14</f>
        <v>111</v>
      </c>
      <c r="C86" s="504"/>
      <c r="D86" s="504"/>
      <c r="E86" s="504"/>
      <c r="F86" s="504"/>
      <c r="G86" s="504"/>
      <c r="H86" s="548"/>
      <c r="I86" s="548"/>
      <c r="J86" s="548"/>
      <c r="K86" s="548"/>
      <c r="L86" s="549"/>
      <c r="M86" s="550"/>
      <c r="N86" s="1265"/>
      <c r="O86" s="1265"/>
      <c r="P86" s="551"/>
      <c r="Q86" s="543"/>
    </row>
    <row r="87" spans="1:17" s="452" customFormat="1" ht="15.75" thickBot="1">
      <c r="A87" s="552"/>
      <c r="B87" s="553"/>
      <c r="C87" s="554"/>
      <c r="D87" s="554"/>
      <c r="E87" s="554"/>
      <c r="F87" s="554"/>
      <c r="G87" s="554"/>
      <c r="H87" s="555"/>
      <c r="I87" s="555"/>
      <c r="J87" s="555"/>
      <c r="K87" s="555"/>
      <c r="L87" s="555"/>
      <c r="M87" s="556"/>
      <c r="N87" s="1265"/>
      <c r="O87" s="1265"/>
      <c r="P87" s="542"/>
      <c r="Q87" s="543"/>
    </row>
    <row r="88" spans="1:17">
      <c r="A88" s="508" t="s">
        <v>2363</v>
      </c>
      <c r="B88" s="509" t="s">
        <v>2401</v>
      </c>
      <c r="C88" s="557" t="s">
        <v>2402</v>
      </c>
      <c r="D88" s="557" t="s">
        <v>2403</v>
      </c>
      <c r="E88" s="557" t="s">
        <v>2404</v>
      </c>
      <c r="F88" s="557" t="s">
        <v>2405</v>
      </c>
      <c r="G88" s="557" t="s">
        <v>2406</v>
      </c>
      <c r="H88" s="510"/>
      <c r="I88" s="510"/>
      <c r="J88" s="510"/>
      <c r="K88" s="558"/>
      <c r="L88" s="559"/>
      <c r="M88" s="560"/>
      <c r="N88" s="1263"/>
      <c r="O88" s="1263"/>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3"/>
      <c r="O90" s="1263"/>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3"/>
      <c r="O92" s="1263"/>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3"/>
      <c r="O94" s="1263"/>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2"/>
      <c r="O96" s="1262"/>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2"/>
      <c r="O98" s="1262"/>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3"/>
      <c r="N100" s="1264"/>
      <c r="O100" s="1264"/>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5"/>
      <c r="O102" s="1265"/>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3"/>
      <c r="O104" s="1263"/>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7.75" thickTop="1">
      <c r="A106" s="516"/>
      <c r="B106" s="521" t="s">
        <v>2482</v>
      </c>
      <c r="C106" s="537"/>
      <c r="D106" s="537"/>
      <c r="E106" s="537"/>
      <c r="F106" s="537"/>
      <c r="G106" s="537"/>
      <c r="H106" s="567"/>
      <c r="I106" s="567"/>
      <c r="J106" s="567"/>
      <c r="K106" s="568"/>
      <c r="L106" s="569"/>
      <c r="M106" s="570"/>
      <c r="N106" s="1263"/>
      <c r="O106" s="1263"/>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75" thickTop="1">
      <c r="A108" s="516"/>
      <c r="B108" s="521" t="s">
        <v>2549</v>
      </c>
      <c r="C108" s="567"/>
      <c r="D108" s="567"/>
      <c r="E108" s="567"/>
      <c r="F108" s="567"/>
      <c r="G108" s="567"/>
      <c r="H108" s="567"/>
      <c r="I108" s="567"/>
      <c r="J108" s="567"/>
      <c r="K108" s="568"/>
      <c r="L108" s="569"/>
      <c r="M108" s="570"/>
      <c r="N108" s="1263"/>
      <c r="O108" s="1263"/>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5.75" thickTop="1">
      <c r="A110" s="516"/>
      <c r="B110" s="529">
        <f>B35</f>
        <v>111</v>
      </c>
      <c r="C110" s="537"/>
      <c r="D110" s="537"/>
      <c r="E110" s="537"/>
      <c r="F110" s="537"/>
      <c r="G110" s="571"/>
      <c r="H110" s="571"/>
      <c r="I110" s="571"/>
      <c r="J110" s="571"/>
      <c r="K110" s="572"/>
      <c r="L110" s="573"/>
      <c r="M110" s="574"/>
      <c r="N110" s="1263"/>
      <c r="O110" s="1263"/>
      <c r="P110" s="22"/>
      <c r="Q110" s="485"/>
    </row>
    <row r="111" spans="1:17" ht="15.75" thickBot="1">
      <c r="A111" s="516"/>
      <c r="B111" s="553"/>
      <c r="C111" s="544"/>
      <c r="D111" s="544"/>
      <c r="E111" s="544"/>
      <c r="F111" s="544"/>
      <c r="G111" s="575"/>
      <c r="H111" s="575"/>
      <c r="I111" s="575"/>
      <c r="J111" s="575"/>
      <c r="K111" s="575"/>
      <c r="L111" s="575"/>
      <c r="M111" s="576"/>
      <c r="N111" s="1264"/>
      <c r="O111" s="1264"/>
      <c r="P111" s="22"/>
      <c r="Q111" s="485"/>
    </row>
    <row r="112" spans="1:17" ht="15" thickTop="1">
      <c r="A112" s="658"/>
      <c r="B112" s="521">
        <f>B36</f>
        <v>111</v>
      </c>
      <c r="C112" s="504"/>
      <c r="D112" s="504"/>
      <c r="E112" s="504"/>
      <c r="F112" s="504"/>
      <c r="G112" s="567"/>
      <c r="H112" s="567"/>
      <c r="I112" s="567"/>
      <c r="J112" s="567"/>
      <c r="K112" s="568"/>
      <c r="L112" s="569"/>
      <c r="M112" s="570"/>
      <c r="N112" s="1263"/>
      <c r="O112" s="1263"/>
      <c r="P112" s="22"/>
      <c r="Q112" s="485"/>
    </row>
    <row r="113" spans="1:17" ht="15.75" thickBot="1">
      <c r="A113" s="516"/>
      <c r="B113" s="526"/>
      <c r="C113" s="554"/>
      <c r="D113" s="554"/>
      <c r="E113" s="554"/>
      <c r="F113" s="554"/>
      <c r="G113" s="518"/>
      <c r="H113" s="518"/>
      <c r="I113" s="518"/>
      <c r="J113" s="518"/>
      <c r="K113" s="518"/>
      <c r="L113" s="518"/>
      <c r="M113" s="519"/>
      <c r="N113" s="1264"/>
      <c r="O113" s="1264"/>
      <c r="P113" s="22"/>
      <c r="Q113" s="485"/>
    </row>
    <row r="114" spans="1:17" s="452" customFormat="1" ht="15"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5.75" thickBot="1">
      <c r="A115" s="536"/>
      <c r="B115" s="529"/>
      <c r="C115" s="493"/>
      <c r="D115" s="660"/>
      <c r="E115" s="660"/>
      <c r="F115" s="660"/>
      <c r="G115" s="660"/>
      <c r="H115" s="660"/>
      <c r="I115" s="660"/>
      <c r="J115" s="660"/>
      <c r="K115" s="660"/>
      <c r="L115" s="660"/>
      <c r="M115" s="683"/>
      <c r="N115" s="1264"/>
      <c r="O115" s="1264"/>
      <c r="P115" s="542"/>
      <c r="Q115" s="543"/>
    </row>
    <row r="116" spans="1:17">
      <c r="A116" s="508" t="s">
        <v>2368</v>
      </c>
      <c r="B116" s="509" t="s">
        <v>2584</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3"/>
      <c r="O116" s="1263"/>
      <c r="P116" s="22"/>
      <c r="Q116" s="485"/>
    </row>
    <row r="117" spans="1:17" ht="15">
      <c r="A117" s="516"/>
      <c r="B117" s="529"/>
      <c r="C117" s="579"/>
      <c r="D117" s="579"/>
      <c r="E117" s="579"/>
      <c r="F117" s="579"/>
      <c r="G117" s="579"/>
      <c r="H117" s="579"/>
      <c r="I117" s="579"/>
      <c r="J117" s="580"/>
      <c r="K117" s="580"/>
      <c r="L117" s="581"/>
      <c r="M117" s="582"/>
      <c r="N117" s="1263"/>
      <c r="O117" s="1263"/>
      <c r="P117" s="22"/>
      <c r="Q117" s="485"/>
    </row>
    <row r="118" spans="1:17" ht="15.75"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2585</v>
      </c>
      <c r="C119" s="567"/>
      <c r="D119" s="567"/>
      <c r="E119" s="567"/>
      <c r="F119" s="567"/>
      <c r="G119" s="567"/>
      <c r="H119" s="567"/>
      <c r="I119" s="567"/>
      <c r="J119" s="567"/>
      <c r="K119" s="568"/>
      <c r="L119" s="569"/>
      <c r="M119" s="570"/>
      <c r="N119" s="1263"/>
      <c r="O119" s="1263"/>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2586</v>
      </c>
      <c r="C121" s="537"/>
      <c r="D121" s="537"/>
      <c r="E121" s="537"/>
      <c r="F121" s="567"/>
      <c r="G121" s="567"/>
      <c r="H121" s="567"/>
      <c r="I121" s="567"/>
      <c r="J121" s="567"/>
      <c r="K121" s="568"/>
      <c r="L121" s="569"/>
      <c r="M121" s="570"/>
      <c r="N121" s="1263"/>
      <c r="O121" s="1263"/>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2587</v>
      </c>
      <c r="C123" s="537"/>
      <c r="D123" s="537"/>
      <c r="E123" s="537"/>
      <c r="F123" s="537"/>
      <c r="G123" s="537"/>
      <c r="H123" s="567"/>
      <c r="I123" s="567"/>
      <c r="J123" s="567"/>
      <c r="K123" s="568"/>
      <c r="L123" s="569"/>
      <c r="M123" s="570"/>
      <c r="N123" s="1265"/>
      <c r="O123" s="1265"/>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2588</v>
      </c>
      <c r="C125" s="537"/>
      <c r="D125" s="537"/>
      <c r="E125" s="567"/>
      <c r="F125" s="567"/>
      <c r="G125" s="567"/>
      <c r="H125" s="567"/>
      <c r="I125" s="567"/>
      <c r="J125" s="567"/>
      <c r="K125" s="568"/>
      <c r="L125" s="569"/>
      <c r="M125" s="570"/>
      <c r="N125" s="1263"/>
      <c r="O125" s="1263"/>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5" thickTop="1">
      <c r="A127" s="583"/>
      <c r="B127" s="521">
        <f>B43</f>
        <v>111</v>
      </c>
      <c r="C127" s="537"/>
      <c r="D127" s="537"/>
      <c r="E127" s="537"/>
      <c r="F127" s="537"/>
      <c r="G127" s="537"/>
      <c r="H127" s="567"/>
      <c r="I127" s="567"/>
      <c r="J127" s="567"/>
      <c r="K127" s="568"/>
      <c r="L127" s="569"/>
      <c r="M127" s="570"/>
      <c r="N127" s="1263"/>
      <c r="O127" s="1263"/>
      <c r="P127" s="22"/>
      <c r="Q127" s="485"/>
    </row>
    <row r="128" spans="1:17" ht="15.75" thickBot="1">
      <c r="A128" s="516"/>
      <c r="B128" s="526"/>
      <c r="C128" s="544"/>
      <c r="D128" s="544"/>
      <c r="E128" s="544"/>
      <c r="F128" s="544"/>
      <c r="G128" s="518"/>
      <c r="H128" s="518"/>
      <c r="I128" s="518"/>
      <c r="J128" s="518"/>
      <c r="K128" s="518"/>
      <c r="L128" s="518"/>
      <c r="M128" s="519"/>
      <c r="N128" s="1264"/>
      <c r="O128" s="1264"/>
      <c r="P128" s="22"/>
      <c r="Q128" s="485"/>
    </row>
    <row r="129" spans="1:17" ht="15" thickTop="1">
      <c r="A129" s="583"/>
      <c r="B129" s="521">
        <f>B44</f>
        <v>111</v>
      </c>
      <c r="C129" s="504"/>
      <c r="D129" s="504"/>
      <c r="E129" s="504"/>
      <c r="F129" s="504"/>
      <c r="G129" s="567"/>
      <c r="H129" s="567"/>
      <c r="I129" s="567"/>
      <c r="J129" s="567"/>
      <c r="K129" s="568"/>
      <c r="L129" s="569"/>
      <c r="M129" s="570"/>
      <c r="N129" s="1263"/>
      <c r="O129" s="1263"/>
      <c r="P129" s="22"/>
      <c r="Q129" s="485"/>
    </row>
    <row r="130" spans="1:17" ht="15.75" thickBot="1">
      <c r="A130" s="516"/>
      <c r="B130" s="526"/>
      <c r="C130" s="554"/>
      <c r="D130" s="554"/>
      <c r="E130" s="554"/>
      <c r="F130" s="554"/>
      <c r="G130" s="518"/>
      <c r="H130" s="518"/>
      <c r="I130" s="518"/>
      <c r="J130" s="518"/>
      <c r="K130" s="518"/>
      <c r="L130" s="518"/>
      <c r="M130" s="519"/>
      <c r="N130" s="1264"/>
      <c r="O130" s="1264"/>
      <c r="P130" s="22"/>
      <c r="Q130" s="485"/>
    </row>
    <row r="131" spans="1:17" s="452" customFormat="1" ht="15"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5.75"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2005</v>
      </c>
      <c r="B2" s="654" t="e">
        <f>F61</f>
        <v>#DIV/0!</v>
      </c>
      <c r="C2" s="732" t="s">
        <v>2543</v>
      </c>
      <c r="D2" s="981"/>
      <c r="E2" s="981"/>
      <c r="F2" s="982"/>
      <c r="G2" s="981"/>
      <c r="H2" s="981"/>
      <c r="I2" s="981"/>
      <c r="J2" s="981"/>
      <c r="K2" s="983"/>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2006</v>
      </c>
      <c r="B3" s="593" t="e">
        <f>ROUND(B2/'数据-取费表'!B5,0)</f>
        <v>#DIV/0!</v>
      </c>
      <c r="C3" s="732" t="s">
        <v>2544</v>
      </c>
      <c r="D3" s="981"/>
      <c r="E3" s="981"/>
      <c r="F3" s="982"/>
      <c r="G3" s="981"/>
      <c r="H3" s="981"/>
      <c r="I3" s="981"/>
      <c r="J3" s="981"/>
      <c r="K3" s="983"/>
      <c r="L3" s="1237"/>
      <c r="M3" s="1238"/>
      <c r="N3" s="1238"/>
      <c r="O3" s="1238"/>
      <c r="P3" s="747"/>
      <c r="Q3" s="747"/>
      <c r="R3" s="747"/>
      <c r="S3" s="747"/>
      <c r="T3" s="747"/>
      <c r="U3" s="747"/>
      <c r="V3" s="747"/>
      <c r="W3" s="747"/>
      <c r="X3" s="747"/>
      <c r="Y3" s="747"/>
      <c r="Z3" s="747"/>
      <c r="AA3" s="747"/>
      <c r="AB3" s="767"/>
      <c r="AC3" s="761"/>
    </row>
    <row r="4" spans="1:29" ht="15">
      <c r="A4" s="380" t="s">
        <v>2339</v>
      </c>
      <c r="B4" s="381"/>
      <c r="C4" s="2985" t="s">
        <v>2340</v>
      </c>
      <c r="D4" s="2986"/>
      <c r="E4" s="2987" t="s">
        <v>2341</v>
      </c>
      <c r="F4" s="2988"/>
      <c r="G4" s="2985" t="s">
        <v>2342</v>
      </c>
      <c r="H4" s="2986"/>
      <c r="I4" s="2985" t="s">
        <v>2343</v>
      </c>
      <c r="J4" s="2986"/>
      <c r="K4" s="594" t="s">
        <v>2344</v>
      </c>
      <c r="L4" s="1239"/>
      <c r="M4" s="1240"/>
      <c r="N4" s="1240"/>
      <c r="O4" s="1240"/>
      <c r="P4" s="3040" t="s">
        <v>2345</v>
      </c>
      <c r="Q4" s="2990"/>
      <c r="R4" s="2995" t="s">
        <v>2341</v>
      </c>
      <c r="S4" s="2996"/>
      <c r="T4" s="2995" t="s">
        <v>2342</v>
      </c>
      <c r="U4" s="2996"/>
      <c r="V4" s="3001" t="s">
        <v>2343</v>
      </c>
      <c r="W4" s="3001"/>
      <c r="X4" s="1896"/>
      <c r="Y4" s="2995" t="s">
        <v>2345</v>
      </c>
      <c r="Z4" s="2996"/>
      <c r="AA4" s="2982" t="s">
        <v>2341</v>
      </c>
      <c r="AB4" s="2983" t="s">
        <v>2342</v>
      </c>
      <c r="AC4" s="2982" t="s">
        <v>2343</v>
      </c>
    </row>
    <row r="5" spans="1:29" ht="15">
      <c r="A5" s="383"/>
      <c r="B5" s="384"/>
      <c r="C5" s="3004" t="s">
        <v>2346</v>
      </c>
      <c r="D5" s="2979"/>
      <c r="E5" s="3058" t="s">
        <v>2347</v>
      </c>
      <c r="F5" s="3003"/>
      <c r="G5" s="3004" t="s">
        <v>2348</v>
      </c>
      <c r="H5" s="2979"/>
      <c r="I5" s="3004" t="s">
        <v>2349</v>
      </c>
      <c r="J5" s="2979"/>
      <c r="K5" s="594"/>
      <c r="L5" s="1239"/>
      <c r="M5" s="1240"/>
      <c r="N5" s="1240"/>
      <c r="O5" s="1240"/>
      <c r="P5" s="3041"/>
      <c r="Q5" s="2992"/>
      <c r="R5" s="2997"/>
      <c r="S5" s="2998"/>
      <c r="T5" s="2997"/>
      <c r="U5" s="2998"/>
      <c r="V5" s="3001"/>
      <c r="W5" s="3001"/>
      <c r="X5" s="1896"/>
      <c r="Y5" s="2997"/>
      <c r="Z5" s="2998"/>
      <c r="AA5" s="2983"/>
      <c r="AB5" s="2983"/>
      <c r="AC5" s="2983"/>
    </row>
    <row r="6" spans="1:29" ht="15.75" thickBot="1">
      <c r="A6" s="385"/>
      <c r="B6" s="386"/>
      <c r="C6" s="2975" t="s">
        <v>2350</v>
      </c>
      <c r="D6" s="2976"/>
      <c r="E6" s="2973" t="s">
        <v>2350</v>
      </c>
      <c r="F6" s="2974"/>
      <c r="G6" s="2975" t="s">
        <v>2350</v>
      </c>
      <c r="H6" s="2976"/>
      <c r="I6" s="2975" t="s">
        <v>2350</v>
      </c>
      <c r="J6" s="2976"/>
      <c r="K6" s="594" t="s">
        <v>2351</v>
      </c>
      <c r="L6" s="1239"/>
      <c r="M6" s="1240"/>
      <c r="N6" s="1240"/>
      <c r="O6" s="1240"/>
      <c r="P6" s="3042"/>
      <c r="Q6" s="2994"/>
      <c r="R6" s="2997"/>
      <c r="S6" s="2998"/>
      <c r="T6" s="2999"/>
      <c r="U6" s="3000"/>
      <c r="V6" s="3001"/>
      <c r="W6" s="3001"/>
      <c r="X6" s="1896"/>
      <c r="Y6" s="2999"/>
      <c r="Z6" s="3000"/>
      <c r="AA6" s="2984"/>
      <c r="AB6" s="2984"/>
      <c r="AC6" s="2984"/>
    </row>
    <row r="7" spans="1:29" s="35" customFormat="1" ht="15.75" thickBot="1">
      <c r="A7" s="387" t="s">
        <v>2352</v>
      </c>
      <c r="B7" s="388"/>
      <c r="C7" s="389">
        <f>'数据-取费表'!B2</f>
        <v>43257</v>
      </c>
      <c r="D7" s="390">
        <v>100</v>
      </c>
      <c r="E7" s="391"/>
      <c r="F7" s="392">
        <f>SUMIF(65:65,YEAR(E7)&amp;"-"&amp;INT((MONTH(E7)+2)/3),66:66)</f>
        <v>0</v>
      </c>
      <c r="G7" s="2459"/>
      <c r="H7" s="390">
        <f>SUMIF(65:65,YEAR(G7)&amp;"-"&amp;INT((MONTH(G7)+2)/3),66:66)</f>
        <v>0</v>
      </c>
      <c r="I7" s="2459"/>
      <c r="J7" s="390">
        <f>SUMIF(65:65,YEAR(I7)&amp;"-"&amp;INT((MONTH(I7)+2)/3),66:66)</f>
        <v>0</v>
      </c>
      <c r="K7" s="595"/>
      <c r="L7" s="1241"/>
      <c r="M7" s="1242"/>
      <c r="N7" s="1242"/>
      <c r="O7" s="1242"/>
      <c r="P7" s="3005" t="s">
        <v>2353</v>
      </c>
      <c r="Q7" s="2980"/>
      <c r="R7" s="749" t="s">
        <v>25</v>
      </c>
      <c r="S7" s="750">
        <f t="shared" ref="S7:S15" si="0">F7</f>
        <v>0</v>
      </c>
      <c r="T7" s="749" t="s">
        <v>25</v>
      </c>
      <c r="U7" s="750">
        <f t="shared" ref="U7:U15" si="1">H7</f>
        <v>0</v>
      </c>
      <c r="V7" s="749" t="s">
        <v>25</v>
      </c>
      <c r="W7" s="750">
        <f t="shared" ref="W7:W15" si="2">J7</f>
        <v>0</v>
      </c>
      <c r="X7" s="751"/>
      <c r="Y7" s="3005" t="s">
        <v>2353</v>
      </c>
      <c r="Z7" s="2981"/>
      <c r="AA7" s="752" t="e">
        <f>D7/F7</f>
        <v>#DIV/0!</v>
      </c>
      <c r="AB7" s="752" t="e">
        <f>D7/H7</f>
        <v>#DIV/0!</v>
      </c>
      <c r="AC7" s="752" t="e">
        <f>D7/J7</f>
        <v>#DIV/0!</v>
      </c>
    </row>
    <row r="8" spans="1:29" s="35" customFormat="1" ht="15.75" thickBot="1">
      <c r="A8" s="387" t="s">
        <v>2354</v>
      </c>
      <c r="B8" s="388"/>
      <c r="C8" s="394" t="s">
        <v>2545</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3005" t="s">
        <v>2356</v>
      </c>
      <c r="Q8" s="2981"/>
      <c r="R8" s="749" t="s">
        <v>25</v>
      </c>
      <c r="S8" s="750">
        <f t="shared" si="0"/>
        <v>0</v>
      </c>
      <c r="T8" s="749" t="s">
        <v>25</v>
      </c>
      <c r="U8" s="750">
        <f t="shared" si="1"/>
        <v>0</v>
      </c>
      <c r="V8" s="749" t="s">
        <v>25</v>
      </c>
      <c r="W8" s="750">
        <f t="shared" si="2"/>
        <v>0</v>
      </c>
      <c r="X8" s="751"/>
      <c r="Y8" s="3005" t="s">
        <v>2356</v>
      </c>
      <c r="Z8" s="2981"/>
      <c r="AA8" s="752" t="e">
        <f t="shared" ref="AA8:AA40" si="3">D8/F8</f>
        <v>#DIV/0!</v>
      </c>
      <c r="AB8" s="752" t="e">
        <f t="shared" ref="AB8:AB40" si="4">D8/H8</f>
        <v>#DIV/0!</v>
      </c>
      <c r="AC8" s="752" t="e">
        <f t="shared" ref="AC8:AC40" si="5">D8/J8</f>
        <v>#DIV/0!</v>
      </c>
    </row>
    <row r="9" spans="1:29" s="35" customFormat="1">
      <c r="A9" s="395" t="s">
        <v>2357</v>
      </c>
      <c r="B9" s="28" t="s">
        <v>2358</v>
      </c>
      <c r="C9" s="2477" t="s">
        <v>2590</v>
      </c>
      <c r="D9" s="51">
        <v>100</v>
      </c>
      <c r="E9" s="2477"/>
      <c r="F9" s="51">
        <f>SUMIF(70:70,E9,71:71)-SUMIF(70:70,C9,71:71)+100</f>
        <v>100</v>
      </c>
      <c r="G9" s="2477"/>
      <c r="H9" s="51">
        <f>SUMIF(70:70,G9,71:71)-SUMIF(70:70,C9,71:71)+100</f>
        <v>100</v>
      </c>
      <c r="I9" s="2477"/>
      <c r="J9" s="51">
        <f>SUMIF(70:70,I9,71:71)-SUMIF(70:70,C9,71:71)+100</f>
        <v>100</v>
      </c>
      <c r="K9" s="595"/>
      <c r="L9" s="1241"/>
      <c r="M9" s="1242"/>
      <c r="N9" s="1242"/>
      <c r="O9" s="1243"/>
      <c r="P9" s="3013" t="s">
        <v>2359</v>
      </c>
      <c r="Q9" s="1883" t="str">
        <f t="shared" ref="Q9:Q15" si="6">B9</f>
        <v>用途</v>
      </c>
      <c r="R9" s="749" t="s">
        <v>25</v>
      </c>
      <c r="S9" s="750">
        <f t="shared" si="0"/>
        <v>100</v>
      </c>
      <c r="T9" s="749" t="s">
        <v>25</v>
      </c>
      <c r="U9" s="750">
        <f t="shared" si="1"/>
        <v>100</v>
      </c>
      <c r="V9" s="749" t="s">
        <v>25</v>
      </c>
      <c r="W9" s="750">
        <f t="shared" si="2"/>
        <v>100</v>
      </c>
      <c r="X9" s="751"/>
      <c r="Y9" s="2853" t="s">
        <v>2360</v>
      </c>
      <c r="Z9" s="23" t="str">
        <f t="shared" ref="Z9:Z15" si="7">Q9</f>
        <v>用途</v>
      </c>
      <c r="AA9" s="752">
        <f t="shared" si="3"/>
        <v>1</v>
      </c>
      <c r="AB9" s="752">
        <f t="shared" si="4"/>
        <v>1</v>
      </c>
      <c r="AC9" s="752">
        <f t="shared" si="5"/>
        <v>1</v>
      </c>
    </row>
    <row r="10" spans="1:29" s="407" customFormat="1" ht="27">
      <c r="A10" s="401"/>
      <c r="B10" s="402" t="s">
        <v>2361</v>
      </c>
      <c r="C10" s="412"/>
      <c r="D10" s="52">
        <v>100</v>
      </c>
      <c r="E10" s="412"/>
      <c r="F10" s="52">
        <f>ROUND(100/'数据-取费表'!B14,0)</f>
        <v>104</v>
      </c>
      <c r="G10" s="412"/>
      <c r="H10" s="52">
        <f>ROUND(100/'数据-取费表'!B14,0)</f>
        <v>104</v>
      </c>
      <c r="I10" s="412"/>
      <c r="J10" s="52">
        <f>ROUND(100/'数据-取费表'!B14,0)</f>
        <v>104</v>
      </c>
      <c r="K10" s="655"/>
      <c r="L10" s="1244"/>
      <c r="M10" s="1245"/>
      <c r="N10" s="1245"/>
      <c r="O10" s="1246"/>
      <c r="P10" s="3013"/>
      <c r="Q10" s="1883" t="str">
        <f t="shared" si="6"/>
        <v>土地使用年限（年）</v>
      </c>
      <c r="R10" s="749" t="s">
        <v>25</v>
      </c>
      <c r="S10" s="750">
        <f t="shared" si="0"/>
        <v>104</v>
      </c>
      <c r="T10" s="749" t="s">
        <v>25</v>
      </c>
      <c r="U10" s="750">
        <f t="shared" si="1"/>
        <v>104</v>
      </c>
      <c r="V10" s="749" t="s">
        <v>25</v>
      </c>
      <c r="W10" s="750">
        <f t="shared" si="2"/>
        <v>104</v>
      </c>
      <c r="X10" s="751"/>
      <c r="Y10" s="2853"/>
      <c r="Z10" s="23" t="str">
        <f t="shared" si="7"/>
        <v>土地使用年限（年）</v>
      </c>
      <c r="AA10" s="752">
        <f t="shared" si="3"/>
        <v>0.96153846153846156</v>
      </c>
      <c r="AB10" s="752">
        <f t="shared" si="4"/>
        <v>0.96153846153846156</v>
      </c>
      <c r="AC10" s="752">
        <f t="shared" si="5"/>
        <v>0.96153846153846156</v>
      </c>
    </row>
    <row r="11" spans="1:29" ht="15">
      <c r="A11" s="408"/>
      <c r="B11" s="402" t="s">
        <v>2362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3013"/>
      <c r="Q11" s="1883" t="str">
        <f t="shared" si="6"/>
        <v>容积率</v>
      </c>
      <c r="R11" s="749" t="s">
        <v>25</v>
      </c>
      <c r="S11" s="750" t="e">
        <f t="shared" si="0"/>
        <v>#N/A</v>
      </c>
      <c r="T11" s="749" t="s">
        <v>25</v>
      </c>
      <c r="U11" s="750" t="e">
        <f t="shared" si="1"/>
        <v>#N/A</v>
      </c>
      <c r="V11" s="749" t="s">
        <v>25</v>
      </c>
      <c r="W11" s="750" t="e">
        <f t="shared" si="2"/>
        <v>#N/A</v>
      </c>
      <c r="X11" s="751"/>
      <c r="Y11" s="2853"/>
      <c r="Z11" s="23" t="str">
        <f t="shared" si="7"/>
        <v>容积率</v>
      </c>
      <c r="AA11" s="752" t="e">
        <f t="shared" si="3"/>
        <v>#N/A</v>
      </c>
      <c r="AB11" s="752" t="e">
        <f t="shared" si="4"/>
        <v>#N/A</v>
      </c>
      <c r="AC11" s="752" t="e">
        <f t="shared" si="5"/>
        <v>#N/A</v>
      </c>
    </row>
    <row r="12" spans="1:29" s="35" customFormat="1" ht="15">
      <c r="A12" s="411"/>
      <c r="B12" s="2392">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3013"/>
      <c r="Q12" s="1883">
        <f t="shared" si="6"/>
        <v>111</v>
      </c>
      <c r="R12" s="749" t="s">
        <v>25</v>
      </c>
      <c r="S12" s="750">
        <f t="shared" si="0"/>
        <v>100</v>
      </c>
      <c r="T12" s="749" t="s">
        <v>25</v>
      </c>
      <c r="U12" s="750">
        <f t="shared" si="1"/>
        <v>100</v>
      </c>
      <c r="V12" s="749" t="s">
        <v>25</v>
      </c>
      <c r="W12" s="750">
        <f t="shared" si="2"/>
        <v>100</v>
      </c>
      <c r="X12" s="751"/>
      <c r="Y12" s="2853"/>
      <c r="Z12" s="23">
        <f t="shared" si="7"/>
        <v>111</v>
      </c>
      <c r="AA12" s="752">
        <f>D12/F12</f>
        <v>1</v>
      </c>
      <c r="AB12" s="752">
        <f>D12/H12</f>
        <v>1</v>
      </c>
      <c r="AC12" s="752">
        <f>D12/J12</f>
        <v>1</v>
      </c>
    </row>
    <row r="13" spans="1:29" ht="15">
      <c r="A13" s="408"/>
      <c r="B13" s="2392">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3013"/>
      <c r="Q13" s="1883">
        <f t="shared" si="6"/>
        <v>111</v>
      </c>
      <c r="R13" s="749" t="s">
        <v>25</v>
      </c>
      <c r="S13" s="750">
        <f t="shared" si="0"/>
        <v>100</v>
      </c>
      <c r="T13" s="749" t="s">
        <v>25</v>
      </c>
      <c r="U13" s="750">
        <f t="shared" si="1"/>
        <v>100</v>
      </c>
      <c r="V13" s="749" t="s">
        <v>25</v>
      </c>
      <c r="W13" s="750">
        <f t="shared" si="2"/>
        <v>100</v>
      </c>
      <c r="X13" s="751"/>
      <c r="Y13" s="2853"/>
      <c r="Z13" s="23">
        <f t="shared" si="7"/>
        <v>111</v>
      </c>
      <c r="AA13" s="752">
        <f t="shared" si="3"/>
        <v>1</v>
      </c>
      <c r="AB13" s="752">
        <f t="shared" si="4"/>
        <v>1</v>
      </c>
      <c r="AC13" s="752">
        <f t="shared" si="5"/>
        <v>1</v>
      </c>
    </row>
    <row r="14" spans="1:29" ht="15.75" thickBot="1">
      <c r="A14" s="416"/>
      <c r="B14" s="2394">
        <v>111</v>
      </c>
      <c r="C14" s="2395">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3013"/>
      <c r="Q14" s="1883">
        <f t="shared" si="6"/>
        <v>111</v>
      </c>
      <c r="R14" s="749" t="s">
        <v>25</v>
      </c>
      <c r="S14" s="750">
        <f t="shared" si="0"/>
        <v>100</v>
      </c>
      <c r="T14" s="749" t="s">
        <v>25</v>
      </c>
      <c r="U14" s="750">
        <f t="shared" si="1"/>
        <v>100</v>
      </c>
      <c r="V14" s="749" t="s">
        <v>25</v>
      </c>
      <c r="W14" s="750">
        <f t="shared" si="2"/>
        <v>100</v>
      </c>
      <c r="X14" s="751"/>
      <c r="Y14" s="2853"/>
      <c r="Z14" s="23">
        <f t="shared" si="7"/>
        <v>111</v>
      </c>
      <c r="AA14" s="752">
        <f t="shared" si="3"/>
        <v>1</v>
      </c>
      <c r="AB14" s="752">
        <f t="shared" si="4"/>
        <v>1</v>
      </c>
      <c r="AC14" s="752">
        <f t="shared" si="5"/>
        <v>1</v>
      </c>
    </row>
    <row r="15" spans="1:29" ht="57">
      <c r="A15" s="419" t="s">
        <v>2363</v>
      </c>
      <c r="B15" s="613" t="s">
        <v>2591</v>
      </c>
      <c r="C15" s="2472"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006" t="s">
        <v>2364</v>
      </c>
      <c r="Q15" s="1895" t="str">
        <f t="shared" si="6"/>
        <v>产业集聚程度</v>
      </c>
      <c r="R15" s="753" t="s">
        <v>25</v>
      </c>
      <c r="S15" s="754">
        <f t="shared" si="0"/>
        <v>100</v>
      </c>
      <c r="T15" s="753" t="s">
        <v>25</v>
      </c>
      <c r="U15" s="754">
        <f t="shared" si="1"/>
        <v>100</v>
      </c>
      <c r="V15" s="753" t="s">
        <v>25</v>
      </c>
      <c r="W15" s="754">
        <f t="shared" si="2"/>
        <v>100</v>
      </c>
      <c r="X15" s="1896"/>
      <c r="Y15" s="3006" t="s">
        <v>2364</v>
      </c>
      <c r="Z15" s="1898" t="str">
        <f t="shared" si="7"/>
        <v>产业集聚程度</v>
      </c>
      <c r="AA15" s="1899">
        <f t="shared" si="3"/>
        <v>1</v>
      </c>
      <c r="AB15" s="1899">
        <f t="shared" si="4"/>
        <v>1</v>
      </c>
      <c r="AC15" s="1899">
        <f t="shared" si="5"/>
        <v>1</v>
      </c>
    </row>
    <row r="16" spans="1:29" ht="15">
      <c r="A16" s="408"/>
      <c r="B16" s="614"/>
      <c r="C16" s="426"/>
      <c r="D16" s="427"/>
      <c r="E16" s="1468"/>
      <c r="F16" s="427"/>
      <c r="G16" s="1468"/>
      <c r="H16" s="430"/>
      <c r="I16" s="1468"/>
      <c r="J16" s="427"/>
      <c r="K16" s="655"/>
      <c r="L16" s="1249"/>
      <c r="M16" s="1240"/>
      <c r="N16" s="1240"/>
      <c r="O16" s="1248"/>
      <c r="P16" s="3007"/>
      <c r="Q16" s="1895"/>
      <c r="R16" s="753"/>
      <c r="S16" s="754"/>
      <c r="T16" s="753"/>
      <c r="U16" s="754"/>
      <c r="V16" s="753"/>
      <c r="W16" s="754"/>
      <c r="X16" s="1896"/>
      <c r="Y16" s="3007"/>
      <c r="Z16" s="1898"/>
      <c r="AA16" s="1899">
        <v>1</v>
      </c>
      <c r="AB16" s="1899">
        <v>1</v>
      </c>
      <c r="AC16" s="1899">
        <v>1</v>
      </c>
    </row>
    <row r="17" spans="1:29" ht="85.5">
      <c r="A17" s="408"/>
      <c r="B17" s="615" t="s">
        <v>2507</v>
      </c>
      <c r="C17" s="2399"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007"/>
      <c r="Q17" s="1895" t="str">
        <f>B17</f>
        <v>交通便捷度</v>
      </c>
      <c r="R17" s="753" t="s">
        <v>25</v>
      </c>
      <c r="S17" s="754">
        <f>F17</f>
        <v>100</v>
      </c>
      <c r="T17" s="753" t="s">
        <v>25</v>
      </c>
      <c r="U17" s="754">
        <f>H17</f>
        <v>100</v>
      </c>
      <c r="V17" s="753" t="s">
        <v>25</v>
      </c>
      <c r="W17" s="754">
        <f>J17</f>
        <v>100</v>
      </c>
      <c r="X17" s="1896"/>
      <c r="Y17" s="3007"/>
      <c r="Z17" s="1898" t="str">
        <f>Q17</f>
        <v>交通便捷度</v>
      </c>
      <c r="AA17" s="1899">
        <f t="shared" si="3"/>
        <v>1</v>
      </c>
      <c r="AB17" s="1899">
        <f t="shared" si="4"/>
        <v>1</v>
      </c>
      <c r="AC17" s="1899">
        <f t="shared" si="5"/>
        <v>1</v>
      </c>
    </row>
    <row r="18" spans="1:29" ht="15">
      <c r="A18" s="408"/>
      <c r="B18" s="616"/>
      <c r="C18" s="426"/>
      <c r="D18" s="427"/>
      <c r="E18" s="428"/>
      <c r="F18" s="427"/>
      <c r="G18" s="428"/>
      <c r="H18" s="427"/>
      <c r="I18" s="2397"/>
      <c r="J18" s="427"/>
      <c r="K18" s="655"/>
      <c r="L18" s="1249"/>
      <c r="M18" s="1240"/>
      <c r="N18" s="1240"/>
      <c r="O18" s="1248"/>
      <c r="P18" s="3007"/>
      <c r="Q18" s="1895"/>
      <c r="R18" s="753"/>
      <c r="S18" s="754"/>
      <c r="T18" s="753"/>
      <c r="U18" s="754"/>
      <c r="V18" s="753"/>
      <c r="W18" s="754"/>
      <c r="X18" s="1896"/>
      <c r="Y18" s="3007"/>
      <c r="Z18" s="1898"/>
      <c r="AA18" s="1899">
        <v>1</v>
      </c>
      <c r="AB18" s="1899">
        <v>1</v>
      </c>
      <c r="AC18" s="1899">
        <v>1</v>
      </c>
    </row>
    <row r="19" spans="1:29" ht="15">
      <c r="A19" s="408"/>
      <c r="B19" s="615" t="s">
        <v>2547</v>
      </c>
      <c r="C19" s="2399">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007"/>
      <c r="Q19" s="1895" t="str">
        <f t="shared" ref="Q19:Q33" si="8">B19</f>
        <v>区域土地利用方向</v>
      </c>
      <c r="R19" s="753" t="s">
        <v>25</v>
      </c>
      <c r="S19" s="754">
        <f>F19</f>
        <v>100</v>
      </c>
      <c r="T19" s="753" t="s">
        <v>25</v>
      </c>
      <c r="U19" s="754">
        <f>H19</f>
        <v>100</v>
      </c>
      <c r="V19" s="753" t="s">
        <v>25</v>
      </c>
      <c r="W19" s="754">
        <f>J19</f>
        <v>100</v>
      </c>
      <c r="X19" s="1896"/>
      <c r="Y19" s="3007"/>
      <c r="Z19" s="1898" t="str">
        <f>Q19</f>
        <v>区域土地利用方向</v>
      </c>
      <c r="AA19" s="1899">
        <f t="shared" si="3"/>
        <v>1</v>
      </c>
      <c r="AB19" s="1899">
        <f t="shared" si="4"/>
        <v>1</v>
      </c>
      <c r="AC19" s="1899">
        <f t="shared" si="5"/>
        <v>1</v>
      </c>
    </row>
    <row r="20" spans="1:29" ht="15">
      <c r="A20" s="383"/>
      <c r="B20" s="616"/>
      <c r="C20" s="426"/>
      <c r="D20" s="427"/>
      <c r="E20" s="428"/>
      <c r="F20" s="427"/>
      <c r="G20" s="428"/>
      <c r="H20" s="427"/>
      <c r="I20" s="428"/>
      <c r="J20" s="427"/>
      <c r="K20" s="804"/>
      <c r="L20" s="1249"/>
      <c r="M20" s="1240"/>
      <c r="N20" s="1240"/>
      <c r="O20" s="1248"/>
      <c r="P20" s="3007"/>
      <c r="Q20" s="1895"/>
      <c r="R20" s="753"/>
      <c r="S20" s="754"/>
      <c r="T20" s="753"/>
      <c r="U20" s="754"/>
      <c r="V20" s="753"/>
      <c r="W20" s="754"/>
      <c r="X20" s="1896"/>
      <c r="Y20" s="3007"/>
      <c r="Z20" s="1898"/>
      <c r="AA20" s="1899"/>
      <c r="AB20" s="1899"/>
      <c r="AC20" s="1899"/>
    </row>
    <row r="21" spans="1:29" ht="71.25">
      <c r="A21" s="383"/>
      <c r="B21" s="615" t="s">
        <v>2592</v>
      </c>
      <c r="C21" s="2399"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007"/>
      <c r="Q21" s="1895" t="str">
        <f t="shared" si="8"/>
        <v>环境状况</v>
      </c>
      <c r="R21" s="753" t="s">
        <v>25</v>
      </c>
      <c r="S21" s="754">
        <f>F21</f>
        <v>100</v>
      </c>
      <c r="T21" s="753" t="s">
        <v>25</v>
      </c>
      <c r="U21" s="754">
        <f>H21</f>
        <v>100</v>
      </c>
      <c r="V21" s="753" t="s">
        <v>25</v>
      </c>
      <c r="W21" s="754">
        <f>J21</f>
        <v>100</v>
      </c>
      <c r="X21" s="1896"/>
      <c r="Y21" s="3007"/>
      <c r="Z21" s="1898" t="str">
        <f>Q21</f>
        <v>环境状况</v>
      </c>
      <c r="AA21" s="1899">
        <f t="shared" si="3"/>
        <v>1</v>
      </c>
      <c r="AB21" s="1899">
        <f t="shared" si="4"/>
        <v>1</v>
      </c>
      <c r="AC21" s="1899">
        <f t="shared" si="5"/>
        <v>1</v>
      </c>
    </row>
    <row r="22" spans="1:29" ht="15">
      <c r="A22" s="383"/>
      <c r="B22" s="616"/>
      <c r="C22" s="426"/>
      <c r="D22" s="427"/>
      <c r="E22" s="1468"/>
      <c r="F22" s="427"/>
      <c r="G22" s="1468"/>
      <c r="H22" s="427"/>
      <c r="I22" s="426"/>
      <c r="J22" s="427"/>
      <c r="K22" s="655"/>
      <c r="L22" s="1249"/>
      <c r="M22" s="1240"/>
      <c r="N22" s="1240"/>
      <c r="O22" s="1248"/>
      <c r="P22" s="3007"/>
      <c r="Q22" s="1895"/>
      <c r="R22" s="753"/>
      <c r="S22" s="754"/>
      <c r="T22" s="753"/>
      <c r="U22" s="754"/>
      <c r="V22" s="753"/>
      <c r="W22" s="754"/>
      <c r="X22" s="1896"/>
      <c r="Y22" s="3007"/>
      <c r="Z22" s="1898"/>
      <c r="AA22" s="1899">
        <v>1</v>
      </c>
      <c r="AB22" s="1899">
        <v>1</v>
      </c>
      <c r="AC22" s="1899">
        <v>1</v>
      </c>
    </row>
    <row r="23" spans="1:29" s="35" customFormat="1" ht="42.75">
      <c r="A23" s="633"/>
      <c r="B23" s="615" t="s">
        <v>2450</v>
      </c>
      <c r="C23" s="2399"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007"/>
      <c r="Q23" s="1883" t="str">
        <f t="shared" si="8"/>
        <v>公共配套设施</v>
      </c>
      <c r="R23" s="749" t="s">
        <v>25</v>
      </c>
      <c r="S23" s="750">
        <f>F23</f>
        <v>100</v>
      </c>
      <c r="T23" s="749" t="s">
        <v>25</v>
      </c>
      <c r="U23" s="750">
        <f>H23</f>
        <v>100</v>
      </c>
      <c r="V23" s="749" t="s">
        <v>25</v>
      </c>
      <c r="W23" s="750">
        <f>J23</f>
        <v>100</v>
      </c>
      <c r="X23" s="751"/>
      <c r="Y23" s="3007"/>
      <c r="Z23" s="23" t="str">
        <f>Q23</f>
        <v>公共配套设施</v>
      </c>
      <c r="AA23" s="1899">
        <f>D23/F23</f>
        <v>1</v>
      </c>
      <c r="AB23" s="1899">
        <f>D23/H23</f>
        <v>1</v>
      </c>
      <c r="AC23" s="1899">
        <f>D23/J23</f>
        <v>1</v>
      </c>
    </row>
    <row r="24" spans="1:29" s="35" customFormat="1" ht="15">
      <c r="A24" s="633"/>
      <c r="B24" s="616"/>
      <c r="C24" s="2491"/>
      <c r="D24" s="427"/>
      <c r="E24" s="1468"/>
      <c r="F24" s="427"/>
      <c r="G24" s="1468"/>
      <c r="H24" s="427"/>
      <c r="I24" s="426"/>
      <c r="J24" s="427"/>
      <c r="K24" s="655"/>
      <c r="L24" s="1241"/>
      <c r="M24" s="1242"/>
      <c r="N24" s="1242"/>
      <c r="O24" s="1243"/>
      <c r="P24" s="3007"/>
      <c r="Q24" s="1883"/>
      <c r="R24" s="749"/>
      <c r="S24" s="750"/>
      <c r="T24" s="749"/>
      <c r="U24" s="750"/>
      <c r="V24" s="749"/>
      <c r="W24" s="750"/>
      <c r="X24" s="751"/>
      <c r="Y24" s="3007"/>
      <c r="Z24" s="23"/>
      <c r="AA24" s="752">
        <v>1</v>
      </c>
      <c r="AB24" s="752">
        <v>1</v>
      </c>
      <c r="AC24" s="752">
        <v>1</v>
      </c>
    </row>
    <row r="25" spans="1:29" s="35" customFormat="1" ht="28.5">
      <c r="A25" s="633"/>
      <c r="B25" s="617" t="s">
        <v>2451</v>
      </c>
      <c r="C25" s="2399"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007"/>
      <c r="Q25" s="1883" t="str">
        <f t="shared" ref="Q25" si="9">B25</f>
        <v>基础设施水平</v>
      </c>
      <c r="R25" s="749" t="s">
        <v>25</v>
      </c>
      <c r="S25" s="750">
        <f>F25</f>
        <v>100</v>
      </c>
      <c r="T25" s="749" t="s">
        <v>25</v>
      </c>
      <c r="U25" s="750">
        <f>H25</f>
        <v>100</v>
      </c>
      <c r="V25" s="749" t="s">
        <v>25</v>
      </c>
      <c r="W25" s="750">
        <f>J25</f>
        <v>100</v>
      </c>
      <c r="X25" s="751"/>
      <c r="Y25" s="3007"/>
      <c r="Z25" s="23" t="str">
        <f>Q25</f>
        <v>基础设施水平</v>
      </c>
      <c r="AA25" s="1899">
        <f>D25/F25</f>
        <v>1</v>
      </c>
      <c r="AB25" s="1899">
        <f>D25/H25</f>
        <v>1</v>
      </c>
      <c r="AC25" s="1899">
        <f>D25/J25</f>
        <v>1</v>
      </c>
    </row>
    <row r="26" spans="1:29" s="35" customFormat="1" ht="15">
      <c r="A26" s="633"/>
      <c r="B26" s="616"/>
      <c r="C26" s="2491"/>
      <c r="D26" s="427"/>
      <c r="E26" s="2480"/>
      <c r="F26" s="427"/>
      <c r="G26" s="2480"/>
      <c r="H26" s="427"/>
      <c r="I26" s="2480"/>
      <c r="J26" s="427"/>
      <c r="K26" s="655"/>
      <c r="L26" s="1241"/>
      <c r="M26" s="1242"/>
      <c r="N26" s="1242"/>
      <c r="O26" s="1243"/>
      <c r="P26" s="3007"/>
      <c r="Q26" s="1883"/>
      <c r="R26" s="749"/>
      <c r="S26" s="750"/>
      <c r="T26" s="749"/>
      <c r="U26" s="750"/>
      <c r="V26" s="749"/>
      <c r="W26" s="750"/>
      <c r="X26" s="751"/>
      <c r="Y26" s="3007"/>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007"/>
      <c r="Q27" s="1895" t="str">
        <f t="shared" si="8"/>
        <v>临街状况</v>
      </c>
      <c r="R27" s="753" t="s">
        <v>25</v>
      </c>
      <c r="S27" s="754">
        <f t="shared" ref="S27:S40" si="10">F27</f>
        <v>100</v>
      </c>
      <c r="T27" s="753" t="s">
        <v>25</v>
      </c>
      <c r="U27" s="754">
        <f t="shared" ref="U27:U40" si="11">H27</f>
        <v>100</v>
      </c>
      <c r="V27" s="753" t="s">
        <v>25</v>
      </c>
      <c r="W27" s="754">
        <f t="shared" ref="W27:W40" si="12">J27</f>
        <v>100</v>
      </c>
      <c r="X27" s="1896"/>
      <c r="Y27" s="3007"/>
      <c r="Z27" s="1898" t="str">
        <f t="shared" ref="Z27:Z40" si="13">Q27</f>
        <v>临街状况</v>
      </c>
      <c r="AA27" s="1899">
        <f t="shared" si="3"/>
        <v>1</v>
      </c>
      <c r="AB27" s="1899">
        <f t="shared" si="4"/>
        <v>1</v>
      </c>
      <c r="AC27" s="1899">
        <f t="shared" si="5"/>
        <v>1</v>
      </c>
    </row>
    <row r="28" spans="1:29" ht="27">
      <c r="A28" s="408"/>
      <c r="B28" s="617" t="s">
        <v>2482</v>
      </c>
      <c r="C28" s="2492">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007"/>
      <c r="Q28" s="1895" t="str">
        <f t="shared" si="8"/>
        <v>毗邻道路的类型与等级</v>
      </c>
      <c r="R28" s="753" t="s">
        <v>25</v>
      </c>
      <c r="S28" s="754">
        <f t="shared" si="10"/>
        <v>100</v>
      </c>
      <c r="T28" s="753" t="s">
        <v>25</v>
      </c>
      <c r="U28" s="754">
        <f t="shared" si="11"/>
        <v>100</v>
      </c>
      <c r="V28" s="753" t="s">
        <v>25</v>
      </c>
      <c r="W28" s="754">
        <f t="shared" si="12"/>
        <v>100</v>
      </c>
      <c r="X28" s="1896"/>
      <c r="Y28" s="3007"/>
      <c r="Z28" s="1898" t="str">
        <f t="shared" si="13"/>
        <v>毗邻道路的类型与等级</v>
      </c>
      <c r="AA28" s="1899">
        <f t="shared" si="3"/>
        <v>1</v>
      </c>
      <c r="AB28" s="1899">
        <f t="shared" si="4"/>
        <v>1</v>
      </c>
      <c r="AC28" s="1899">
        <f t="shared" si="5"/>
        <v>1</v>
      </c>
    </row>
    <row r="29" spans="1:29" ht="15">
      <c r="A29" s="408"/>
      <c r="B29" s="616"/>
      <c r="C29" s="426"/>
      <c r="D29" s="427"/>
      <c r="E29" s="1468"/>
      <c r="F29" s="427"/>
      <c r="G29" s="1468"/>
      <c r="H29" s="427"/>
      <c r="I29" s="1468"/>
      <c r="J29" s="427"/>
      <c r="K29" s="597"/>
      <c r="L29" s="1249"/>
      <c r="M29" s="1240"/>
      <c r="N29" s="1240"/>
      <c r="O29" s="1248"/>
      <c r="P29" s="3007"/>
      <c r="Q29" s="1895"/>
      <c r="R29" s="753"/>
      <c r="S29" s="754"/>
      <c r="T29" s="753"/>
      <c r="U29" s="754"/>
      <c r="V29" s="753"/>
      <c r="W29" s="754"/>
      <c r="X29" s="1896"/>
      <c r="Y29" s="3007"/>
      <c r="Z29" s="1898"/>
      <c r="AA29" s="1899">
        <v>1</v>
      </c>
      <c r="AB29" s="1899">
        <v>1</v>
      </c>
      <c r="AC29" s="1899">
        <v>1</v>
      </c>
    </row>
    <row r="30" spans="1:29" ht="15">
      <c r="A30" s="408"/>
      <c r="B30" s="637" t="s">
        <v>2549</v>
      </c>
      <c r="C30" s="1495">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007"/>
      <c r="Q30" s="1895" t="str">
        <f t="shared" si="8"/>
        <v>土地级别</v>
      </c>
      <c r="R30" s="753" t="s">
        <v>25</v>
      </c>
      <c r="S30" s="754">
        <f t="shared" si="10"/>
        <v>100</v>
      </c>
      <c r="T30" s="753" t="s">
        <v>25</v>
      </c>
      <c r="U30" s="754">
        <f t="shared" si="11"/>
        <v>100</v>
      </c>
      <c r="V30" s="753" t="s">
        <v>25</v>
      </c>
      <c r="W30" s="754">
        <f t="shared" si="12"/>
        <v>100</v>
      </c>
      <c r="X30" s="1896"/>
      <c r="Y30" s="3007"/>
      <c r="Z30" s="1898" t="str">
        <f t="shared" si="13"/>
        <v>土地级别</v>
      </c>
      <c r="AA30" s="1899">
        <f t="shared" si="3"/>
        <v>1</v>
      </c>
      <c r="AB30" s="1899">
        <f t="shared" si="4"/>
        <v>1</v>
      </c>
      <c r="AC30" s="1899">
        <f t="shared" si="5"/>
        <v>1</v>
      </c>
    </row>
    <row r="31" spans="1:29" ht="15">
      <c r="A31" s="383"/>
      <c r="B31" s="2465">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007"/>
      <c r="Q31" s="1895">
        <f t="shared" si="8"/>
        <v>111</v>
      </c>
      <c r="R31" s="753" t="s">
        <v>25</v>
      </c>
      <c r="S31" s="754">
        <f t="shared" si="10"/>
        <v>100</v>
      </c>
      <c r="T31" s="753" t="s">
        <v>25</v>
      </c>
      <c r="U31" s="754">
        <f t="shared" si="11"/>
        <v>100</v>
      </c>
      <c r="V31" s="753" t="s">
        <v>25</v>
      </c>
      <c r="W31" s="754">
        <f t="shared" si="12"/>
        <v>100</v>
      </c>
      <c r="X31" s="1896"/>
      <c r="Y31" s="3007"/>
      <c r="Z31" s="1898">
        <f t="shared" si="13"/>
        <v>111</v>
      </c>
      <c r="AA31" s="1899">
        <f t="shared" si="3"/>
        <v>1</v>
      </c>
      <c r="AB31" s="1899">
        <f t="shared" si="4"/>
        <v>1</v>
      </c>
      <c r="AC31" s="1899">
        <f t="shared" si="5"/>
        <v>1</v>
      </c>
    </row>
    <row r="32" spans="1:29" ht="15">
      <c r="A32" s="658"/>
      <c r="B32" s="2493">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059" t="s">
        <v>2370</v>
      </c>
      <c r="Q32" s="1895">
        <f t="shared" si="8"/>
        <v>111</v>
      </c>
      <c r="R32" s="753" t="s">
        <v>25</v>
      </c>
      <c r="S32" s="754">
        <f t="shared" si="10"/>
        <v>100</v>
      </c>
      <c r="T32" s="753" t="s">
        <v>25</v>
      </c>
      <c r="U32" s="754">
        <f t="shared" si="11"/>
        <v>100</v>
      </c>
      <c r="V32" s="753" t="s">
        <v>25</v>
      </c>
      <c r="W32" s="754">
        <f t="shared" si="12"/>
        <v>100</v>
      </c>
      <c r="X32" s="1896"/>
      <c r="Y32" s="3011" t="s">
        <v>2370</v>
      </c>
      <c r="Z32" s="1898">
        <f t="shared" si="13"/>
        <v>111</v>
      </c>
      <c r="AA32" s="1899">
        <f t="shared" si="3"/>
        <v>1</v>
      </c>
      <c r="AB32" s="1899">
        <f t="shared" si="4"/>
        <v>1</v>
      </c>
      <c r="AC32" s="1899">
        <f t="shared" si="5"/>
        <v>1</v>
      </c>
    </row>
    <row r="33" spans="1:29" s="452" customFormat="1" ht="15.75" thickBot="1">
      <c r="A33" s="659"/>
      <c r="B33" s="2494">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3011"/>
      <c r="Q33" s="1895">
        <f t="shared" si="8"/>
        <v>111</v>
      </c>
      <c r="R33" s="756" t="s">
        <v>25</v>
      </c>
      <c r="S33" s="757">
        <f t="shared" si="10"/>
        <v>100</v>
      </c>
      <c r="T33" s="756" t="s">
        <v>25</v>
      </c>
      <c r="U33" s="757">
        <f t="shared" si="11"/>
        <v>100</v>
      </c>
      <c r="V33" s="756" t="s">
        <v>25</v>
      </c>
      <c r="W33" s="757">
        <f t="shared" si="12"/>
        <v>100</v>
      </c>
      <c r="X33" s="758"/>
      <c r="Y33" s="3011"/>
      <c r="Z33" s="759">
        <f t="shared" si="13"/>
        <v>111</v>
      </c>
      <c r="AA33" s="1899">
        <f t="shared" si="3"/>
        <v>1</v>
      </c>
      <c r="AB33" s="1899">
        <f t="shared" si="4"/>
        <v>1</v>
      </c>
      <c r="AC33" s="1899">
        <f t="shared" si="5"/>
        <v>1</v>
      </c>
    </row>
    <row r="34" spans="1:29" ht="15">
      <c r="A34" s="453" t="s">
        <v>2368</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3011"/>
      <c r="Q34" s="1895" t="str">
        <f>B34</f>
        <v>宗地面积</v>
      </c>
      <c r="R34" s="753" t="s">
        <v>25</v>
      </c>
      <c r="S34" s="754" t="e">
        <f t="shared" si="10"/>
        <v>#N/A</v>
      </c>
      <c r="T34" s="753" t="s">
        <v>25</v>
      </c>
      <c r="U34" s="754" t="e">
        <f t="shared" si="11"/>
        <v>#N/A</v>
      </c>
      <c r="V34" s="753" t="s">
        <v>25</v>
      </c>
      <c r="W34" s="754" t="e">
        <f t="shared" si="12"/>
        <v>#N/A</v>
      </c>
      <c r="X34" s="1896"/>
      <c r="Y34" s="3011"/>
      <c r="Z34" s="1898" t="str">
        <f t="shared" si="13"/>
        <v>宗地面积</v>
      </c>
      <c r="AA34" s="1899" t="e">
        <f t="shared" si="3"/>
        <v>#N/A</v>
      </c>
      <c r="AB34" s="1899" t="e">
        <f t="shared" si="4"/>
        <v>#N/A</v>
      </c>
      <c r="AC34" s="1899" t="e">
        <f t="shared" si="5"/>
        <v>#N/A</v>
      </c>
    </row>
    <row r="35" spans="1:29" ht="15">
      <c r="A35" s="453"/>
      <c r="B35" s="402" t="s">
        <v>2551</v>
      </c>
      <c r="C35" s="2404"/>
      <c r="D35" s="415">
        <v>100</v>
      </c>
      <c r="E35" s="2404"/>
      <c r="F35" s="415">
        <f>SUMIF(110:110,E35,111:111)-SUMIF(110:110,C35,111:111)+100</f>
        <v>100</v>
      </c>
      <c r="G35" s="2404"/>
      <c r="H35" s="415">
        <f>SUMIF(110:110,G35,111:111)-SUMIF(110:110,C35,111:111)+100</f>
        <v>100</v>
      </c>
      <c r="I35" s="2404"/>
      <c r="J35" s="415">
        <f>SUMIF(110:110,I35,111:111)-SUMIF(110:110,C35,111:111)+100</f>
        <v>100</v>
      </c>
      <c r="K35" s="596"/>
      <c r="L35" s="1249"/>
      <c r="M35" s="1240"/>
      <c r="N35" s="1240"/>
      <c r="O35" s="1248"/>
      <c r="P35" s="3011"/>
      <c r="Q35" s="1895" t="str">
        <f t="shared" ref="Q35:Q40" si="14">B35</f>
        <v>宗地形状</v>
      </c>
      <c r="R35" s="753" t="s">
        <v>25</v>
      </c>
      <c r="S35" s="754">
        <f t="shared" si="10"/>
        <v>100</v>
      </c>
      <c r="T35" s="753" t="s">
        <v>25</v>
      </c>
      <c r="U35" s="754">
        <f t="shared" si="11"/>
        <v>100</v>
      </c>
      <c r="V35" s="753" t="s">
        <v>25</v>
      </c>
      <c r="W35" s="754">
        <f t="shared" si="12"/>
        <v>100</v>
      </c>
      <c r="X35" s="1896"/>
      <c r="Y35" s="3011"/>
      <c r="Z35" s="1898" t="str">
        <f t="shared" si="13"/>
        <v>宗地形状</v>
      </c>
      <c r="AA35" s="1899">
        <f t="shared" si="3"/>
        <v>1</v>
      </c>
      <c r="AB35" s="1899">
        <f t="shared" si="4"/>
        <v>1</v>
      </c>
      <c r="AC35" s="1899">
        <f t="shared" si="5"/>
        <v>1</v>
      </c>
    </row>
    <row r="36" spans="1:29" s="35" customFormat="1" ht="15">
      <c r="A36" s="454"/>
      <c r="B36" s="402" t="s">
        <v>2553</v>
      </c>
      <c r="C36" s="2482"/>
      <c r="D36" s="52">
        <v>100</v>
      </c>
      <c r="E36" s="2482"/>
      <c r="F36" s="415">
        <f>SUMIF(112:112,E36,113:113)-SUMIF(112:112,C36,113:113)+100</f>
        <v>100</v>
      </c>
      <c r="G36" s="2482"/>
      <c r="H36" s="415">
        <f>SUMIF(112:112,G36,113:113)-SUMIF(112:112,C36,113:113)+100</f>
        <v>100</v>
      </c>
      <c r="I36" s="2482"/>
      <c r="J36" s="415">
        <f>SUMIF(112:112,I36,113:113)-SUMIF(112:112,C36,113:113)+100</f>
        <v>100</v>
      </c>
      <c r="K36" s="596"/>
      <c r="L36" s="1241"/>
      <c r="M36" s="1242"/>
      <c r="N36" s="1242"/>
      <c r="O36" s="1243"/>
      <c r="P36" s="3011"/>
      <c r="Q36" s="1895" t="str">
        <f t="shared" si="14"/>
        <v>宗地开发程度</v>
      </c>
      <c r="R36" s="749" t="s">
        <v>25</v>
      </c>
      <c r="S36" s="750">
        <f t="shared" si="10"/>
        <v>100</v>
      </c>
      <c r="T36" s="749" t="s">
        <v>25</v>
      </c>
      <c r="U36" s="750">
        <f t="shared" si="11"/>
        <v>100</v>
      </c>
      <c r="V36" s="749" t="s">
        <v>25</v>
      </c>
      <c r="W36" s="750">
        <f t="shared" si="12"/>
        <v>100</v>
      </c>
      <c r="X36" s="751"/>
      <c r="Y36" s="3011"/>
      <c r="Z36" s="23" t="str">
        <f t="shared" si="13"/>
        <v>宗地开发程度</v>
      </c>
      <c r="AA36" s="752">
        <f t="shared" si="3"/>
        <v>1</v>
      </c>
      <c r="AB36" s="752">
        <f t="shared" si="4"/>
        <v>1</v>
      </c>
      <c r="AC36" s="752">
        <f t="shared" si="5"/>
        <v>1</v>
      </c>
    </row>
    <row r="37" spans="1:29" ht="15">
      <c r="A37" s="453"/>
      <c r="B37" s="402" t="s">
        <v>2554</v>
      </c>
      <c r="C37" s="2404"/>
      <c r="D37" s="415">
        <v>100</v>
      </c>
      <c r="E37" s="2404"/>
      <c r="F37" s="415">
        <f>SUMIF(114:114,E37,115:115)-SUMIF(114:114,C37,115:115)+100</f>
        <v>100</v>
      </c>
      <c r="G37" s="2404"/>
      <c r="H37" s="415">
        <f>SUMIF(114:114,G37,115:115)-SUMIF(114:114,C37,115:115)+100</f>
        <v>100</v>
      </c>
      <c r="I37" s="2404"/>
      <c r="J37" s="415">
        <f>SUMIF(114:114,I37,115:115)-SUMIF(114:114,C37,115:115)+100</f>
        <v>100</v>
      </c>
      <c r="K37" s="596"/>
      <c r="L37" s="1249"/>
      <c r="M37" s="1240"/>
      <c r="N37" s="1240"/>
      <c r="O37" s="1248"/>
      <c r="P37" s="3011" t="s">
        <v>2370</v>
      </c>
      <c r="Q37" s="1895" t="str">
        <f t="shared" si="14"/>
        <v>工程地质条件</v>
      </c>
      <c r="R37" s="753" t="s">
        <v>25</v>
      </c>
      <c r="S37" s="754">
        <f t="shared" si="10"/>
        <v>100</v>
      </c>
      <c r="T37" s="753" t="s">
        <v>25</v>
      </c>
      <c r="U37" s="754">
        <f t="shared" si="11"/>
        <v>100</v>
      </c>
      <c r="V37" s="753" t="s">
        <v>25</v>
      </c>
      <c r="W37" s="754">
        <f t="shared" si="12"/>
        <v>100</v>
      </c>
      <c r="X37" s="1896"/>
      <c r="Y37" s="3011" t="s">
        <v>2370</v>
      </c>
      <c r="Z37" s="1898" t="str">
        <f t="shared" si="13"/>
        <v>工程地质条件</v>
      </c>
      <c r="AA37" s="1899">
        <f t="shared" si="3"/>
        <v>1</v>
      </c>
      <c r="AB37" s="1899">
        <f t="shared" si="4"/>
        <v>1</v>
      </c>
      <c r="AC37" s="1899">
        <f t="shared" si="5"/>
        <v>1</v>
      </c>
    </row>
    <row r="38" spans="1:29" ht="15">
      <c r="A38" s="453"/>
      <c r="B38" s="2483">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3011"/>
      <c r="Q38" s="1895">
        <f t="shared" si="14"/>
        <v>111</v>
      </c>
      <c r="R38" s="753" t="s">
        <v>25</v>
      </c>
      <c r="S38" s="754">
        <f t="shared" si="10"/>
        <v>100</v>
      </c>
      <c r="T38" s="753" t="s">
        <v>25</v>
      </c>
      <c r="U38" s="754">
        <f t="shared" si="11"/>
        <v>100</v>
      </c>
      <c r="V38" s="753" t="s">
        <v>25</v>
      </c>
      <c r="W38" s="754">
        <f t="shared" si="12"/>
        <v>100</v>
      </c>
      <c r="X38" s="1896"/>
      <c r="Y38" s="3011"/>
      <c r="Z38" s="1898">
        <f t="shared" si="13"/>
        <v>111</v>
      </c>
      <c r="AA38" s="1899">
        <f t="shared" si="3"/>
        <v>1</v>
      </c>
      <c r="AB38" s="1899">
        <f t="shared" si="4"/>
        <v>1</v>
      </c>
      <c r="AC38" s="1899">
        <f t="shared" si="5"/>
        <v>1</v>
      </c>
    </row>
    <row r="39" spans="1:29" ht="15">
      <c r="A39" s="453"/>
      <c r="B39" s="2483">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3011"/>
      <c r="Q39" s="1895">
        <f t="shared" si="14"/>
        <v>111</v>
      </c>
      <c r="R39" s="753" t="s">
        <v>25</v>
      </c>
      <c r="S39" s="754">
        <f t="shared" si="10"/>
        <v>100</v>
      </c>
      <c r="T39" s="753" t="s">
        <v>25</v>
      </c>
      <c r="U39" s="754">
        <f t="shared" si="11"/>
        <v>100</v>
      </c>
      <c r="V39" s="753" t="s">
        <v>25</v>
      </c>
      <c r="W39" s="754">
        <f t="shared" si="12"/>
        <v>100</v>
      </c>
      <c r="X39" s="1896"/>
      <c r="Y39" s="3011"/>
      <c r="Z39" s="1898">
        <f t="shared" si="13"/>
        <v>111</v>
      </c>
      <c r="AA39" s="1899">
        <f t="shared" si="3"/>
        <v>1</v>
      </c>
      <c r="AB39" s="1899">
        <f t="shared" si="4"/>
        <v>1</v>
      </c>
      <c r="AC39" s="1899">
        <f t="shared" si="5"/>
        <v>1</v>
      </c>
    </row>
    <row r="40" spans="1:29" s="452" customFormat="1" ht="15.75" thickBot="1">
      <c r="A40" s="449"/>
      <c r="B40" s="2483">
        <v>111</v>
      </c>
      <c r="C40" s="2484"/>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3011"/>
      <c r="Q40" s="1895">
        <f t="shared" si="14"/>
        <v>111</v>
      </c>
      <c r="R40" s="756" t="s">
        <v>25</v>
      </c>
      <c r="S40" s="757">
        <f t="shared" si="10"/>
        <v>100</v>
      </c>
      <c r="T40" s="756" t="s">
        <v>25</v>
      </c>
      <c r="U40" s="757">
        <f t="shared" si="11"/>
        <v>100</v>
      </c>
      <c r="V40" s="756" t="s">
        <v>25</v>
      </c>
      <c r="W40" s="757">
        <f t="shared" si="12"/>
        <v>100</v>
      </c>
      <c r="X40" s="758"/>
      <c r="Y40" s="3011"/>
      <c r="Z40" s="759">
        <f t="shared" si="13"/>
        <v>111</v>
      </c>
      <c r="AA40" s="1899">
        <f t="shared" si="3"/>
        <v>1</v>
      </c>
      <c r="AB40" s="1899">
        <f t="shared" si="4"/>
        <v>1</v>
      </c>
      <c r="AC40" s="1899">
        <f t="shared" si="5"/>
        <v>1</v>
      </c>
    </row>
    <row r="41" spans="1:29" ht="15">
      <c r="A41" s="460" t="s">
        <v>2518</v>
      </c>
      <c r="B41" s="2485" t="s">
        <v>2593</v>
      </c>
      <c r="C41" s="665" t="s">
        <v>1</v>
      </c>
      <c r="D41" s="462"/>
      <c r="E41" s="463"/>
      <c r="F41" s="464"/>
      <c r="G41" s="465"/>
      <c r="H41" s="466"/>
      <c r="I41" s="463"/>
      <c r="J41" s="466"/>
      <c r="K41" s="762"/>
      <c r="L41" s="1252"/>
      <c r="M41" s="1240"/>
      <c r="N41" s="1240"/>
      <c r="O41" s="1253"/>
      <c r="P41" s="3013" t="str">
        <f>A41</f>
        <v>成交单价</v>
      </c>
      <c r="Q41" s="3013"/>
      <c r="R41" s="3001">
        <f>E41</f>
        <v>0</v>
      </c>
      <c r="S41" s="3001"/>
      <c r="T41" s="3001">
        <f>G41</f>
        <v>0</v>
      </c>
      <c r="U41" s="3001"/>
      <c r="V41" s="3001">
        <f>I41</f>
        <v>0</v>
      </c>
      <c r="W41" s="3001"/>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2"/>
      <c r="M42" s="1240"/>
      <c r="N42" s="1240"/>
      <c r="O42" s="1253"/>
      <c r="P42" s="3013" t="str">
        <f>A42</f>
        <v>比较价值（元/平方米）</v>
      </c>
      <c r="Q42" s="3013"/>
      <c r="R42" s="3060" t="e">
        <f>ROUND(PRODUCT(R41,AA7:AA40),0)</f>
        <v>#DIV/0!</v>
      </c>
      <c r="S42" s="3060"/>
      <c r="T42" s="3060" t="e">
        <f>ROUND(PRODUCT(T41,AB7:AB40),0)</f>
        <v>#DIV/0!</v>
      </c>
      <c r="U42" s="3060"/>
      <c r="V42" s="3060" t="e">
        <f>ROUND(PRODUCT(V41,AC7:AC40),0)</f>
        <v>#DIV/0!</v>
      </c>
      <c r="W42" s="3060"/>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2"/>
      <c r="M43" s="1240"/>
      <c r="N43" s="1240"/>
      <c r="O43" s="1253"/>
      <c r="P43" s="3051" t="str">
        <f>A43</f>
        <v>估价对象XX用房的比较价值（楼面单价，元/平方米）</v>
      </c>
      <c r="Q43" s="2977"/>
      <c r="R43" s="3061" t="e">
        <f>ROUND(AVERAGE(R42:V42),0)</f>
        <v>#DIV/0!</v>
      </c>
      <c r="S43" s="3061"/>
      <c r="T43" s="3061"/>
      <c r="U43" s="3061"/>
      <c r="V43" s="3061"/>
      <c r="W43" s="3061"/>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5" thickBot="1">
      <c r="A49" s="1255"/>
      <c r="B49" s="1256"/>
      <c r="C49" s="1261"/>
      <c r="D49" s="1255"/>
      <c r="E49" s="1255"/>
      <c r="F49" s="1255"/>
      <c r="G49" s="1255"/>
      <c r="H49" s="1255"/>
      <c r="I49" s="1255"/>
      <c r="J49" s="1255"/>
      <c r="K49" s="1259"/>
      <c r="L49" s="1260"/>
      <c r="M49" s="1255"/>
      <c r="N49" s="1255"/>
      <c r="O49" s="1255"/>
    </row>
    <row r="50" spans="1:17" ht="27">
      <c r="A50" s="667" t="s">
        <v>2556</v>
      </c>
      <c r="B50" s="668" t="s">
        <v>2557</v>
      </c>
      <c r="C50" s="2486" t="s">
        <v>2558</v>
      </c>
      <c r="D50" s="2487" t="s">
        <v>2559</v>
      </c>
      <c r="E50" s="669" t="s">
        <v>2560</v>
      </c>
      <c r="F50" s="670" t="s">
        <v>2561</v>
      </c>
      <c r="G50" s="1898" t="s">
        <v>2594</v>
      </c>
      <c r="H50" s="1898">
        <f>项目基本情况!G8</f>
        <v>0</v>
      </c>
      <c r="I50" s="1845" t="s">
        <v>2563</v>
      </c>
      <c r="J50" s="1258"/>
      <c r="K50" s="1254"/>
      <c r="L50" s="1254"/>
      <c r="M50" s="1253"/>
      <c r="N50" s="1253"/>
      <c r="O50" s="1253"/>
    </row>
    <row r="51" spans="1:17" s="675" customFormat="1">
      <c r="A51" s="671" t="s">
        <v>2564</v>
      </c>
      <c r="B51" s="672" t="e">
        <f>C43</f>
        <v>#DIV/0!</v>
      </c>
      <c r="C51" s="673">
        <v>1</v>
      </c>
      <c r="D51" s="673">
        <v>1</v>
      </c>
      <c r="E51" s="677">
        <v>120</v>
      </c>
      <c r="F51" s="674" t="e">
        <f t="shared" ref="F51:F60" si="15">ROUND(B51*E51,0)</f>
        <v>#DIV/0!</v>
      </c>
      <c r="G51" s="972">
        <v>1</v>
      </c>
      <c r="H51" s="972">
        <v>1</v>
      </c>
      <c r="I51" s="1255"/>
      <c r="J51" s="1258"/>
      <c r="K51" s="1254"/>
      <c r="L51" s="1254"/>
      <c r="M51" s="1253"/>
      <c r="N51" s="1253"/>
      <c r="O51" s="1253"/>
    </row>
    <row r="52" spans="1:17" s="675" customFormat="1">
      <c r="A52" s="676" t="s">
        <v>2565</v>
      </c>
      <c r="B52" s="178" t="e">
        <f>ROUND($C$43*C52*D52,0)</f>
        <v>#DIV/0!</v>
      </c>
      <c r="C52" s="117">
        <f>IF($C$50="北京市系数",G52,H52)</f>
        <v>0.7</v>
      </c>
      <c r="D52" s="1288">
        <v>0.25</v>
      </c>
      <c r="E52" s="677">
        <v>0</v>
      </c>
      <c r="F52" s="674" t="e">
        <f t="shared" si="15"/>
        <v>#DIV/0!</v>
      </c>
      <c r="G52" s="972">
        <f>SUMIF(修正!$A$45:$A$56,项目基本情况!$F$9,修正!B45:B56)</f>
        <v>0.7</v>
      </c>
      <c r="H52" s="973"/>
      <c r="I52" s="1253"/>
      <c r="J52" s="1258"/>
      <c r="K52" s="1254"/>
      <c r="L52" s="1254"/>
      <c r="M52" s="1253"/>
      <c r="N52" s="1253"/>
      <c r="O52" s="1253"/>
    </row>
    <row r="53" spans="1:17" s="675" customFormat="1">
      <c r="A53" s="676" t="s">
        <v>2566</v>
      </c>
      <c r="B53" s="178" t="e">
        <f t="shared" ref="B53:B60" si="16">ROUND($C$43*C53*D53,0)</f>
        <v>#DIV/0!</v>
      </c>
      <c r="C53" s="117">
        <f t="shared" ref="C53:C60" si="17">IF($C$50="北京市系数",G53,H53)</f>
        <v>0.4</v>
      </c>
      <c r="D53" s="1288">
        <v>0.25</v>
      </c>
      <c r="E53" s="677">
        <v>0</v>
      </c>
      <c r="F53" s="674" t="e">
        <f t="shared" si="15"/>
        <v>#DIV/0!</v>
      </c>
      <c r="G53" s="972">
        <f>SUMIF(修正!$A$45:$A$56,项目基本情况!$F$9,修正!C45:C56)</f>
        <v>0.4</v>
      </c>
      <c r="H53" s="973"/>
      <c r="I53" s="1255"/>
      <c r="J53" s="1258"/>
      <c r="K53" s="1254"/>
      <c r="L53" s="1254"/>
      <c r="M53" s="1253"/>
      <c r="N53" s="1253"/>
      <c r="O53" s="1253"/>
    </row>
    <row r="54" spans="1:17" s="675" customFormat="1">
      <c r="A54" s="676" t="s">
        <v>2567</v>
      </c>
      <c r="B54" s="178" t="e">
        <f t="shared" si="16"/>
        <v>#DIV/0!</v>
      </c>
      <c r="C54" s="117">
        <f t="shared" si="17"/>
        <v>0.28000000000000003</v>
      </c>
      <c r="D54" s="1288">
        <v>0.25</v>
      </c>
      <c r="E54" s="677">
        <v>0</v>
      </c>
      <c r="F54" s="674" t="e">
        <f t="shared" si="15"/>
        <v>#DIV/0!</v>
      </c>
      <c r="G54" s="972">
        <f>SUMIF(修正!$A$45:$A$56,项目基本情况!$F$9,修正!D45:D56)</f>
        <v>0.28000000000000003</v>
      </c>
      <c r="H54" s="973"/>
      <c r="I54" s="1253"/>
      <c r="J54" s="1258"/>
      <c r="K54" s="1254"/>
      <c r="L54" s="1254"/>
      <c r="M54" s="1253"/>
      <c r="N54" s="1253"/>
      <c r="O54" s="1253"/>
    </row>
    <row r="55" spans="1:17" s="675" customFormat="1">
      <c r="A55" s="676" t="s">
        <v>2568</v>
      </c>
      <c r="B55" s="178" t="e">
        <f t="shared" si="16"/>
        <v>#DIV/0!</v>
      </c>
      <c r="C55" s="117">
        <f t="shared" si="17"/>
        <v>0.25</v>
      </c>
      <c r="D55" s="1288">
        <v>0.25</v>
      </c>
      <c r="E55" s="677">
        <v>0</v>
      </c>
      <c r="F55" s="674" t="e">
        <f t="shared" si="15"/>
        <v>#DIV/0!</v>
      </c>
      <c r="G55" s="972">
        <f>SUMIF(修正!$A$45:$A$56,项目基本情况!$F$9,修正!E45:E56)</f>
        <v>0.25</v>
      </c>
      <c r="H55" s="973"/>
      <c r="I55" s="1255"/>
      <c r="J55" s="1258"/>
      <c r="K55" s="1254"/>
      <c r="L55" s="1254"/>
      <c r="M55" s="1253"/>
      <c r="N55" s="1253"/>
      <c r="O55" s="1253"/>
    </row>
    <row r="56" spans="1:17" s="675" customFormat="1">
      <c r="A56" s="676" t="s">
        <v>2569</v>
      </c>
      <c r="B56" s="178" t="e">
        <f t="shared" si="16"/>
        <v>#DIV/0!</v>
      </c>
      <c r="C56" s="117">
        <f t="shared" si="17"/>
        <v>0.2</v>
      </c>
      <c r="D56" s="1288">
        <v>0.25</v>
      </c>
      <c r="E56" s="677">
        <v>0</v>
      </c>
      <c r="F56" s="674" t="e">
        <f t="shared" si="15"/>
        <v>#DIV/0!</v>
      </c>
      <c r="G56" s="972">
        <f>SUMIF(修正!A40:A51,项目基本情况!F9,修正!F45:F56)</f>
        <v>0.2</v>
      </c>
      <c r="H56" s="973"/>
      <c r="I56" s="1253"/>
      <c r="J56" s="1258"/>
      <c r="K56" s="1254"/>
      <c r="L56" s="1254"/>
      <c r="M56" s="1253"/>
      <c r="N56" s="1253"/>
      <c r="O56" s="1253"/>
    </row>
    <row r="57" spans="1:17" s="675" customFormat="1">
      <c r="A57" s="676" t="s">
        <v>2570</v>
      </c>
      <c r="B57" s="178" t="e">
        <f t="shared" si="16"/>
        <v>#DIV/0!</v>
      </c>
      <c r="C57" s="117">
        <f t="shared" si="17"/>
        <v>0.2</v>
      </c>
      <c r="D57" s="1288">
        <v>0.25</v>
      </c>
      <c r="E57" s="677">
        <v>0</v>
      </c>
      <c r="F57" s="674" t="e">
        <f t="shared" si="15"/>
        <v>#DIV/0!</v>
      </c>
      <c r="G57" s="972">
        <f>SUMIF(修正!A40:A51,项目基本情况!F9,修正!G45:G56)</f>
        <v>0.2</v>
      </c>
      <c r="H57" s="973"/>
      <c r="I57" s="1255"/>
      <c r="J57" s="1258"/>
      <c r="K57" s="1254"/>
      <c r="L57" s="1254"/>
      <c r="M57" s="1253"/>
      <c r="N57" s="1253"/>
      <c r="O57" s="1253"/>
    </row>
    <row r="58" spans="1:17" s="675" customFormat="1">
      <c r="A58" s="676" t="s">
        <v>2571</v>
      </c>
      <c r="B58" s="178" t="e">
        <f t="shared" si="16"/>
        <v>#DIV/0!</v>
      </c>
      <c r="C58" s="117">
        <f t="shared" si="17"/>
        <v>0.15</v>
      </c>
      <c r="D58" s="1288">
        <v>0.25</v>
      </c>
      <c r="E58" s="677">
        <v>0</v>
      </c>
      <c r="F58" s="674" t="e">
        <f t="shared" si="15"/>
        <v>#DIV/0!</v>
      </c>
      <c r="G58" s="972">
        <f>SUMIF(修正!A40:A51,项目基本情况!F9,修正!H45:H56)</f>
        <v>0.15</v>
      </c>
      <c r="H58" s="973"/>
      <c r="I58" s="1253"/>
      <c r="J58" s="1258"/>
      <c r="K58" s="1254"/>
      <c r="L58" s="1254"/>
      <c r="M58" s="1253"/>
      <c r="N58" s="1253"/>
      <c r="O58" s="1253"/>
    </row>
    <row r="59" spans="1:17" s="675" customFormat="1">
      <c r="A59" s="676" t="s">
        <v>2572</v>
      </c>
      <c r="B59" s="178" t="e">
        <f t="shared" si="16"/>
        <v>#DIV/0!</v>
      </c>
      <c r="C59" s="117">
        <f t="shared" si="17"/>
        <v>0.15</v>
      </c>
      <c r="D59" s="1288">
        <v>0.25</v>
      </c>
      <c r="E59" s="677">
        <v>0</v>
      </c>
      <c r="F59" s="674" t="e">
        <f t="shared" si="15"/>
        <v>#DIV/0!</v>
      </c>
      <c r="G59" s="972">
        <f>G58</f>
        <v>0.15</v>
      </c>
      <c r="H59" s="973"/>
      <c r="I59" s="1255"/>
      <c r="J59" s="1258"/>
      <c r="K59" s="1254"/>
      <c r="L59" s="1254"/>
      <c r="M59" s="1253"/>
      <c r="N59" s="1253"/>
      <c r="O59" s="1253"/>
    </row>
    <row r="60" spans="1:17" s="675" customFormat="1">
      <c r="A60" s="676" t="s">
        <v>2573</v>
      </c>
      <c r="B60" s="178" t="e">
        <f t="shared" si="16"/>
        <v>#DIV/0!</v>
      </c>
      <c r="C60" s="117">
        <f t="shared" si="17"/>
        <v>0.15</v>
      </c>
      <c r="D60" s="1288">
        <v>0.25</v>
      </c>
      <c r="E60" s="677">
        <v>0</v>
      </c>
      <c r="F60" s="674" t="e">
        <f t="shared" si="15"/>
        <v>#DIV/0!</v>
      </c>
      <c r="G60" s="972">
        <f>G58</f>
        <v>0.15</v>
      </c>
      <c r="H60" s="973"/>
      <c r="I60" s="1253"/>
      <c r="J60" s="1258"/>
      <c r="K60" s="1254"/>
      <c r="L60" s="1254"/>
      <c r="M60" s="1253"/>
      <c r="N60" s="1253"/>
      <c r="O60" s="1253"/>
    </row>
    <row r="61" spans="1:17" s="675" customFormat="1" ht="15" thickBot="1">
      <c r="A61" s="679" t="s">
        <v>2574</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6" t="str">
        <f>YEAR(C7)&amp;"-"&amp;MONTH(C7)&amp;"-1"</f>
        <v>2018-6-1</v>
      </c>
      <c r="D63" s="1666">
        <f>EDATE(C63,-3)</f>
        <v>43160</v>
      </c>
      <c r="E63" s="1666">
        <f t="shared" ref="E63:O63" si="18">EDATE(D63,-3)</f>
        <v>43070</v>
      </c>
      <c r="F63" s="1666">
        <f t="shared" si="18"/>
        <v>42979</v>
      </c>
      <c r="G63" s="1666">
        <f t="shared" si="18"/>
        <v>42887</v>
      </c>
      <c r="H63" s="1666">
        <f t="shared" si="18"/>
        <v>42795</v>
      </c>
      <c r="I63" s="1666">
        <f t="shared" si="18"/>
        <v>42705</v>
      </c>
      <c r="J63" s="1666">
        <f t="shared" si="18"/>
        <v>42614</v>
      </c>
      <c r="K63" s="1666">
        <f t="shared" si="18"/>
        <v>42522</v>
      </c>
      <c r="L63" s="1666">
        <f t="shared" si="18"/>
        <v>42430</v>
      </c>
      <c r="M63" s="1666">
        <f t="shared" si="18"/>
        <v>42339</v>
      </c>
      <c r="N63" s="1666">
        <f t="shared" si="18"/>
        <v>42248</v>
      </c>
      <c r="O63" s="1666">
        <f t="shared" si="18"/>
        <v>42156</v>
      </c>
    </row>
    <row r="64" spans="1:17" ht="21.75" thickBot="1">
      <c r="A64" s="742" t="s">
        <v>2470</v>
      </c>
      <c r="B64" s="738"/>
      <c r="C64" s="743"/>
      <c r="D64" s="743"/>
      <c r="E64" s="743"/>
      <c r="F64" s="744"/>
      <c r="G64" s="744"/>
      <c r="H64" s="743"/>
      <c r="I64" s="1269"/>
      <c r="J64" s="1269"/>
      <c r="K64" s="1267"/>
      <c r="L64" s="1268"/>
      <c r="M64" s="1269"/>
      <c r="N64" s="1269"/>
      <c r="O64" s="1269"/>
      <c r="P64" s="484"/>
      <c r="Q64" s="485"/>
    </row>
    <row r="65" spans="1:17" s="489" customFormat="1" ht="15">
      <c r="A65" s="2489" t="s">
        <v>2575</v>
      </c>
      <c r="B65" s="1452"/>
      <c r="C65" s="1667" t="str">
        <f>YEAR(C63)&amp;"-"&amp;ROUNDUP(MONTH(C63)/3,0)</f>
        <v>2018-2</v>
      </c>
      <c r="D65" s="1667" t="str">
        <f t="shared" ref="D65:O65" si="19">YEAR(D63)&amp;"-"&amp;ROUNDUP(MONTH(D63)/3,0)</f>
        <v>2018-1</v>
      </c>
      <c r="E65" s="1667" t="str">
        <f t="shared" si="19"/>
        <v>2017-4</v>
      </c>
      <c r="F65" s="1667" t="str">
        <f t="shared" si="19"/>
        <v>2017-3</v>
      </c>
      <c r="G65" s="1667" t="str">
        <f t="shared" si="19"/>
        <v>2017-2</v>
      </c>
      <c r="H65" s="1667" t="str">
        <f t="shared" si="19"/>
        <v>2017-1</v>
      </c>
      <c r="I65" s="1667" t="str">
        <f t="shared" si="19"/>
        <v>2016-4</v>
      </c>
      <c r="J65" s="1667" t="str">
        <f t="shared" si="19"/>
        <v>2016-3</v>
      </c>
      <c r="K65" s="1667" t="str">
        <f t="shared" si="19"/>
        <v>2016-2</v>
      </c>
      <c r="L65" s="1667" t="str">
        <f t="shared" si="19"/>
        <v>2016-1</v>
      </c>
      <c r="M65" s="1667" t="str">
        <f t="shared" si="19"/>
        <v>2015-4</v>
      </c>
      <c r="N65" s="1667" t="str">
        <f t="shared" si="19"/>
        <v>2015-3</v>
      </c>
      <c r="O65" s="1667" t="str">
        <f t="shared" si="19"/>
        <v>2015-2</v>
      </c>
      <c r="P65" s="488"/>
    </row>
    <row r="66" spans="1:17" s="35" customFormat="1" ht="33.75" customHeight="1">
      <c r="A66" s="2495" t="s">
        <v>2595</v>
      </c>
      <c r="B66" s="284" t="str">
        <f>"北京市平均增长率"&amp;TEXT(基准地价修正!P24,"0.00%")</f>
        <v>北京市平均增长率1.35%</v>
      </c>
      <c r="C66" s="587">
        <v>100</v>
      </c>
      <c r="D66" s="579"/>
      <c r="E66" s="579"/>
      <c r="F66" s="579"/>
      <c r="G66" s="579"/>
      <c r="H66" s="579"/>
      <c r="I66" s="579"/>
      <c r="J66" s="579"/>
      <c r="K66" s="579"/>
      <c r="L66" s="579"/>
      <c r="M66" s="1665"/>
      <c r="N66" s="579"/>
      <c r="O66" s="1671"/>
      <c r="P66" s="485"/>
    </row>
    <row r="67" spans="1:17" s="35" customFormat="1" ht="15.75" thickBot="1">
      <c r="A67" s="496" t="s">
        <v>2390</v>
      </c>
      <c r="B67" s="497"/>
      <c r="C67" s="498"/>
      <c r="D67" s="499"/>
      <c r="E67" s="499"/>
      <c r="F67" s="499"/>
      <c r="G67" s="499"/>
      <c r="H67" s="499"/>
      <c r="I67" s="499"/>
      <c r="J67" s="499"/>
      <c r="K67" s="499"/>
      <c r="L67" s="499"/>
      <c r="M67" s="500"/>
      <c r="N67" s="499"/>
      <c r="O67" s="1672"/>
      <c r="P67" s="485"/>
      <c r="Q67" s="485"/>
    </row>
    <row r="68" spans="1:17" s="35" customFormat="1" ht="15">
      <c r="A68" s="502" t="s">
        <v>2354</v>
      </c>
      <c r="B68" s="491"/>
      <c r="C68" s="503" t="s">
        <v>2355</v>
      </c>
      <c r="D68" s="504"/>
      <c r="E68" s="504"/>
      <c r="F68" s="504"/>
      <c r="G68" s="504"/>
      <c r="H68" s="504"/>
      <c r="I68" s="504"/>
      <c r="J68" s="504"/>
      <c r="K68" s="504"/>
      <c r="L68" s="505"/>
      <c r="M68" s="506"/>
      <c r="N68" s="1262"/>
      <c r="O68" s="1262"/>
      <c r="P68" s="507"/>
      <c r="Q68" s="485"/>
    </row>
    <row r="69" spans="1:17" s="35" customFormat="1" ht="15.75" thickBot="1">
      <c r="A69" s="502"/>
      <c r="B69" s="491"/>
      <c r="C69" s="623">
        <v>100</v>
      </c>
      <c r="D69" s="493"/>
      <c r="E69" s="493"/>
      <c r="F69" s="493"/>
      <c r="G69" s="493"/>
      <c r="H69" s="493"/>
      <c r="I69" s="493"/>
      <c r="J69" s="493"/>
      <c r="K69" s="493"/>
      <c r="L69" s="493"/>
      <c r="M69" s="495"/>
      <c r="N69" s="1262"/>
      <c r="O69" s="1262"/>
      <c r="P69" s="485"/>
      <c r="Q69" s="485"/>
    </row>
    <row r="70" spans="1:17">
      <c r="A70" s="508" t="s">
        <v>2393</v>
      </c>
      <c r="B70" s="509" t="s">
        <v>2358</v>
      </c>
      <c r="C70" s="511"/>
      <c r="D70" s="511"/>
      <c r="E70" s="511"/>
      <c r="F70" s="511"/>
      <c r="G70" s="511"/>
      <c r="H70" s="511"/>
      <c r="I70" s="511"/>
      <c r="J70" s="511"/>
      <c r="K70" s="512"/>
      <c r="L70" s="513"/>
      <c r="M70" s="514"/>
      <c r="N70" s="1263"/>
      <c r="O70" s="1263"/>
      <c r="P70" s="22"/>
      <c r="Q70" s="485"/>
    </row>
    <row r="71" spans="1:17" ht="15.75" thickBot="1">
      <c r="A71" s="516"/>
      <c r="B71" s="517"/>
      <c r="C71" s="518"/>
      <c r="D71" s="518"/>
      <c r="E71" s="518"/>
      <c r="F71" s="518"/>
      <c r="G71" s="518"/>
      <c r="H71" s="518"/>
      <c r="I71" s="518"/>
      <c r="J71" s="518"/>
      <c r="K71" s="518"/>
      <c r="L71" s="518"/>
      <c r="M71" s="519"/>
      <c r="N71" s="1264"/>
      <c r="O71" s="1264"/>
      <c r="P71" s="22"/>
      <c r="Q71" s="485"/>
    </row>
    <row r="72" spans="1:17" ht="27.75" thickTop="1">
      <c r="A72" s="516"/>
      <c r="B72" s="521" t="s">
        <v>2361</v>
      </c>
      <c r="C72" s="522"/>
      <c r="D72" s="522"/>
      <c r="E72" s="522"/>
      <c r="F72" s="522"/>
      <c r="G72" s="522"/>
      <c r="H72" s="522"/>
      <c r="I72" s="522"/>
      <c r="J72" s="522"/>
      <c r="K72" s="523"/>
      <c r="L72" s="524"/>
      <c r="M72" s="525"/>
      <c r="N72" s="1263"/>
      <c r="O72" s="1263"/>
      <c r="P72" s="22"/>
      <c r="Q72" s="485"/>
    </row>
    <row r="73" spans="1:17" ht="15.75" thickBot="1">
      <c r="A73" s="516"/>
      <c r="B73" s="526"/>
      <c r="C73" s="527"/>
      <c r="D73" s="527"/>
      <c r="E73" s="527"/>
      <c r="F73" s="527"/>
      <c r="G73" s="527"/>
      <c r="H73" s="527"/>
      <c r="I73" s="527"/>
      <c r="J73" s="527"/>
      <c r="K73" s="527"/>
      <c r="L73" s="527"/>
      <c r="M73" s="528"/>
      <c r="N73" s="1264"/>
      <c r="O73" s="1264"/>
      <c r="P73" s="22"/>
      <c r="Q73" s="485"/>
    </row>
    <row r="74" spans="1:17" ht="15.75" thickTop="1">
      <c r="A74" s="516"/>
      <c r="B74" s="529" t="s">
        <v>2362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ht="15">
      <c r="A75" s="516"/>
      <c r="B75" s="531"/>
      <c r="C75" s="532"/>
      <c r="D75" s="532"/>
      <c r="E75" s="532"/>
      <c r="F75" s="532"/>
      <c r="G75" s="532"/>
      <c r="H75" s="532"/>
      <c r="I75" s="532"/>
      <c r="J75" s="532"/>
      <c r="K75" s="533"/>
      <c r="L75" s="534"/>
      <c r="M75" s="535"/>
      <c r="N75" s="1263"/>
      <c r="O75" s="1263"/>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5.75" thickTop="1">
      <c r="A77" s="536"/>
      <c r="B77" s="521">
        <f>B12</f>
        <v>111</v>
      </c>
      <c r="C77" s="537"/>
      <c r="D77" s="537"/>
      <c r="E77" s="537"/>
      <c r="F77" s="537"/>
      <c r="G77" s="537"/>
      <c r="H77" s="538"/>
      <c r="I77" s="538"/>
      <c r="J77" s="538"/>
      <c r="K77" s="538"/>
      <c r="L77" s="539"/>
      <c r="M77" s="540"/>
      <c r="N77" s="1265"/>
      <c r="O77" s="1265"/>
      <c r="P77" s="542"/>
      <c r="Q77" s="543"/>
    </row>
    <row r="78" spans="1:17" s="452" customFormat="1" ht="15.75" thickBot="1">
      <c r="A78" s="536"/>
      <c r="B78" s="526"/>
      <c r="C78" s="544"/>
      <c r="D78" s="518"/>
      <c r="E78" s="518"/>
      <c r="F78" s="518"/>
      <c r="G78" s="518"/>
      <c r="H78" s="518"/>
      <c r="I78" s="518"/>
      <c r="J78" s="518"/>
      <c r="K78" s="518"/>
      <c r="L78" s="518"/>
      <c r="M78" s="519"/>
      <c r="N78" s="1264"/>
      <c r="O78" s="1264"/>
      <c r="P78" s="542"/>
      <c r="Q78" s="543"/>
    </row>
    <row r="79" spans="1:17" s="452" customFormat="1" ht="15.75" thickTop="1">
      <c r="A79" s="536"/>
      <c r="B79" s="521">
        <f>B13</f>
        <v>111</v>
      </c>
      <c r="C79" s="537"/>
      <c r="D79" s="537"/>
      <c r="E79" s="537"/>
      <c r="F79" s="537"/>
      <c r="G79" s="537"/>
      <c r="H79" s="538"/>
      <c r="I79" s="538"/>
      <c r="J79" s="538"/>
      <c r="K79" s="538"/>
      <c r="L79" s="539"/>
      <c r="M79" s="540"/>
      <c r="N79" s="1265"/>
      <c r="O79" s="1265"/>
      <c r="P79" s="451"/>
      <c r="Q79" s="545"/>
    </row>
    <row r="80" spans="1:17" s="452" customFormat="1" ht="15.75" thickBot="1">
      <c r="A80" s="536"/>
      <c r="B80" s="526"/>
      <c r="C80" s="544"/>
      <c r="D80" s="544"/>
      <c r="E80" s="544"/>
      <c r="F80" s="544"/>
      <c r="G80" s="544"/>
      <c r="H80" s="546"/>
      <c r="I80" s="546"/>
      <c r="J80" s="546"/>
      <c r="K80" s="546"/>
      <c r="L80" s="546"/>
      <c r="M80" s="547"/>
      <c r="N80" s="1265"/>
      <c r="O80" s="1265"/>
      <c r="P80" s="542"/>
      <c r="Q80" s="543"/>
    </row>
    <row r="81" spans="1:17" s="452" customFormat="1" ht="15.75" thickTop="1">
      <c r="A81" s="536"/>
      <c r="B81" s="529">
        <f>B14</f>
        <v>111</v>
      </c>
      <c r="C81" s="504"/>
      <c r="D81" s="504"/>
      <c r="E81" s="504"/>
      <c r="F81" s="504"/>
      <c r="G81" s="504"/>
      <c r="H81" s="548"/>
      <c r="I81" s="548"/>
      <c r="J81" s="548"/>
      <c r="K81" s="548"/>
      <c r="L81" s="549"/>
      <c r="M81" s="550"/>
      <c r="N81" s="1265"/>
      <c r="O81" s="1265"/>
      <c r="P81" s="551"/>
      <c r="Q81" s="543"/>
    </row>
    <row r="82" spans="1:17" s="452" customFormat="1" ht="15.75" thickBot="1">
      <c r="A82" s="552"/>
      <c r="B82" s="553"/>
      <c r="C82" s="554"/>
      <c r="D82" s="554"/>
      <c r="E82" s="554"/>
      <c r="F82" s="554"/>
      <c r="G82" s="554"/>
      <c r="H82" s="555"/>
      <c r="I82" s="555"/>
      <c r="J82" s="555"/>
      <c r="K82" s="555"/>
      <c r="L82" s="555"/>
      <c r="M82" s="556"/>
      <c r="N82" s="1265"/>
      <c r="O82" s="1265"/>
      <c r="P82" s="542"/>
      <c r="Q82" s="543"/>
    </row>
    <row r="83" spans="1:17">
      <c r="A83" s="508" t="s">
        <v>2363</v>
      </c>
      <c r="B83" s="509" t="s">
        <v>2503</v>
      </c>
      <c r="C83" s="557" t="s">
        <v>2402</v>
      </c>
      <c r="D83" s="557" t="s">
        <v>2403</v>
      </c>
      <c r="E83" s="557" t="s">
        <v>2404</v>
      </c>
      <c r="F83" s="557" t="s">
        <v>2405</v>
      </c>
      <c r="G83" s="557" t="s">
        <v>2406</v>
      </c>
      <c r="H83" s="510"/>
      <c r="I83" s="510"/>
      <c r="J83" s="510"/>
      <c r="K83" s="558"/>
      <c r="L83" s="559"/>
      <c r="M83" s="560"/>
      <c r="N83" s="1263"/>
      <c r="O83" s="1263"/>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3"/>
      <c r="O85" s="1263"/>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2"/>
      <c r="O87" s="1262"/>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2"/>
      <c r="O89" s="1262"/>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5"/>
      <c r="O91" s="1265"/>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5"/>
      <c r="O93" s="1265"/>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5"/>
      <c r="O94" s="1265"/>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3"/>
      <c r="O95" s="1263"/>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7.75" thickTop="1">
      <c r="A97" s="516"/>
      <c r="B97" s="521" t="s">
        <v>2482</v>
      </c>
      <c r="C97" s="537"/>
      <c r="D97" s="537"/>
      <c r="E97" s="537"/>
      <c r="F97" s="537"/>
      <c r="G97" s="537"/>
      <c r="H97" s="567"/>
      <c r="I97" s="567"/>
      <c r="J97" s="567"/>
      <c r="K97" s="568"/>
      <c r="L97" s="569"/>
      <c r="M97" s="570"/>
      <c r="N97" s="1263"/>
      <c r="O97" s="1263"/>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75" thickTop="1">
      <c r="A99" s="516"/>
      <c r="B99" s="521" t="s">
        <v>2549</v>
      </c>
      <c r="C99" s="567"/>
      <c r="D99" s="567"/>
      <c r="E99" s="567"/>
      <c r="F99" s="567"/>
      <c r="G99" s="567"/>
      <c r="H99" s="567"/>
      <c r="I99" s="567"/>
      <c r="J99" s="567"/>
      <c r="K99" s="568"/>
      <c r="L99" s="569"/>
      <c r="M99" s="570"/>
      <c r="N99" s="1263"/>
      <c r="O99" s="1263"/>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5.75" thickTop="1">
      <c r="A101" s="516"/>
      <c r="B101" s="529">
        <f>B31</f>
        <v>111</v>
      </c>
      <c r="C101" s="537"/>
      <c r="D101" s="537"/>
      <c r="E101" s="537"/>
      <c r="F101" s="537"/>
      <c r="G101" s="571"/>
      <c r="H101" s="571"/>
      <c r="I101" s="571"/>
      <c r="J101" s="571"/>
      <c r="K101" s="572"/>
      <c r="L101" s="573"/>
      <c r="M101" s="574"/>
      <c r="N101" s="1263"/>
      <c r="O101" s="1263"/>
      <c r="P101" s="22"/>
      <c r="Q101" s="485"/>
    </row>
    <row r="102" spans="1:17" ht="15.75" thickBot="1">
      <c r="A102" s="516"/>
      <c r="B102" s="553"/>
      <c r="C102" s="544"/>
      <c r="D102" s="518"/>
      <c r="E102" s="518"/>
      <c r="F102" s="518"/>
      <c r="G102" s="575"/>
      <c r="H102" s="575"/>
      <c r="I102" s="575"/>
      <c r="J102" s="575"/>
      <c r="K102" s="575"/>
      <c r="L102" s="575"/>
      <c r="M102" s="576"/>
      <c r="N102" s="1264"/>
      <c r="O102" s="1264"/>
      <c r="P102" s="22"/>
      <c r="Q102" s="485"/>
    </row>
    <row r="103" spans="1:17" ht="15" thickTop="1">
      <c r="A103" s="658"/>
      <c r="B103" s="521">
        <f>B32</f>
        <v>111</v>
      </c>
      <c r="C103" s="537"/>
      <c r="D103" s="537"/>
      <c r="E103" s="537"/>
      <c r="F103" s="537"/>
      <c r="G103" s="567"/>
      <c r="H103" s="567"/>
      <c r="I103" s="567"/>
      <c r="J103" s="567"/>
      <c r="K103" s="568"/>
      <c r="L103" s="569"/>
      <c r="M103" s="570"/>
      <c r="N103" s="1263"/>
      <c r="O103" s="1263"/>
      <c r="P103" s="22"/>
      <c r="Q103" s="485"/>
    </row>
    <row r="104" spans="1:17" ht="15.75" thickBot="1">
      <c r="A104" s="516"/>
      <c r="B104" s="526"/>
      <c r="C104" s="544"/>
      <c r="D104" s="544"/>
      <c r="E104" s="544"/>
      <c r="F104" s="544"/>
      <c r="G104" s="518"/>
      <c r="H104" s="518"/>
      <c r="I104" s="518"/>
      <c r="J104" s="518"/>
      <c r="K104" s="518"/>
      <c r="L104" s="518"/>
      <c r="M104" s="519"/>
      <c r="N104" s="1264"/>
      <c r="O104" s="1264"/>
      <c r="P104" s="22"/>
      <c r="Q104" s="485"/>
    </row>
    <row r="105" spans="1:17" s="452" customFormat="1" ht="15"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5.75" thickBot="1">
      <c r="A106" s="536"/>
      <c r="B106" s="529"/>
      <c r="C106" s="554"/>
      <c r="D106" s="554"/>
      <c r="E106" s="554"/>
      <c r="F106" s="554"/>
      <c r="G106" s="660"/>
      <c r="H106" s="660"/>
      <c r="I106" s="660"/>
      <c r="J106" s="660"/>
      <c r="K106" s="660"/>
      <c r="L106" s="660"/>
      <c r="M106" s="683"/>
      <c r="N106" s="1264"/>
      <c r="O106" s="1264"/>
      <c r="P106" s="542"/>
      <c r="Q106" s="543"/>
    </row>
    <row r="107" spans="1:17">
      <c r="A107" s="508" t="s">
        <v>2368</v>
      </c>
      <c r="B107" s="509" t="s">
        <v>2584</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3"/>
      <c r="O107" s="1263"/>
      <c r="P107" s="22"/>
      <c r="Q107" s="485"/>
    </row>
    <row r="108" spans="1:17" ht="15">
      <c r="A108" s="516"/>
      <c r="B108" s="529"/>
      <c r="C108" s="579"/>
      <c r="D108" s="579"/>
      <c r="E108" s="579"/>
      <c r="F108" s="579"/>
      <c r="G108" s="579"/>
      <c r="H108" s="579"/>
      <c r="I108" s="579"/>
      <c r="J108" s="580"/>
      <c r="K108" s="580"/>
      <c r="L108" s="581"/>
      <c r="M108" s="582"/>
      <c r="N108" s="1263"/>
      <c r="O108" s="1263"/>
      <c r="P108" s="22"/>
      <c r="Q108" s="485"/>
    </row>
    <row r="109" spans="1:17" ht="15.75"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2585</v>
      </c>
      <c r="C110" s="567"/>
      <c r="D110" s="567"/>
      <c r="E110" s="567"/>
      <c r="F110" s="567"/>
      <c r="G110" s="567"/>
      <c r="H110" s="567"/>
      <c r="I110" s="567"/>
      <c r="J110" s="567"/>
      <c r="K110" s="568"/>
      <c r="L110" s="569"/>
      <c r="M110" s="570"/>
      <c r="N110" s="1263"/>
      <c r="O110" s="1263"/>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2587</v>
      </c>
      <c r="C112" s="537"/>
      <c r="D112" s="537"/>
      <c r="E112" s="537"/>
      <c r="F112" s="537"/>
      <c r="G112" s="537"/>
      <c r="H112" s="567"/>
      <c r="I112" s="567"/>
      <c r="J112" s="567"/>
      <c r="K112" s="568"/>
      <c r="L112" s="569"/>
      <c r="M112" s="570"/>
      <c r="N112" s="1265"/>
      <c r="O112" s="1265"/>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2588</v>
      </c>
      <c r="C114" s="537"/>
      <c r="D114" s="537"/>
      <c r="E114" s="567"/>
      <c r="F114" s="567"/>
      <c r="G114" s="567"/>
      <c r="H114" s="567"/>
      <c r="I114" s="567"/>
      <c r="J114" s="567"/>
      <c r="K114" s="568"/>
      <c r="L114" s="569"/>
      <c r="M114" s="570"/>
      <c r="N114" s="1263"/>
      <c r="O114" s="1263"/>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5" thickTop="1">
      <c r="A116" s="583"/>
      <c r="B116" s="521">
        <f>B38</f>
        <v>111</v>
      </c>
      <c r="C116" s="537"/>
      <c r="D116" s="537"/>
      <c r="E116" s="537"/>
      <c r="F116" s="537"/>
      <c r="G116" s="537"/>
      <c r="H116" s="567"/>
      <c r="I116" s="567"/>
      <c r="J116" s="567"/>
      <c r="K116" s="568"/>
      <c r="L116" s="569"/>
      <c r="M116" s="570"/>
      <c r="N116" s="1263"/>
      <c r="O116" s="1263"/>
      <c r="P116" s="22"/>
      <c r="Q116" s="485"/>
    </row>
    <row r="117" spans="1:17" ht="15.75" thickBot="1">
      <c r="A117" s="516"/>
      <c r="B117" s="526"/>
      <c r="C117" s="544"/>
      <c r="D117" s="518"/>
      <c r="E117" s="518"/>
      <c r="F117" s="518"/>
      <c r="G117" s="518"/>
      <c r="H117" s="518"/>
      <c r="I117" s="518"/>
      <c r="J117" s="518"/>
      <c r="K117" s="518"/>
      <c r="L117" s="518"/>
      <c r="M117" s="519"/>
      <c r="N117" s="1264"/>
      <c r="O117" s="1264"/>
      <c r="P117" s="22"/>
      <c r="Q117" s="485"/>
    </row>
    <row r="118" spans="1:17" ht="15" thickTop="1">
      <c r="A118" s="583"/>
      <c r="B118" s="521">
        <f>B39</f>
        <v>111</v>
      </c>
      <c r="C118" s="537"/>
      <c r="D118" s="537"/>
      <c r="E118" s="537"/>
      <c r="F118" s="537"/>
      <c r="G118" s="567"/>
      <c r="H118" s="567"/>
      <c r="I118" s="567"/>
      <c r="J118" s="567"/>
      <c r="K118" s="568"/>
      <c r="L118" s="569"/>
      <c r="M118" s="570"/>
      <c r="N118" s="1263"/>
      <c r="O118" s="1263"/>
      <c r="P118" s="22"/>
      <c r="Q118" s="485"/>
    </row>
    <row r="119" spans="1:17" ht="15.75" thickBot="1">
      <c r="A119" s="516"/>
      <c r="B119" s="526"/>
      <c r="C119" s="544"/>
      <c r="D119" s="544"/>
      <c r="E119" s="544"/>
      <c r="F119" s="544"/>
      <c r="G119" s="518"/>
      <c r="H119" s="518"/>
      <c r="I119" s="518"/>
      <c r="J119" s="518"/>
      <c r="K119" s="518"/>
      <c r="L119" s="518"/>
      <c r="M119" s="519"/>
      <c r="N119" s="1264"/>
      <c r="O119" s="1264"/>
      <c r="P119" s="22"/>
      <c r="Q119" s="485"/>
    </row>
    <row r="120" spans="1:17" s="452" customFormat="1" ht="15"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5.75" thickBot="1">
      <c r="A121" s="1270"/>
      <c r="B121" s="2496"/>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8" customWidth="1"/>
    <col min="2" max="3" width="12.5" style="1908" customWidth="1"/>
    <col min="4" max="6" width="8.125" style="1908"/>
    <col min="7" max="7" width="17.5" style="1908" customWidth="1"/>
    <col min="8" max="16384" width="8.125" style="1908"/>
  </cols>
  <sheetData>
    <row r="1" spans="1:7" ht="23.25">
      <c r="A1" s="1906" t="s">
        <v>1267</v>
      </c>
      <c r="B1" s="1907"/>
      <c r="C1" s="1907"/>
      <c r="D1" s="1907"/>
      <c r="E1" s="1907"/>
      <c r="F1" s="1907"/>
      <c r="G1" s="1907"/>
    </row>
    <row r="2" spans="1:7">
      <c r="A2" s="1909"/>
    </row>
    <row r="3" spans="1:7" s="1912" customFormat="1" ht="18">
      <c r="A3" s="1910" t="str">
        <f>IF(ISNUMBER(FIND("公司",项目基本情况!B4)),项目基本情况!B4&amp;"：",项目基本情况!B4&amp;"  先生/女士：")</f>
        <v xml:space="preserve">  先生/女士：</v>
      </c>
      <c r="B3" s="1911"/>
      <c r="C3" s="1911"/>
      <c r="D3" s="1911"/>
      <c r="E3" s="1911"/>
      <c r="F3" s="1911"/>
      <c r="G3" s="1911"/>
    </row>
    <row r="4" spans="1:7" ht="18">
      <c r="A4" s="1913" t="str">
        <f>IF(ISNUMBER(FIND("公司",A3)),"受贵公司委托，我公司对"&amp;项目基本情况!I1&amp;"进行了预评估。","受您的委托，我公司对"&amp;项目基本情况!I1&amp;"进行了预评估。")</f>
        <v>受您的委托，我公司对北京市房地产进行了预评估。</v>
      </c>
      <c r="B4" s="1913"/>
      <c r="C4" s="1913"/>
      <c r="D4" s="1913"/>
      <c r="E4" s="1913"/>
      <c r="F4" s="1913"/>
      <c r="G4" s="1913"/>
    </row>
    <row r="5" spans="1:7" ht="18.75">
      <c r="A5" s="1914" t="s">
        <v>1268</v>
      </c>
    </row>
    <row r="6" spans="1:7" s="1915" customFormat="1" ht="54">
      <c r="A6" s="191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估价对象为北京市房地产，为齐晓红所有。根据《不动产权证书》[]，估价对象建筑面积为573.89平方米，（分摊）出让国有建设用地使用权面积为平方米。估价对象用途为。</v>
      </c>
      <c r="B6" s="1913"/>
      <c r="C6" s="1913"/>
      <c r="D6" s="1913"/>
      <c r="E6" s="1913"/>
      <c r="F6" s="1913"/>
      <c r="G6" s="1913"/>
    </row>
    <row r="7" spans="1:7" ht="18.75">
      <c r="A7" s="1914" t="s">
        <v>1269</v>
      </c>
    </row>
    <row r="8" spans="1:7" ht="36">
      <c r="A8" s="1916" t="str">
        <f>IF(项目基本情况!D4="抵押",IF(项目基本情况!B4=项目基本情况!B5,定义!C51,定义!B51),定义!D51)</f>
        <v>为估价委托人在向中国农业银行股份有限公司北京顺义支行办理贷款手续过程中，确定房地产抵押贷款额度提供参考依据而评估房地产抵押价值。</v>
      </c>
      <c r="B8" s="1917"/>
      <c r="C8" s="1913"/>
      <c r="D8" s="1913"/>
      <c r="E8" s="1913"/>
      <c r="F8" s="1913"/>
      <c r="G8" s="1913"/>
    </row>
    <row r="9" spans="1:7" ht="18.75">
      <c r="A9" s="1911" t="s">
        <v>1270</v>
      </c>
      <c r="B9" s="1918"/>
    </row>
    <row r="10" spans="1:7" ht="18">
      <c r="A10" s="1919" t="str">
        <f>TEXT(项目基本情况!D2,"yyyy年m月d日;;")&amp;IF(项目基本情况!B2=项目基本情况!D2,"（评估专业人员实地查勘之日）","")</f>
        <v>2018年6月6日（评估专业人员实地查勘之日）</v>
      </c>
      <c r="B10" s="1920"/>
      <c r="C10" s="1920"/>
      <c r="D10" s="1920"/>
      <c r="E10" s="1920"/>
      <c r="F10" s="1920"/>
      <c r="G10" s="1920"/>
    </row>
    <row r="11" spans="1:7" ht="18.75">
      <c r="A11" s="1911" t="s">
        <v>1271</v>
      </c>
    </row>
    <row r="12" spans="1:7" ht="75">
      <c r="A12" s="1913" t="s">
        <v>1272</v>
      </c>
      <c r="B12" s="1913"/>
      <c r="C12" s="1913"/>
      <c r="D12" s="1913"/>
      <c r="E12" s="1913"/>
      <c r="F12" s="1913"/>
      <c r="G12" s="1913"/>
    </row>
    <row r="13" spans="1:7" ht="36">
      <c r="A13" s="191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本次估价的“房地产价值”是指在正常市场情况下，在价值时点2018年6月6日，估价对象规划用途为，假定未设立法定优先受偿款下的房地产市场价值。</v>
      </c>
      <c r="B13" s="1913"/>
      <c r="C13" s="1913"/>
      <c r="D13" s="1913"/>
      <c r="E13" s="1913"/>
      <c r="F13" s="1913"/>
      <c r="G13" s="1913"/>
    </row>
    <row r="14" spans="1:7" ht="36">
      <c r="A14" s="1916"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1"/>
      <c r="C14" s="1921"/>
      <c r="D14" s="1921"/>
      <c r="E14" s="1921"/>
      <c r="F14" s="1921"/>
      <c r="G14" s="1921"/>
    </row>
    <row r="15" spans="1:7" ht="56.25">
      <c r="A15" s="1913" t="s">
        <v>1266</v>
      </c>
      <c r="B15" s="1913"/>
      <c r="C15" s="1913"/>
      <c r="D15" s="1913"/>
      <c r="E15" s="1913"/>
      <c r="F15" s="1913"/>
      <c r="G15" s="1913"/>
    </row>
    <row r="16" spans="1:7" ht="54">
      <c r="A16" s="1917"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1"/>
      <c r="C16" s="1921"/>
      <c r="D16" s="1921"/>
      <c r="E16" s="1921"/>
      <c r="F16" s="1921"/>
      <c r="G16" s="1921"/>
    </row>
    <row r="17" spans="1:1" ht="18.75">
      <c r="A17" s="1911" t="s">
        <v>1265</v>
      </c>
    </row>
    <row r="18" spans="1:1" ht="18">
      <c r="A18" s="1922"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H6" sqref="H6"/>
    </sheetView>
  </sheetViews>
  <sheetFormatPr defaultRowHeight="12.75"/>
  <cols>
    <col min="1" max="1" width="9.75" style="2577" customWidth="1"/>
    <col min="2" max="2" width="19.25" style="2690" customWidth="1"/>
    <col min="3" max="3" width="12.5" style="2500" customWidth="1"/>
    <col min="4" max="4" width="12" style="2500" customWidth="1"/>
    <col min="5" max="5" width="14.625" style="2500" customWidth="1"/>
    <col min="6" max="8" width="12" style="2500" customWidth="1"/>
    <col min="9" max="9" width="12.25" style="2500" bestFit="1" customWidth="1"/>
    <col min="10" max="10" width="12" style="2500" customWidth="1"/>
    <col min="11" max="11" width="9.5" style="1458" customWidth="1"/>
    <col min="12" max="12" width="12" style="2500" customWidth="1"/>
    <col min="13" max="13" width="8.5" style="2500" customWidth="1"/>
    <col min="14" max="14" width="9.75" style="2500" customWidth="1"/>
    <col min="15" max="25" width="12" style="2500" customWidth="1"/>
    <col min="26" max="26" width="9.375" style="2577" customWidth="1"/>
    <col min="27" max="32" width="9.375" style="2653" customWidth="1"/>
    <col min="33" max="36" width="9.375" style="2577" customWidth="1"/>
    <col min="37" max="38" width="9.375" style="2500" customWidth="1"/>
    <col min="39" max="16384" width="9" style="2500"/>
  </cols>
  <sheetData>
    <row r="1" spans="1:36" ht="28.5">
      <c r="A1" s="161" t="s">
        <v>2596</v>
      </c>
      <c r="B1" s="2497"/>
      <c r="C1" s="162" t="s">
        <v>2597</v>
      </c>
      <c r="D1" s="2498">
        <f>SUM(D29:D30,D33:D39)</f>
        <v>0</v>
      </c>
      <c r="E1" s="2498"/>
      <c r="F1" s="2498"/>
      <c r="G1" s="2498"/>
      <c r="H1" s="2498"/>
      <c r="I1" s="2498"/>
      <c r="J1" s="2498"/>
      <c r="L1" s="2499" t="s">
        <v>2598</v>
      </c>
      <c r="M1" s="1115">
        <f>SUMPRODUCT((区片价!B5:B9=I2)*(区片价!C3:F3=E2)*(区片价!C5:F9))</f>
        <v>0</v>
      </c>
      <c r="N1" s="1118">
        <f>SUMPRODUCT((因素修正幅度!B5:B9=I2)*(因素修正幅度!C3:F3=E2)*(因素修正幅度!C5:F9))</f>
        <v>0</v>
      </c>
      <c r="O1" s="1458"/>
      <c r="P1" s="1458"/>
      <c r="Q1" s="1458"/>
      <c r="R1" s="1705" t="s">
        <v>2599</v>
      </c>
      <c r="S1" s="1705" t="s">
        <v>2600</v>
      </c>
      <c r="T1" s="1705" t="s">
        <v>2601</v>
      </c>
      <c r="U1" s="1705" t="s">
        <v>2602</v>
      </c>
      <c r="V1" s="1705" t="s">
        <v>2603</v>
      </c>
      <c r="W1" s="1709"/>
      <c r="X1" s="1709"/>
      <c r="Y1" s="1709"/>
      <c r="Z1" s="1709"/>
      <c r="AA1" s="1709"/>
      <c r="AB1" s="1709"/>
      <c r="AC1" s="1710"/>
      <c r="AD1" s="1711"/>
      <c r="AE1" s="1711"/>
      <c r="AF1" s="1711"/>
      <c r="AG1" s="1711"/>
      <c r="AH1" s="1711"/>
      <c r="AI1" s="1711"/>
      <c r="AJ1" s="1712"/>
    </row>
    <row r="2" spans="1:36" ht="24.75">
      <c r="A2" s="165" t="s">
        <v>2604</v>
      </c>
      <c r="B2" s="168">
        <f ca="1">C26</f>
        <v>0</v>
      </c>
      <c r="C2" s="2501" t="s">
        <v>2605</v>
      </c>
      <c r="D2" s="2502" t="s">
        <v>2606</v>
      </c>
      <c r="E2" s="2503" t="s">
        <v>2853</v>
      </c>
      <c r="F2" s="2502" t="s">
        <v>2607</v>
      </c>
      <c r="G2" s="2504" t="str">
        <f>项目基本情况!F9</f>
        <v>七级</v>
      </c>
      <c r="H2" s="2505" t="s">
        <v>2608</v>
      </c>
      <c r="I2" s="2504" t="str">
        <f>项目基本情况!F10</f>
        <v>Ⅶ-通1</v>
      </c>
      <c r="J2" s="2506"/>
      <c r="L2" s="2507" t="s">
        <v>2609</v>
      </c>
      <c r="M2" s="1116">
        <f>SUMPRODUCT((区片价!B10:B28=I2)*(区片价!C3:F3=E2)*(区片价!C10:F28))</f>
        <v>0</v>
      </c>
      <c r="N2" s="1119">
        <f>SUMPRODUCT((因素修正幅度!B10:B28=I2)*(因素修正幅度!C3:F3=E2)*(因素修正幅度!C10:F28))</f>
        <v>0</v>
      </c>
      <c r="O2" s="1458"/>
      <c r="P2" s="1458"/>
      <c r="Q2" s="1458"/>
      <c r="R2" s="1705">
        <v>1</v>
      </c>
      <c r="S2" s="1705" t="e">
        <f>ROUND(IF(G3&gt;1,IF(R2&lt;7,SUMPRODUCT((B93:B98=R2)*(C92:N92=G2)*(C93:N98)),SUMIF(C92:N92,G2,C100:N100)),IF(R2&lt;7,SUMPRODUCT((B102:B107=R2)*(C92:N92=G2)*(C102:N107)),SUMIF(C92:N92,G2,C109:N109))),4)</f>
        <v>#DIV/0!</v>
      </c>
      <c r="T2" s="1705" t="e">
        <f ca="1">ROUND($C$5*$C$18*$C$19*$C$20*S2*$C$24,0)</f>
        <v>#DIV/0!</v>
      </c>
      <c r="U2" s="1706"/>
      <c r="V2" s="1705" t="e">
        <f ca="1">ROUND(T2*U2/10000,0)</f>
        <v>#DIV/0!</v>
      </c>
      <c r="W2" s="1709"/>
      <c r="X2" s="1709"/>
      <c r="Y2" s="1709"/>
      <c r="Z2" s="1709"/>
      <c r="AA2" s="1709"/>
      <c r="AB2" s="1709"/>
      <c r="AC2" s="1710"/>
      <c r="AD2" s="1711"/>
      <c r="AE2" s="1711"/>
      <c r="AF2" s="1711"/>
      <c r="AG2" s="1711"/>
      <c r="AH2" s="1711"/>
      <c r="AI2" s="1711"/>
      <c r="AJ2" s="1712"/>
    </row>
    <row r="3" spans="1:36" ht="25.5">
      <c r="A3" s="167" t="s">
        <v>2610</v>
      </c>
      <c r="B3" s="168" t="e">
        <f ca="1">ROUND(B2/D1,0)</f>
        <v>#DIV/0!</v>
      </c>
      <c r="C3" s="2501" t="s">
        <v>2611</v>
      </c>
      <c r="D3" s="2502" t="s">
        <v>2612</v>
      </c>
      <c r="E3" s="2508" t="s">
        <v>2854</v>
      </c>
      <c r="F3" s="2509" t="s">
        <v>2613</v>
      </c>
      <c r="G3" s="941">
        <f>项目基本情况!C15</f>
        <v>0</v>
      </c>
      <c r="H3" s="115" t="s">
        <v>2614</v>
      </c>
      <c r="I3" s="974">
        <v>7</v>
      </c>
      <c r="J3" s="2506" t="s">
        <v>2615</v>
      </c>
      <c r="L3" s="2507" t="s">
        <v>2616</v>
      </c>
      <c r="M3" s="1116">
        <f>SUMPRODUCT((区片价!B29:B48=I2)*(区片价!C3:F3=E2)*(区片价!C29:F48))</f>
        <v>0</v>
      </c>
      <c r="N3" s="1119">
        <f>SUMPRODUCT((因素修正幅度!B29:B48=I2)*(因素修正幅度!C3:F3=E2)*(因素修正幅度!C29:F48))</f>
        <v>0</v>
      </c>
      <c r="O3" s="1458"/>
      <c r="P3" s="1458"/>
      <c r="Q3" s="1458"/>
      <c r="R3" s="1705">
        <v>2</v>
      </c>
      <c r="S3" s="1705" t="e">
        <f>ROUND(IF(G3&gt;1,IF(R3&lt;7,SUMPRODUCT((B93:B98=R3)*(C92:N92=G2)*(C93:N98)),SUMIF(C92:N92,G2,C100:N100)),IF(R3&lt;7,SUMPRODUCT((B102:B107=R3)*(C92:N92=G2)*(C102:N107)),SUMIF(C92:N92,G2,C109:N109))),4)</f>
        <v>#DIV/0!</v>
      </c>
      <c r="T3" s="1705" t="e">
        <f t="shared" ref="T3:T16" ca="1" si="0">ROUND($C$5*$C$18*$C$19*$C$20*S3*$C$24,0)</f>
        <v>#DIV/0!</v>
      </c>
      <c r="U3" s="1706"/>
      <c r="V3" s="1705" t="e">
        <f t="shared" ref="V3:V16" ca="1" si="1">ROUND(T3*U3/10000,0)</f>
        <v>#DIV/0!</v>
      </c>
      <c r="W3" s="1709"/>
      <c r="X3" s="1709"/>
      <c r="Y3" s="1709"/>
      <c r="Z3" s="1709"/>
      <c r="AA3" s="1709"/>
      <c r="AB3" s="1709"/>
      <c r="AC3" s="1710"/>
      <c r="AD3" s="1711"/>
      <c r="AE3" s="1711"/>
      <c r="AF3" s="1711"/>
      <c r="AG3" s="1711"/>
      <c r="AH3" s="1711"/>
      <c r="AI3" s="1711"/>
      <c r="AJ3" s="1712"/>
    </row>
    <row r="4" spans="1:36" ht="15.75">
      <c r="A4" s="3078"/>
      <c r="B4" s="3079"/>
      <c r="C4" s="3079"/>
      <c r="D4" s="3080"/>
      <c r="E4" s="3080"/>
      <c r="F4" s="3080"/>
      <c r="G4" s="3080"/>
      <c r="H4" s="3080"/>
      <c r="I4" s="3080"/>
      <c r="J4" s="3081"/>
      <c r="L4" s="2507" t="s">
        <v>2617</v>
      </c>
      <c r="M4" s="1116">
        <f>SUMPRODUCT((区片价!B49:B75=I2)*(区片价!C3:F3=E2)*(区片价!C49:F75))</f>
        <v>0</v>
      </c>
      <c r="N4" s="1119">
        <f>SUMPRODUCT((因素修正幅度!B49:B75=I2)*(因素修正幅度!C3:F3=E2)*(因素修正幅度!C49:F75))</f>
        <v>0</v>
      </c>
      <c r="O4" s="1458"/>
      <c r="P4" s="1458"/>
      <c r="Q4" s="1458"/>
      <c r="R4" s="1705">
        <v>3</v>
      </c>
      <c r="S4" s="1705" t="e">
        <f>ROUND(IF(G3&gt;1,IF(R4&lt;7,SUMPRODUCT((B93:B98=R4)*(C92:N92=G2)*(C93:N98)),SUMIF(C92:N92,G2,C100:N100)),IF(R4&lt;7,SUMPRODUCT((B102:B107=R4)*(C92:N92=G2)*(C102:N107)),SUMIF(C92:N92,G2,C109:N109))),4)</f>
        <v>#DIV/0!</v>
      </c>
      <c r="T4" s="1705" t="e">
        <f t="shared" ca="1" si="0"/>
        <v>#DIV/0!</v>
      </c>
      <c r="U4" s="1706"/>
      <c r="V4" s="1705" t="e">
        <f t="shared" ca="1" si="1"/>
        <v>#DIV/0!</v>
      </c>
      <c r="W4" s="1709"/>
      <c r="X4" s="1709"/>
      <c r="Y4" s="1709"/>
      <c r="Z4" s="1709"/>
      <c r="AA4" s="1709"/>
      <c r="AB4" s="1709"/>
      <c r="AC4" s="1710"/>
      <c r="AD4" s="1711"/>
      <c r="AE4" s="1711"/>
      <c r="AF4" s="1711"/>
      <c r="AG4" s="1711"/>
      <c r="AH4" s="1711"/>
      <c r="AI4" s="1711"/>
      <c r="AJ4" s="1712"/>
    </row>
    <row r="5" spans="1:36" s="2519" customFormat="1" ht="15.75" thickBot="1">
      <c r="A5" s="2510" t="s">
        <v>2618</v>
      </c>
      <c r="B5" s="2511" t="s">
        <v>2619</v>
      </c>
      <c r="C5" s="942">
        <f>ROUND(IF(E2="商业",IF(F16="增加",C6*C7+C16,C6*C7-C16),IF(E2="住宅",IF(F16="增加",C6*C12+C16,C6*C12-C16),IF(F16="增加",C6+C16,C6-C16))),0)</f>
        <v>7090</v>
      </c>
      <c r="D5" s="1873">
        <f>ROUND(IF(E2="商业",IF(F16="增加",C6+C16,C6-C16)),0)</f>
        <v>0</v>
      </c>
      <c r="E5" s="2512"/>
      <c r="F5" s="2512"/>
      <c r="G5" s="2513"/>
      <c r="H5" s="2513"/>
      <c r="I5" s="2513"/>
      <c r="J5" s="2514"/>
      <c r="K5" s="2515"/>
      <c r="L5" s="2507" t="s">
        <v>2620</v>
      </c>
      <c r="M5" s="1116">
        <f>SUMPRODUCT((区片价!B76:B109=I2)*(区片价!C3:F3=E2)*(区片价!C76:F109))</f>
        <v>0</v>
      </c>
      <c r="N5" s="1119">
        <f>SUMPRODUCT((因素修正幅度!B76:B109=I2)*(因素修正幅度!C3:F3=E2)*(因素修正幅度!C76:F109))</f>
        <v>0</v>
      </c>
      <c r="O5" s="1458"/>
      <c r="P5" s="1458"/>
      <c r="Q5" s="1458"/>
      <c r="R5" s="1705">
        <v>4</v>
      </c>
      <c r="S5" s="1705" t="e">
        <f>ROUND(IF(G3&gt;1,IF(R5&lt;7,SUMPRODUCT((B93:B98=R5)*(C92:N92=G2)*(C93:N98)),SUMIF(C92:N92,G2,C100:N100)),IF(R5&lt;7,SUMPRODUCT((B102:B107=R5)*(C92:N92=G2)*(C102:N107)),SUMIF(C92:N92,G2,C109:N109))),4)</f>
        <v>#DIV/0!</v>
      </c>
      <c r="T5" s="1705" t="e">
        <f t="shared" ca="1" si="0"/>
        <v>#DIV/0!</v>
      </c>
      <c r="U5" s="1706"/>
      <c r="V5" s="1705" t="e">
        <f t="shared" ca="1" si="1"/>
        <v>#DIV/0!</v>
      </c>
      <c r="W5" s="1709"/>
      <c r="X5" s="1709"/>
      <c r="Y5" s="1709"/>
      <c r="Z5" s="1709"/>
      <c r="AA5" s="1709"/>
      <c r="AB5" s="1709"/>
      <c r="AC5" s="2516"/>
      <c r="AD5" s="2517"/>
      <c r="AE5" s="2517"/>
      <c r="AF5" s="2517"/>
      <c r="AG5" s="2517"/>
      <c r="AH5" s="2517"/>
      <c r="AI5" s="2517"/>
      <c r="AJ5" s="2518"/>
    </row>
    <row r="6" spans="1:36" ht="15.75" thickBot="1">
      <c r="A6" s="2520">
        <v>1</v>
      </c>
      <c r="B6" s="2521" t="s">
        <v>2621</v>
      </c>
      <c r="C6" s="943">
        <f>SUMIF(L1:L12,G2,M1:M12)</f>
        <v>7090</v>
      </c>
      <c r="D6" s="2522" t="s">
        <v>2622</v>
      </c>
      <c r="E6" s="2523"/>
      <c r="F6" s="2523"/>
      <c r="G6" s="2524"/>
      <c r="H6" s="2524"/>
      <c r="I6" s="2524"/>
      <c r="J6" s="2525"/>
      <c r="K6" s="2526"/>
      <c r="L6" s="2507" t="s">
        <v>2623</v>
      </c>
      <c r="M6" s="1116">
        <f>SUMPRODUCT((区片价!B110:B157=I2)*(区片价!C3:F3=E2)*(区片价!C110:F157))</f>
        <v>0</v>
      </c>
      <c r="N6" s="1119">
        <f>SUMPRODUCT((因素修正幅度!B110:B157=I2)*(因素修正幅度!C3:F3=E2)*(因素修正幅度!C110:F157))</f>
        <v>0</v>
      </c>
      <c r="O6" s="1458"/>
      <c r="P6" s="1458"/>
      <c r="Q6" s="1458"/>
      <c r="R6" s="1705">
        <v>5</v>
      </c>
      <c r="S6" s="1705" t="e">
        <f>ROUND(IF(G3&gt;1,IF(R6&lt;7,SUMPRODUCT((B93:B98=R6)*(C92:N92=G2)*(C93:N98)),SUMIF(C92:N92,G2,C100:N100)),IF(R6&lt;7,SUMPRODUCT((B102:B107=R6)*(C92:N92=G2)*(C102:N107)),SUMIF(C92:N92,G2,C109:N109))),4)</f>
        <v>#DIV/0!</v>
      </c>
      <c r="T6" s="1705" t="e">
        <f t="shared" ca="1" si="0"/>
        <v>#DIV/0!</v>
      </c>
      <c r="U6" s="1706"/>
      <c r="V6" s="1705" t="e">
        <f t="shared" ca="1" si="1"/>
        <v>#DIV/0!</v>
      </c>
      <c r="W6" s="1709"/>
      <c r="X6" s="1709"/>
      <c r="Y6" s="1709"/>
      <c r="Z6" s="1709"/>
      <c r="AA6" s="1709"/>
      <c r="AB6" s="1709"/>
      <c r="AC6" s="2516"/>
      <c r="AD6" s="2517"/>
      <c r="AE6" s="2517"/>
      <c r="AF6" s="2517"/>
      <c r="AG6" s="2517"/>
      <c r="AH6" s="2517"/>
      <c r="AI6" s="2517"/>
      <c r="AJ6" s="2518"/>
    </row>
    <row r="7" spans="1:36" ht="24">
      <c r="A7" s="3062" t="str">
        <f>IF(E2="商业",IF(C8="不临58条商业街","",2),"")</f>
        <v/>
      </c>
      <c r="B7" s="2527" t="s">
        <v>2624</v>
      </c>
      <c r="C7" s="944" t="e">
        <f>IF(C8="不临58条商业街",1,ROUND(1+(1.6*E8+1.2*E9+0.8*E10+0.4*E11)*C9,4))</f>
        <v>#DIV/0!</v>
      </c>
      <c r="D7" s="2528" t="s">
        <v>2625</v>
      </c>
      <c r="E7" s="975"/>
      <c r="F7" s="2529"/>
      <c r="G7" s="2530"/>
      <c r="H7" s="2530"/>
      <c r="I7" s="2530"/>
      <c r="J7" s="2531"/>
      <c r="K7" s="2526"/>
      <c r="L7" s="2507" t="s">
        <v>2626</v>
      </c>
      <c r="M7" s="1116">
        <f>SUMPRODUCT((区片价!B158:B205=I2)*(区片价!C3:F3=E2)*(区片价!C158:F205))</f>
        <v>7090</v>
      </c>
      <c r="N7" s="1119">
        <f>SUMPRODUCT((因素修正幅度!B158:B205=I2)*(因素修正幅度!C3:F3=E2)*(因素修正幅度!C158:F205))</f>
        <v>0.13</v>
      </c>
      <c r="O7" s="1458"/>
      <c r="P7" s="1458"/>
      <c r="Q7" s="1458"/>
      <c r="R7" s="1705">
        <v>6</v>
      </c>
      <c r="S7" s="1705" t="e">
        <f>ROUND(IF(G3&gt;1,IF(R7&lt;7,SUMPRODUCT((B93:B98=R7)*(C92:N92=G2)*(C93:N98)),SUMIF(C92:N92,G2,C100:N100)),IF(R7&lt;7,SUMPRODUCT((B102:B107=R7)*(C92:N92=G2)*(C102:N107)),SUMIF(C92:N92,G2,C109:N109))),4)</f>
        <v>#DIV/0!</v>
      </c>
      <c r="T7" s="1705" t="e">
        <f t="shared" ca="1" si="0"/>
        <v>#DIV/0!</v>
      </c>
      <c r="U7" s="1706"/>
      <c r="V7" s="1705" t="e">
        <f t="shared" ca="1" si="1"/>
        <v>#DIV/0!</v>
      </c>
      <c r="W7" s="1901" t="s">
        <v>2627</v>
      </c>
      <c r="X7" s="1707" t="str">
        <f>G2</f>
        <v>七级</v>
      </c>
      <c r="Y7" s="1707" t="s">
        <v>2628</v>
      </c>
      <c r="Z7" s="1708">
        <f>G3</f>
        <v>0</v>
      </c>
      <c r="AA7" s="1709"/>
      <c r="AB7" s="1709"/>
      <c r="AC7" s="1710"/>
      <c r="AD7" s="1711"/>
      <c r="AE7" s="1711"/>
      <c r="AF7" s="1711"/>
      <c r="AG7" s="1711"/>
      <c r="AH7" s="1711"/>
      <c r="AI7" s="1711"/>
      <c r="AJ7" s="1712"/>
    </row>
    <row r="8" spans="1:36" ht="15">
      <c r="A8" s="3063"/>
      <c r="B8" s="115" t="s">
        <v>2629</v>
      </c>
      <c r="C8" s="2532"/>
      <c r="D8" s="945" t="s">
        <v>89</v>
      </c>
      <c r="E8" s="946" t="e">
        <f>ROUND(C11/E7,4)</f>
        <v>#DIV/0!</v>
      </c>
      <c r="F8" s="2533" t="s">
        <v>2630</v>
      </c>
      <c r="G8" s="2534"/>
      <c r="H8" s="2534"/>
      <c r="I8" s="2534"/>
      <c r="J8" s="2535"/>
      <c r="L8" s="2507" t="s">
        <v>2631</v>
      </c>
      <c r="M8" s="1116">
        <f>SUMPRODUCT((区片价!B206:B244=I2)*(区片价!C3:F3=E2)*(区片价!C206:F244))</f>
        <v>0</v>
      </c>
      <c r="N8" s="1119">
        <f>SUMPRODUCT((因素修正幅度!B206:B244=I2)*(因素修正幅度!C3:F3=E2)*(因素修正幅度!C206:F244))</f>
        <v>0</v>
      </c>
      <c r="O8" s="1458"/>
      <c r="P8" s="1458"/>
      <c r="Q8" s="1458"/>
      <c r="R8" s="1705">
        <v>7</v>
      </c>
      <c r="S8" s="1706"/>
      <c r="T8" s="1705">
        <f t="shared" ca="1" si="0"/>
        <v>0</v>
      </c>
      <c r="U8" s="1706"/>
      <c r="V8" s="1705">
        <f t="shared" ca="1" si="1"/>
        <v>0</v>
      </c>
      <c r="W8" s="3075" t="s">
        <v>2632</v>
      </c>
      <c r="X8" s="3076"/>
      <c r="Y8" s="1713" t="s">
        <v>2633</v>
      </c>
      <c r="Z8" s="1713" t="s">
        <v>2634</v>
      </c>
      <c r="AA8" s="1713" t="s">
        <v>2635</v>
      </c>
      <c r="AB8" s="1713" t="s">
        <v>2636</v>
      </c>
      <c r="AC8" s="1713" t="s">
        <v>2637</v>
      </c>
      <c r="AD8" s="1713" t="s">
        <v>2638</v>
      </c>
      <c r="AE8" s="1713" t="s">
        <v>2639</v>
      </c>
      <c r="AF8" s="1713" t="s">
        <v>2640</v>
      </c>
      <c r="AG8" s="1713" t="s">
        <v>2641</v>
      </c>
      <c r="AH8" s="1713" t="s">
        <v>2642</v>
      </c>
      <c r="AI8" s="1713" t="s">
        <v>2643</v>
      </c>
      <c r="AJ8" s="1713" t="s">
        <v>2644</v>
      </c>
    </row>
    <row r="9" spans="1:36" ht="15">
      <c r="A9" s="3063"/>
      <c r="B9" s="115" t="s">
        <v>2645</v>
      </c>
      <c r="C9" s="947">
        <f>SUMIF(修正!C59:C119,C8,修正!E59:E119)</f>
        <v>0</v>
      </c>
      <c r="D9" s="117" t="s">
        <v>90</v>
      </c>
      <c r="E9" s="117" t="e">
        <f>ROUND(C11/E7,4)</f>
        <v>#DIV/0!</v>
      </c>
      <c r="F9" s="2533" t="s">
        <v>2646</v>
      </c>
      <c r="G9" s="2534"/>
      <c r="H9" s="2534"/>
      <c r="I9" s="2534"/>
      <c r="J9" s="2535"/>
      <c r="L9" s="2507" t="s">
        <v>2647</v>
      </c>
      <c r="M9" s="1116">
        <f>SUMPRODUCT((区片价!B245:B289=I2)*(区片价!C3:F3=E2)*(区片价!C245:F289))</f>
        <v>0</v>
      </c>
      <c r="N9" s="1119">
        <f>SUMPRODUCT((因素修正幅度!B245:B289=I2)*(因素修正幅度!C3:F3=E2)*(因素修正幅度!C245:F289))</f>
        <v>0</v>
      </c>
      <c r="O9" s="1458"/>
      <c r="P9" s="1458"/>
      <c r="Q9" s="1458"/>
      <c r="R9" s="1705">
        <v>8</v>
      </c>
      <c r="S9" s="1706"/>
      <c r="T9" s="1705">
        <f t="shared" ca="1" si="0"/>
        <v>0</v>
      </c>
      <c r="U9" s="1706"/>
      <c r="V9" s="1705">
        <f t="shared" ca="1" si="1"/>
        <v>0</v>
      </c>
      <c r="W9" s="3077" t="s">
        <v>2648</v>
      </c>
      <c r="X9" s="1714" t="s">
        <v>2649</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063"/>
      <c r="B10" s="115" t="s">
        <v>2650</v>
      </c>
      <c r="C10" s="117">
        <f>SUMIF(修正!C59:C119,C8,修正!F59:F119)</f>
        <v>0</v>
      </c>
      <c r="D10" s="117" t="s">
        <v>91</v>
      </c>
      <c r="E10" s="117" t="e">
        <f>ROUND(C11/E7,4)</f>
        <v>#DIV/0!</v>
      </c>
      <c r="F10" s="2533" t="s">
        <v>2651</v>
      </c>
      <c r="G10" s="2534"/>
      <c r="H10" s="2534"/>
      <c r="I10" s="2534"/>
      <c r="J10" s="2535"/>
      <c r="L10" s="2507" t="s">
        <v>2652</v>
      </c>
      <c r="M10" s="1116">
        <f>SUMPRODUCT((区片价!B290:B316=I2)*(区片价!C3:F3=E2)*(区片价!C290:F316))</f>
        <v>0</v>
      </c>
      <c r="N10" s="1119">
        <f>SUMPRODUCT((因素修正幅度!B290:B316=I2)*(因素修正幅度!C3:F3=E2)*(因素修正幅度!C290:F316))</f>
        <v>0</v>
      </c>
      <c r="O10" s="1458"/>
      <c r="P10" s="1458"/>
      <c r="Q10" s="1458"/>
      <c r="R10" s="1705">
        <v>9</v>
      </c>
      <c r="S10" s="1706"/>
      <c r="T10" s="1705">
        <f t="shared" ca="1" si="0"/>
        <v>0</v>
      </c>
      <c r="U10" s="1706"/>
      <c r="V10" s="1705">
        <f t="shared" ca="1" si="1"/>
        <v>0</v>
      </c>
      <c r="W10" s="3077"/>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063"/>
      <c r="B11" s="2536" t="s">
        <v>2653</v>
      </c>
      <c r="C11" s="948">
        <f>C10/4</f>
        <v>0</v>
      </c>
      <c r="D11" s="948" t="s">
        <v>92</v>
      </c>
      <c r="E11" s="948" t="e">
        <f>ROUND(C11/E7,4)</f>
        <v>#DIV/0!</v>
      </c>
      <c r="F11" s="2537" t="s">
        <v>2654</v>
      </c>
      <c r="G11" s="2538"/>
      <c r="H11" s="2538"/>
      <c r="I11" s="2538"/>
      <c r="J11" s="2539"/>
      <c r="L11" s="2507" t="s">
        <v>2655</v>
      </c>
      <c r="M11" s="1116">
        <f>SUMPRODUCT((区片价!B317:B337=I2)*(区片价!C3:F3=E2)*(区片价!C317:F337))</f>
        <v>0</v>
      </c>
      <c r="N11" s="1119">
        <f>SUMPRODUCT((因素修正幅度!B317:B337=I2)*(因素修正幅度!C3:F3=E2)*(因素修正幅度!C317:F337))</f>
        <v>0</v>
      </c>
      <c r="O11" s="1458"/>
      <c r="P11" s="1458"/>
      <c r="Q11" s="1458"/>
      <c r="R11" s="1705">
        <v>10</v>
      </c>
      <c r="S11" s="1706"/>
      <c r="T11" s="1705">
        <f t="shared" ca="1" si="0"/>
        <v>0</v>
      </c>
      <c r="U11" s="1706"/>
      <c r="V11" s="1705">
        <f t="shared" ca="1" si="1"/>
        <v>0</v>
      </c>
      <c r="W11" s="3077" t="s">
        <v>2656</v>
      </c>
      <c r="X11" s="1718" t="s">
        <v>2657</v>
      </c>
      <c r="Y11" s="1719">
        <f>$G$3</f>
        <v>0</v>
      </c>
      <c r="Z11" s="1719">
        <f t="shared" ref="Z11:AJ11" si="3">$G$3</f>
        <v>0</v>
      </c>
      <c r="AA11" s="1719">
        <f t="shared" si="3"/>
        <v>0</v>
      </c>
      <c r="AB11" s="1719">
        <f t="shared" si="3"/>
        <v>0</v>
      </c>
      <c r="AC11" s="1719">
        <f t="shared" si="3"/>
        <v>0</v>
      </c>
      <c r="AD11" s="1719">
        <f t="shared" si="3"/>
        <v>0</v>
      </c>
      <c r="AE11" s="1719">
        <f t="shared" si="3"/>
        <v>0</v>
      </c>
      <c r="AF11" s="1719">
        <f t="shared" si="3"/>
        <v>0</v>
      </c>
      <c r="AG11" s="1719">
        <f t="shared" si="3"/>
        <v>0</v>
      </c>
      <c r="AH11" s="1719">
        <f t="shared" si="3"/>
        <v>0</v>
      </c>
      <c r="AI11" s="1719">
        <f t="shared" si="3"/>
        <v>0</v>
      </c>
      <c r="AJ11" s="1719">
        <f t="shared" si="3"/>
        <v>0</v>
      </c>
    </row>
    <row r="12" spans="1:36" ht="25.5" thickBot="1">
      <c r="A12" s="3062" t="str">
        <f>IF(E2="住宅",2,"")</f>
        <v/>
      </c>
      <c r="B12" s="2540" t="s">
        <v>2658</v>
      </c>
      <c r="C12" s="944">
        <f>ROUND(C15*D15*E15*F15*G15*H15*I15*J15,4)</f>
        <v>1.32</v>
      </c>
      <c r="D12" s="2541" t="s">
        <v>2659</v>
      </c>
      <c r="E12" s="2542"/>
      <c r="F12" s="2542"/>
      <c r="G12" s="2543"/>
      <c r="H12" s="2543"/>
      <c r="I12" s="2543"/>
      <c r="J12" s="2544"/>
      <c r="L12" s="2545" t="s">
        <v>2660</v>
      </c>
      <c r="M12" s="1117">
        <f>SUMPRODUCT((区片价!B338:B344=I2)*(区片价!C3:F3=E2)*(区片价!C338:F344))</f>
        <v>0</v>
      </c>
      <c r="N12" s="1120">
        <f>SUMPRODUCT((因素修正幅度!B338:B344=I2)*(因素修正幅度!C3:F3=E2)*(因素修正幅度!C338:F344))</f>
        <v>0</v>
      </c>
      <c r="O12" s="1458"/>
      <c r="P12" s="1458"/>
      <c r="Q12" s="1458"/>
      <c r="R12" s="1705">
        <v>11</v>
      </c>
      <c r="S12" s="1706"/>
      <c r="T12" s="1705">
        <f t="shared" ca="1" si="0"/>
        <v>0</v>
      </c>
      <c r="U12" s="1706"/>
      <c r="V12" s="1705">
        <f t="shared" ca="1" si="1"/>
        <v>0</v>
      </c>
      <c r="W12" s="3077"/>
      <c r="X12" s="1720" t="s">
        <v>2661</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082"/>
      <c r="B13" s="2546" t="s">
        <v>2662</v>
      </c>
      <c r="C13" s="2547" t="s">
        <v>2663</v>
      </c>
      <c r="D13" s="2548" t="s">
        <v>2664</v>
      </c>
      <c r="E13" s="2548" t="s">
        <v>2665</v>
      </c>
      <c r="F13" s="20" t="s">
        <v>2666</v>
      </c>
      <c r="G13" s="2549" t="s">
        <v>2667</v>
      </c>
      <c r="H13" s="2549" t="s">
        <v>2667</v>
      </c>
      <c r="I13" s="2549" t="s">
        <v>2667</v>
      </c>
      <c r="J13" s="2550" t="s">
        <v>2667</v>
      </c>
      <c r="L13" s="1458"/>
      <c r="M13" s="1458"/>
      <c r="N13" s="1458"/>
      <c r="O13" s="1458"/>
      <c r="P13" s="1458"/>
      <c r="Q13" s="1458"/>
      <c r="R13" s="1705">
        <v>12</v>
      </c>
      <c r="S13" s="1706"/>
      <c r="T13" s="1705">
        <f t="shared" ca="1" si="0"/>
        <v>0</v>
      </c>
      <c r="U13" s="1706"/>
      <c r="V13" s="1705">
        <f t="shared" ca="1" si="1"/>
        <v>0</v>
      </c>
      <c r="W13" s="3077"/>
      <c r="X13" s="1720"/>
      <c r="Y13" s="1717" t="e">
        <f>(-0.163*(Y12^2)-0.59*Y12+7617)*(10^(-4))/Y11</f>
        <v>#DIV/0!</v>
      </c>
      <c r="Z13" s="1717" t="e">
        <f t="shared" ref="Z13:AJ13" si="5">(-0.163*(Z12^2)-0.59*Z12+7617)*(10^(-4))/Z11</f>
        <v>#DIV/0!</v>
      </c>
      <c r="AA13" s="1717" t="e">
        <f t="shared" si="5"/>
        <v>#DIV/0!</v>
      </c>
      <c r="AB13" s="1717" t="e">
        <f t="shared" si="5"/>
        <v>#DIV/0!</v>
      </c>
      <c r="AC13" s="1717" t="e">
        <f t="shared" si="5"/>
        <v>#DIV/0!</v>
      </c>
      <c r="AD13" s="1717" t="e">
        <f t="shared" si="5"/>
        <v>#DIV/0!</v>
      </c>
      <c r="AE13" s="1717" t="e">
        <f t="shared" si="5"/>
        <v>#DIV/0!</v>
      </c>
      <c r="AF13" s="1717" t="e">
        <f t="shared" si="5"/>
        <v>#DIV/0!</v>
      </c>
      <c r="AG13" s="1717" t="e">
        <f t="shared" si="5"/>
        <v>#DIV/0!</v>
      </c>
      <c r="AH13" s="1717" t="e">
        <f t="shared" si="5"/>
        <v>#DIV/0!</v>
      </c>
      <c r="AI13" s="1717" t="e">
        <f t="shared" si="5"/>
        <v>#DIV/0!</v>
      </c>
      <c r="AJ13" s="1717" t="e">
        <f t="shared" si="5"/>
        <v>#DIV/0!</v>
      </c>
    </row>
    <row r="14" spans="1:36" ht="15">
      <c r="A14" s="3082"/>
      <c r="B14" s="2551"/>
      <c r="C14" s="2552" t="s">
        <v>2668</v>
      </c>
      <c r="D14" s="2553" t="s">
        <v>2669</v>
      </c>
      <c r="E14" s="2553" t="s">
        <v>2669</v>
      </c>
      <c r="F14" s="2554" t="s">
        <v>2670</v>
      </c>
      <c r="G14" s="2555" t="s">
        <v>2671</v>
      </c>
      <c r="H14" s="2556"/>
      <c r="I14" s="2557"/>
      <c r="J14" s="2558"/>
      <c r="L14" s="1458"/>
      <c r="M14" s="1458"/>
      <c r="N14" s="1458"/>
      <c r="O14" s="1458"/>
      <c r="P14" s="1458"/>
      <c r="Q14" s="1458"/>
      <c r="R14" s="1705">
        <v>13</v>
      </c>
      <c r="S14" s="1706"/>
      <c r="T14" s="1705">
        <f t="shared" ca="1" si="0"/>
        <v>0</v>
      </c>
      <c r="U14" s="1706"/>
      <c r="V14" s="1705">
        <f t="shared" ca="1" si="1"/>
        <v>0</v>
      </c>
      <c r="W14" s="1709"/>
      <c r="X14" s="1709"/>
      <c r="Y14" s="1709"/>
      <c r="Z14" s="1709"/>
      <c r="AA14" s="1709"/>
      <c r="AB14" s="1709"/>
      <c r="AC14" s="1710"/>
      <c r="AD14" s="1711"/>
      <c r="AE14" s="1711"/>
      <c r="AF14" s="1711"/>
      <c r="AG14" s="1711"/>
      <c r="AH14" s="1711"/>
      <c r="AI14" s="1711"/>
      <c r="AJ14" s="1712"/>
    </row>
    <row r="15" spans="1:36" ht="15.75" thickBot="1">
      <c r="A15" s="3083"/>
      <c r="B15" s="2559" t="s">
        <v>2672</v>
      </c>
      <c r="C15" s="150">
        <f>IF(C14="有",1.1,1)</f>
        <v>1.1000000000000001</v>
      </c>
      <c r="D15" s="150">
        <f>IF(D14="有",1.1,1)</f>
        <v>1</v>
      </c>
      <c r="E15" s="150">
        <f>IF(E14="有",1.1,1)</f>
        <v>1</v>
      </c>
      <c r="F15" s="150">
        <f>IF(F14="500米范围内",1.2,IF(F14="500-1000米",1.1,1))</f>
        <v>1.2</v>
      </c>
      <c r="G15" s="976">
        <v>1</v>
      </c>
      <c r="H15" s="976">
        <v>1</v>
      </c>
      <c r="I15" s="976">
        <v>1</v>
      </c>
      <c r="J15" s="977">
        <v>1</v>
      </c>
      <c r="L15" s="2560" t="s">
        <v>2673</v>
      </c>
      <c r="M15" s="945" t="s">
        <v>2674</v>
      </c>
      <c r="N15" s="945" t="s">
        <v>2675</v>
      </c>
      <c r="O15" s="945" t="s">
        <v>2676</v>
      </c>
      <c r="P15" s="2561" t="s">
        <v>2677</v>
      </c>
      <c r="Q15" s="1458"/>
      <c r="R15" s="1705">
        <v>14</v>
      </c>
      <c r="S15" s="1706"/>
      <c r="T15" s="1705">
        <f t="shared" ca="1" si="0"/>
        <v>0</v>
      </c>
      <c r="U15" s="1706"/>
      <c r="V15" s="1705">
        <f t="shared" ca="1" si="1"/>
        <v>0</v>
      </c>
      <c r="W15" s="1709"/>
      <c r="X15" s="1709"/>
      <c r="Y15" s="1709"/>
      <c r="Z15" s="1709"/>
      <c r="AA15" s="1709"/>
      <c r="AB15" s="1709"/>
      <c r="AC15" s="1710"/>
      <c r="AD15" s="1711"/>
      <c r="AE15" s="1711"/>
      <c r="AF15" s="1711"/>
      <c r="AG15" s="1711"/>
      <c r="AH15" s="1711"/>
      <c r="AI15" s="1711"/>
      <c r="AJ15" s="1712"/>
    </row>
    <row r="16" spans="1:36" ht="24">
      <c r="A16" s="3062">
        <f>IF(E2="办公",2,IF(E2="工业",2,IF(E2="住宅",3,IF(E2="商业",IF(C8="不临58条商业街",2,3)))))</f>
        <v>2</v>
      </c>
      <c r="B16" s="2527" t="s">
        <v>2678</v>
      </c>
      <c r="C16" s="1881">
        <f>ROUND(SUM(G17:J17)/C17,0)</f>
        <v>0</v>
      </c>
      <c r="D16" s="2562" t="s">
        <v>2679</v>
      </c>
      <c r="E16" s="2563"/>
      <c r="F16" s="2564"/>
      <c r="G16" s="2565"/>
      <c r="H16" s="2565"/>
      <c r="I16" s="2565"/>
      <c r="J16" s="2566"/>
      <c r="L16" s="1456" t="s">
        <v>2680</v>
      </c>
      <c r="M16" s="947">
        <v>0.25</v>
      </c>
      <c r="N16" s="947">
        <v>0.2</v>
      </c>
      <c r="O16" s="947">
        <v>0.15</v>
      </c>
      <c r="P16" s="1457">
        <v>0.1</v>
      </c>
      <c r="Q16" s="1458"/>
      <c r="R16" s="1705">
        <v>15</v>
      </c>
      <c r="S16" s="1706"/>
      <c r="T16" s="1705">
        <f t="shared" ca="1" si="0"/>
        <v>0</v>
      </c>
      <c r="U16" s="1706"/>
      <c r="V16" s="1705">
        <f t="shared" ca="1" si="1"/>
        <v>0</v>
      </c>
      <c r="W16" s="1709"/>
      <c r="X16" s="1709"/>
      <c r="Y16" s="1709"/>
      <c r="Z16" s="1709"/>
      <c r="AA16" s="1709"/>
      <c r="AB16" s="1709"/>
      <c r="AC16" s="1710"/>
      <c r="AD16" s="1711"/>
      <c r="AE16" s="1711"/>
      <c r="AF16" s="1711"/>
      <c r="AG16" s="1711"/>
      <c r="AH16" s="1711"/>
      <c r="AI16" s="1711"/>
      <c r="AJ16" s="1712"/>
    </row>
    <row r="17" spans="1:37" ht="13.5" thickBot="1">
      <c r="A17" s="3063"/>
      <c r="B17" s="2567" t="s">
        <v>2681</v>
      </c>
      <c r="C17" s="949">
        <f>SUMPRODUCT((修正!A2:A5=E2)*(修正!B1:M1=G2)*(修正!B2:M5))</f>
        <v>2.5</v>
      </c>
      <c r="D17" s="2568"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0" t="s">
        <v>2684</v>
      </c>
      <c r="M17" s="128">
        <f ca="1">ROUND($E$20*(1+M16),3)</f>
        <v>5.3999999999999999E-2</v>
      </c>
      <c r="N17" s="128">
        <f ca="1">ROUND($E$20*(1+N16),3)</f>
        <v>5.1999999999999998E-2</v>
      </c>
      <c r="O17" s="128">
        <f ca="1">ROUND($E$20*(1+O16),3)</f>
        <v>0.05</v>
      </c>
      <c r="P17" s="1461">
        <f ca="1">ROUND($E$20*(1+P16),3)</f>
        <v>4.8000000000000001E-2</v>
      </c>
      <c r="Q17" s="1458"/>
      <c r="R17" s="1458"/>
      <c r="S17" s="1458"/>
      <c r="T17" s="1458"/>
      <c r="U17" s="1458"/>
      <c r="V17" s="1458"/>
      <c r="W17" s="1458"/>
      <c r="X17" s="1458"/>
      <c r="Y17" s="1458"/>
      <c r="Z17" s="1459"/>
      <c r="AA17" s="1459"/>
      <c r="AB17" s="1459"/>
      <c r="AC17" s="1459"/>
      <c r="AD17" s="1459"/>
      <c r="AE17" s="1458"/>
      <c r="AF17" s="1458"/>
      <c r="AG17" s="2500"/>
      <c r="AH17" s="2500"/>
      <c r="AI17" s="2500"/>
      <c r="AJ17" s="2500"/>
    </row>
    <row r="18" spans="1:37" s="2519" customFormat="1" ht="15.75" thickBot="1">
      <c r="A18" s="2569" t="s">
        <v>2685</v>
      </c>
      <c r="B18" s="2570" t="s">
        <v>2686</v>
      </c>
      <c r="C18" s="951">
        <f>SUMIF(修正!C18:C39,E3,修正!E18:E39)</f>
        <v>1</v>
      </c>
      <c r="D18" s="2571"/>
      <c r="E18" s="2572"/>
      <c r="F18" s="2573"/>
      <c r="G18" s="2574"/>
      <c r="H18" s="2574"/>
      <c r="I18" s="2574"/>
      <c r="J18" s="2575"/>
      <c r="K18" s="2576"/>
      <c r="O18" s="1458"/>
      <c r="P18" s="1458"/>
      <c r="Q18" s="1458"/>
      <c r="R18" s="1458"/>
      <c r="S18" s="1458"/>
      <c r="T18" s="1458"/>
      <c r="U18" s="1458"/>
      <c r="V18" s="1458"/>
      <c r="W18" s="1458"/>
      <c r="X18" s="1458"/>
      <c r="Y18" s="1458"/>
      <c r="Z18" s="1458"/>
      <c r="AA18" s="1458"/>
      <c r="AB18" s="1458"/>
      <c r="AC18" s="1458"/>
      <c r="AD18" s="1458"/>
      <c r="AE18" s="1459"/>
      <c r="AF18" s="1459"/>
      <c r="AG18" s="2577"/>
      <c r="AH18" s="2577"/>
      <c r="AI18" s="2577"/>
    </row>
    <row r="19" spans="1:37" s="2519" customFormat="1" ht="27.75" thickBot="1">
      <c r="A19" s="2569" t="s">
        <v>2687</v>
      </c>
      <c r="B19" s="2570" t="s">
        <v>2688</v>
      </c>
      <c r="C19" s="952">
        <f>ROUND(IF(H19="按公示增长率计算",SUMPRODUCT((地价!A3:A22=YEAR(G19)&amp;"-"&amp;ROUNDUP(MONTH(G19)/3,0))*(地价!X2:AB2=E2)*(地价!X3:AB22)),IF(H19="地价指数",M20/M19,(1+I19)^O19)),4)</f>
        <v>1.2907</v>
      </c>
      <c r="D19" s="2578" t="s">
        <v>2689</v>
      </c>
      <c r="E19" s="953">
        <v>41640</v>
      </c>
      <c r="F19" s="2578" t="s">
        <v>2690</v>
      </c>
      <c r="G19" s="954">
        <f>'数据-取费表'!B2</f>
        <v>43257</v>
      </c>
      <c r="H19" s="2579" t="s">
        <v>2691</v>
      </c>
      <c r="I19" s="955" t="str">
        <f>IF(H19="季度增幅（自定义）",SUMIF(N21:N24,E2,O21:O24),"")</f>
        <v/>
      </c>
      <c r="J19" s="2575"/>
      <c r="K19" s="2576"/>
      <c r="L19" s="2580" t="s">
        <v>2692</v>
      </c>
      <c r="M19" s="1822">
        <f>ROUND(SUMIF(地价!B2:F2,E2,地价!B22:F22),0)</f>
        <v>258</v>
      </c>
      <c r="N19" s="1462" t="s">
        <v>2693</v>
      </c>
      <c r="O19" s="956">
        <f>ROUNDDOWN(DATEDIF(E19,G19,"M")/3,0)</f>
        <v>17</v>
      </c>
      <c r="P19" s="1459"/>
      <c r="R19" s="1458"/>
      <c r="S19" s="1458"/>
      <c r="T19" s="1458"/>
      <c r="U19" s="1458"/>
      <c r="V19" s="1458"/>
      <c r="W19" s="1458"/>
      <c r="X19" s="1458"/>
      <c r="Y19" s="1458"/>
      <c r="Z19" s="1458"/>
      <c r="AA19" s="1458"/>
      <c r="AB19" s="1458"/>
      <c r="AC19" s="1458"/>
      <c r="AD19" s="1458"/>
      <c r="AE19" s="2576"/>
      <c r="AF19" s="2581"/>
      <c r="AG19" s="2582"/>
      <c r="AH19" s="2577"/>
      <c r="AI19" s="2583"/>
      <c r="AJ19" s="2583"/>
      <c r="AK19" s="2583"/>
    </row>
    <row r="20" spans="1:37" s="2519" customFormat="1" ht="27.75" thickBot="1">
      <c r="A20" s="2584" t="s">
        <v>2694</v>
      </c>
      <c r="B20" s="2585" t="s">
        <v>2695</v>
      </c>
      <c r="C20" s="957">
        <f ca="1">ROUND(POWER(1+G20,J20-I20)*(POWER(1+G20,I20)-1)/(POWER(1+G20,J20)-1),4)</f>
        <v>0.96330000000000005</v>
      </c>
      <c r="D20" s="2586" t="s">
        <v>2696</v>
      </c>
      <c r="E20" s="1852">
        <f ca="1">存贷款利率!D4/100</f>
        <v>4.3499999999999997E-2</v>
      </c>
      <c r="F20" s="2586" t="s">
        <v>2684</v>
      </c>
      <c r="G20" s="963">
        <f ca="1">SUMIF(M15:P15,E2,M17:P17)</f>
        <v>5.1999999999999998E-2</v>
      </c>
      <c r="H20" s="2586" t="s">
        <v>2697</v>
      </c>
      <c r="I20" s="964">
        <f>'数据-取费表'!B13</f>
        <v>43</v>
      </c>
      <c r="J20" s="965">
        <f>IF(E2="住宅",70,IF(E2="商业",40,50))</f>
        <v>50</v>
      </c>
      <c r="K20" s="2576"/>
      <c r="L20" s="2587" t="s">
        <v>2698</v>
      </c>
      <c r="M20" s="1823">
        <f>ROUND(SUMPRODUCT((地价!A4:A22=YEAR(G19)&amp;"-"&amp;ROUNDUP(MONTH(G19)/3,0))*(地价!B2:F2=E2)*(地价!B4:F22)),0)</f>
        <v>333</v>
      </c>
      <c r="N20" s="2588" t="s">
        <v>2699</v>
      </c>
      <c r="O20" s="2589" t="s">
        <v>2700</v>
      </c>
      <c r="P20" s="2590" t="s">
        <v>2701</v>
      </c>
      <c r="R20" s="1458"/>
      <c r="S20" s="1458"/>
      <c r="T20" s="1458"/>
      <c r="U20" s="1458"/>
      <c r="V20" s="1458"/>
      <c r="W20" s="1458"/>
      <c r="X20" s="1458"/>
      <c r="Y20" s="1458"/>
      <c r="Z20" s="1458"/>
      <c r="AA20" s="1458"/>
      <c r="AB20" s="1458"/>
      <c r="AC20" s="1458"/>
      <c r="AD20" s="1458"/>
      <c r="AE20" s="2576"/>
      <c r="AF20" s="2576"/>
    </row>
    <row r="21" spans="1:37" s="2519" customFormat="1" ht="14.25">
      <c r="A21" s="2591" t="s">
        <v>2702</v>
      </c>
      <c r="B21" s="2592" t="s">
        <v>2703</v>
      </c>
      <c r="C21" s="966">
        <f>IF(B21="容积率修正",IF(G3&lt;=10,D22,J22),C23)</f>
        <v>0</v>
      </c>
      <c r="D21" s="2593"/>
      <c r="E21" s="2593"/>
      <c r="F21" s="2593"/>
      <c r="G21" s="2593"/>
      <c r="H21" s="2593"/>
      <c r="I21" s="2593"/>
      <c r="J21" s="2594"/>
      <c r="K21" s="2576"/>
      <c r="N21" s="2595" t="s">
        <v>2704</v>
      </c>
      <c r="O21" s="1660"/>
      <c r="P21" s="1661">
        <f>SUMPRODUCT((地价!A3:A22=YEAR(G19)&amp;"-"&amp;ROUNDUP(MONTH(G19)/3,0))*(地价!AD2:AH2=N21)*(地价!AD3:AH22))</f>
        <v>1.5699999999999999E-2</v>
      </c>
      <c r="R21" s="1458"/>
      <c r="S21" s="1458"/>
      <c r="T21" s="1458"/>
      <c r="U21" s="1458"/>
      <c r="V21" s="1458"/>
      <c r="W21" s="1458"/>
      <c r="X21" s="1458"/>
      <c r="Y21" s="1458"/>
      <c r="Z21" s="1458"/>
      <c r="AA21" s="1458"/>
      <c r="AB21" s="1458"/>
      <c r="AC21" s="1458"/>
      <c r="AD21" s="1458"/>
      <c r="AE21" s="2576"/>
      <c r="AF21" s="2576"/>
    </row>
    <row r="22" spans="1:37" s="2519" customFormat="1" ht="14.25">
      <c r="A22" s="2596">
        <v>1</v>
      </c>
      <c r="B22" s="2597" t="s">
        <v>2705</v>
      </c>
      <c r="C22" s="1895" t="s">
        <v>2706</v>
      </c>
      <c r="D22" s="1895">
        <f>IF(E22=G22,F22,IF(G3&lt;=10,ROUND(F22+(H22-F22)*(G3-E22)/(G22-E22),4),"——"))</f>
        <v>0</v>
      </c>
      <c r="E22" s="941">
        <f>ROUNDDOWN(G3,1)</f>
        <v>0</v>
      </c>
      <c r="F22" s="189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5" t="s">
        <v>104</v>
      </c>
      <c r="J22" s="967" t="str">
        <f>IF(G3&gt;10,D113,"——")</f>
        <v>——</v>
      </c>
      <c r="K22" s="2576"/>
      <c r="N22" s="2595" t="s">
        <v>2707</v>
      </c>
      <c r="O22" s="1660"/>
      <c r="P22" s="1661">
        <f>SUMPRODUCT((地价!A3:A22=YEAR(G19)&amp;"-"&amp;ROUNDUP(MONTH(G19)/3,0))*(地价!AD2:AH2=N22)*(地价!AD3:AH22))</f>
        <v>1.5699999999999999E-2</v>
      </c>
      <c r="R22" s="1458"/>
      <c r="S22" s="1458"/>
      <c r="T22" s="1458"/>
      <c r="U22" s="1458"/>
      <c r="V22" s="1458"/>
      <c r="W22" s="1458"/>
      <c r="X22" s="1458"/>
      <c r="Y22" s="1458"/>
      <c r="Z22" s="1458"/>
      <c r="AA22" s="1458"/>
      <c r="AB22" s="1458"/>
      <c r="AC22" s="1458"/>
      <c r="AD22" s="1458"/>
      <c r="AE22" s="2576"/>
      <c r="AF22" s="2576"/>
    </row>
    <row r="23" spans="1:37" ht="27">
      <c r="A23" s="2596">
        <v>2</v>
      </c>
      <c r="B23" s="2597" t="s">
        <v>2708</v>
      </c>
      <c r="C23" s="958" t="e">
        <f>ROUND(IF(G3&gt;1,IF(I3&lt;7,SUMPRODUCT((B93:B98=I3)*(C92:N92=G2)*(C93:N98)),SUMIF(C92:N92,G2,C100:N100)),IF(I3&lt;7,SUMPRODUCT((B102:B107=I3)*(C92:N92=G2)*(C102:N107)),SUMIF(C92:N92,G2,C109:N109))),4)</f>
        <v>#DIV/0!</v>
      </c>
      <c r="D23" s="2556"/>
      <c r="E23" s="2556"/>
      <c r="F23" s="2598"/>
      <c r="G23" s="2599"/>
      <c r="H23" s="2600"/>
      <c r="I23" s="2601"/>
      <c r="J23" s="2602"/>
      <c r="N23" s="2595" t="s">
        <v>2709</v>
      </c>
      <c r="O23" s="1660"/>
      <c r="P23" s="1661">
        <f>SUMPRODUCT((地价!A3:A22=YEAR(G19)&amp;"-"&amp;ROUNDUP(MONTH(G19)/3,0))*(地价!AD2:AH2=N23)*(地价!AD3:AH22))</f>
        <v>2.5000000000000001E-2</v>
      </c>
      <c r="R23" s="1458"/>
      <c r="S23" s="1458"/>
      <c r="T23" s="1458"/>
      <c r="U23" s="1458"/>
      <c r="V23" s="1458"/>
      <c r="W23" s="1458"/>
      <c r="X23" s="1458"/>
      <c r="Y23" s="1458"/>
      <c r="Z23" s="1458"/>
      <c r="AA23" s="1458"/>
      <c r="AB23" s="1458"/>
      <c r="AC23" s="1458"/>
      <c r="AD23" s="1458"/>
      <c r="AE23" s="1459"/>
      <c r="AF23" s="1459"/>
      <c r="AK23" s="2577"/>
    </row>
    <row r="24" spans="1:37" s="2519" customFormat="1" ht="15.75" thickBot="1">
      <c r="A24" s="2603" t="s">
        <v>2710</v>
      </c>
      <c r="B24" s="2604" t="s">
        <v>2711</v>
      </c>
      <c r="C24" s="968">
        <f>SUMIF(A46:A88,E2,B46:B88)</f>
        <v>1</v>
      </c>
      <c r="D24" s="2605"/>
      <c r="E24" s="2606"/>
      <c r="F24" s="2606"/>
      <c r="G24" s="2606"/>
      <c r="H24" s="2606"/>
      <c r="I24" s="2606"/>
      <c r="J24" s="2607"/>
      <c r="K24" s="2576"/>
      <c r="N24" s="2608" t="s">
        <v>2712</v>
      </c>
      <c r="O24" s="1662"/>
      <c r="P24" s="1663">
        <f>SUMPRODUCT((地价!A3:A22=YEAR(G19)&amp;"-"&amp;ROUNDUP(MONTH(G19)/3,0))*(地价!AD2:AH2=N24)*(地价!AD3:AH22))</f>
        <v>1.35E-2</v>
      </c>
      <c r="R24" s="1458"/>
      <c r="S24" s="1458"/>
      <c r="T24" s="1458"/>
      <c r="U24" s="1458"/>
      <c r="V24" s="1458"/>
      <c r="W24" s="1458"/>
      <c r="X24" s="1458"/>
      <c r="Y24" s="1458"/>
      <c r="Z24" s="1458"/>
      <c r="AA24" s="1458"/>
      <c r="AB24" s="1458"/>
      <c r="AC24" s="1458"/>
      <c r="AD24" s="1458"/>
      <c r="AE24" s="2576"/>
      <c r="AF24" s="2576"/>
    </row>
    <row r="25" spans="1:37" ht="15" thickBot="1">
      <c r="A25" s="2584" t="s">
        <v>2713</v>
      </c>
      <c r="B25" s="2609" t="s">
        <v>2714</v>
      </c>
      <c r="C25" s="959"/>
      <c r="D25" s="2530"/>
      <c r="E25" s="2530"/>
      <c r="F25" s="2610"/>
      <c r="G25" s="2530"/>
      <c r="H25" s="2530"/>
      <c r="I25" s="2530"/>
      <c r="J25" s="2531"/>
      <c r="L25" s="1458"/>
      <c r="M25" s="1458"/>
      <c r="N25" s="2611" t="s">
        <v>2715</v>
      </c>
      <c r="O25" s="1664"/>
      <c r="P25" s="1663">
        <f>SUMPRODUCT((地价!A3:A22=YEAR(G19)&amp;"-"&amp;ROUNDUP(MONTH(G19)/3,0))*(地价!AD2:AH2=N25)*(地价!AD3:AH22))</f>
        <v>2.2700000000000001E-2</v>
      </c>
      <c r="R25" s="1458"/>
      <c r="S25" s="1458"/>
      <c r="T25" s="1458"/>
      <c r="U25" s="1458"/>
      <c r="V25" s="1458"/>
      <c r="W25" s="1458"/>
      <c r="X25" s="1458"/>
      <c r="Y25" s="1458"/>
      <c r="Z25" s="1458"/>
      <c r="AA25" s="1458"/>
      <c r="AB25" s="1458"/>
      <c r="AC25" s="1458"/>
      <c r="AD25" s="1458"/>
      <c r="AE25" s="1459"/>
      <c r="AF25" s="1459"/>
    </row>
    <row r="26" spans="1:37" ht="15">
      <c r="A26" s="2612"/>
      <c r="B26" s="2597" t="s">
        <v>2716</v>
      </c>
      <c r="C26" s="123">
        <f ca="1">E29+SUM(E33:E39)</f>
        <v>0</v>
      </c>
      <c r="D26" s="2613"/>
      <c r="E26" s="2556"/>
      <c r="F26" s="2614"/>
      <c r="G26" s="2556"/>
      <c r="H26" s="2556"/>
      <c r="I26" s="2556"/>
      <c r="J26" s="2615"/>
      <c r="L26" s="1458"/>
      <c r="M26" s="1458"/>
      <c r="N26" s="1458"/>
      <c r="O26" s="1458"/>
      <c r="P26" s="1458"/>
      <c r="Q26" s="1458"/>
      <c r="R26" s="1458"/>
      <c r="S26" s="1458"/>
      <c r="T26" s="1458"/>
      <c r="U26" s="1458"/>
      <c r="V26" s="1458"/>
      <c r="W26" s="1458"/>
      <c r="X26" s="1458"/>
      <c r="Y26" s="1458"/>
      <c r="Z26" s="1458"/>
      <c r="AA26" s="1458"/>
      <c r="AB26" s="1458"/>
      <c r="AC26" s="1458"/>
      <c r="AD26" s="1458"/>
      <c r="AE26" s="1459"/>
      <c r="AF26" s="1459"/>
    </row>
    <row r="27" spans="1:37" ht="15.75" thickBot="1">
      <c r="A27" s="2612"/>
      <c r="B27" s="2616" t="s">
        <v>2717</v>
      </c>
      <c r="C27" s="960" t="e">
        <f ca="1">E30+SUM(I33:I39)</f>
        <v>#DIV/0!</v>
      </c>
      <c r="D27" s="2617"/>
      <c r="E27" s="2618"/>
      <c r="F27" s="2619"/>
      <c r="G27" s="2618"/>
      <c r="H27" s="2618"/>
      <c r="I27" s="2618"/>
      <c r="J27" s="2620"/>
      <c r="L27" s="1458"/>
      <c r="M27" s="1458"/>
      <c r="N27" s="1458"/>
      <c r="O27" s="1458"/>
      <c r="P27" s="1458"/>
      <c r="Q27" s="1458"/>
      <c r="R27" s="1458"/>
      <c r="S27" s="1458"/>
      <c r="T27" s="1458"/>
      <c r="U27" s="1458"/>
      <c r="V27" s="1458"/>
      <c r="W27" s="1458"/>
      <c r="X27" s="1458"/>
      <c r="Y27" s="1458"/>
      <c r="Z27" s="1458"/>
      <c r="AA27" s="1458"/>
      <c r="AB27" s="1458"/>
      <c r="AC27" s="1458"/>
      <c r="AD27" s="1458"/>
      <c r="AE27" s="1459"/>
      <c r="AF27" s="1459"/>
    </row>
    <row r="28" spans="1:37" ht="15">
      <c r="A28" s="2584"/>
      <c r="B28" s="2621" t="s">
        <v>2718</v>
      </c>
      <c r="C28" s="2622" t="s">
        <v>2719</v>
      </c>
      <c r="D28" s="2622" t="s">
        <v>2720</v>
      </c>
      <c r="E28" s="2623" t="s">
        <v>2721</v>
      </c>
      <c r="F28" s="2624"/>
      <c r="G28" s="2543"/>
      <c r="H28" s="2543"/>
      <c r="I28" s="2543"/>
      <c r="J28" s="2544"/>
      <c r="L28" s="1458"/>
      <c r="M28" s="1458"/>
      <c r="N28" s="1458"/>
      <c r="O28" s="1458"/>
      <c r="P28" s="1458"/>
      <c r="Q28" s="1458"/>
      <c r="R28" s="1458"/>
      <c r="S28" s="1458"/>
      <c r="T28" s="1458"/>
      <c r="U28" s="1458"/>
      <c r="V28" s="1458"/>
      <c r="W28" s="1458"/>
      <c r="X28" s="1458"/>
      <c r="Y28" s="1458"/>
      <c r="Z28" s="1458"/>
      <c r="AA28" s="1458"/>
      <c r="AB28" s="1458"/>
      <c r="AC28" s="1458"/>
      <c r="AD28" s="1458"/>
      <c r="AE28" s="1459"/>
      <c r="AF28" s="1459"/>
    </row>
    <row r="29" spans="1:37">
      <c r="A29" s="2625"/>
      <c r="B29" s="2626" t="s">
        <v>2722</v>
      </c>
      <c r="C29" s="123">
        <f ca="1">ROUND(C5*C18*C19*C20*C21*C24,0)</f>
        <v>0</v>
      </c>
      <c r="D29" s="2627"/>
      <c r="E29" s="972">
        <f ca="1">ROUND(C29*D29,0)</f>
        <v>0</v>
      </c>
      <c r="F29" s="2628" t="s">
        <v>2723</v>
      </c>
      <c r="G29" s="2629"/>
      <c r="H29" s="2629"/>
      <c r="I29" s="2629"/>
      <c r="J29" s="2630"/>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0"/>
      <c r="AH29" s="2500"/>
      <c r="AI29" s="2500"/>
      <c r="AJ29" s="2500"/>
    </row>
    <row r="30" spans="1:37" ht="25.5" thickBot="1">
      <c r="A30" s="2631"/>
      <c r="B30" s="2632" t="s">
        <v>2724</v>
      </c>
      <c r="C30" s="150">
        <f ca="1">ROUND(IF(E2="工业",C29*M39,C29*M38),0)</f>
        <v>0</v>
      </c>
      <c r="D30" s="2633"/>
      <c r="E30" s="972">
        <f ca="1">ROUND(C30*D30,0)</f>
        <v>0</v>
      </c>
      <c r="F30" s="2634" t="s">
        <v>2725</v>
      </c>
      <c r="G30" s="2635"/>
      <c r="H30" s="2635"/>
      <c r="I30" s="2635"/>
      <c r="J30" s="2636"/>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0"/>
      <c r="AH30" s="2500"/>
      <c r="AI30" s="2500"/>
      <c r="AJ30" s="2500"/>
    </row>
    <row r="31" spans="1:37">
      <c r="A31" s="2637"/>
      <c r="B31" s="2638" t="s">
        <v>2726</v>
      </c>
      <c r="C31" s="2639" t="s">
        <v>2727</v>
      </c>
      <c r="D31" s="2543"/>
      <c r="E31" s="2639"/>
      <c r="F31" s="2639"/>
      <c r="G31" s="2541" t="s">
        <v>2728</v>
      </c>
      <c r="H31" s="2543"/>
      <c r="I31" s="2640"/>
      <c r="J31" s="2544"/>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0"/>
      <c r="AH31" s="2500"/>
      <c r="AI31" s="2500"/>
      <c r="AJ31" s="2500"/>
    </row>
    <row r="32" spans="1:37" ht="24">
      <c r="A32" s="2625"/>
      <c r="B32" s="2641"/>
      <c r="C32" s="482" t="s">
        <v>2719</v>
      </c>
      <c r="D32" s="479" t="s">
        <v>2720</v>
      </c>
      <c r="E32" s="479" t="s">
        <v>2721</v>
      </c>
      <c r="F32" s="367" t="s">
        <v>2729</v>
      </c>
      <c r="G32" s="958" t="s">
        <v>2719</v>
      </c>
      <c r="H32" s="958" t="s">
        <v>2720</v>
      </c>
      <c r="I32" s="958" t="s">
        <v>2721</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0"/>
      <c r="AH32" s="2500"/>
      <c r="AI32" s="2500"/>
      <c r="AJ32" s="2500"/>
    </row>
    <row r="33" spans="1:37">
      <c r="A33" s="3072" t="s">
        <v>2730</v>
      </c>
      <c r="B33" s="2642" t="s">
        <v>2731</v>
      </c>
      <c r="C33" s="123">
        <f ca="1">ROUND(D5*C19*C20*C24*F33,0)</f>
        <v>0</v>
      </c>
      <c r="D33" s="2627"/>
      <c r="E33" s="117">
        <f t="shared" ref="E33:E39" ca="1" si="6">ROUND(C33*D33,0)</f>
        <v>0</v>
      </c>
      <c r="F33" s="117">
        <f>SUMIF(修正!A45:A56,G2,修正!B45:B56)</f>
        <v>0.7</v>
      </c>
      <c r="G33" s="117">
        <f t="shared" ref="G33:G39" ca="1" si="7">ROUND(IF(E2="工业",C33*$M$39,C33*$M$38),0)</f>
        <v>0</v>
      </c>
      <c r="H33" s="117">
        <f>D33</f>
        <v>0</v>
      </c>
      <c r="I33" s="117">
        <f t="shared" ref="I33:I39" ca="1" si="8">ROUND(G33*H33,0)</f>
        <v>0</v>
      </c>
      <c r="J33" s="2643"/>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073"/>
      <c r="B34" s="2547" t="s">
        <v>2732</v>
      </c>
      <c r="C34" s="123">
        <f ca="1">ROUND(D5*C19*C20*C24*F34,0)</f>
        <v>0</v>
      </c>
      <c r="D34" s="2627"/>
      <c r="E34" s="117">
        <f t="shared" ca="1" si="6"/>
        <v>0</v>
      </c>
      <c r="F34" s="117">
        <f>SUMIF(修正!A45:A56,G2,修正!C45:C56)</f>
        <v>0.4</v>
      </c>
      <c r="G34" s="117">
        <f t="shared" ca="1" si="7"/>
        <v>0</v>
      </c>
      <c r="H34" s="117">
        <f t="shared" ref="H34:H39" si="9">D34</f>
        <v>0</v>
      </c>
      <c r="I34" s="117">
        <f t="shared" ca="1" si="8"/>
        <v>0</v>
      </c>
      <c r="J34" s="2643"/>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073"/>
      <c r="B35" s="2547" t="s">
        <v>2733</v>
      </c>
      <c r="C35" s="123">
        <f ca="1">ROUND(D5*C19*C20*C24*F35,0)</f>
        <v>0</v>
      </c>
      <c r="D35" s="2627"/>
      <c r="E35" s="117">
        <f t="shared" ca="1" si="6"/>
        <v>0</v>
      </c>
      <c r="F35" s="117">
        <f>SUMIF(修正!A45:A56,G2,修正!D45:D56)</f>
        <v>0.28000000000000003</v>
      </c>
      <c r="G35" s="117">
        <f t="shared" ca="1" si="7"/>
        <v>0</v>
      </c>
      <c r="H35" s="117">
        <f t="shared" si="9"/>
        <v>0</v>
      </c>
      <c r="I35" s="117">
        <f t="shared" ca="1" si="8"/>
        <v>0</v>
      </c>
      <c r="J35" s="2643"/>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074"/>
      <c r="B36" s="2547" t="s">
        <v>2734</v>
      </c>
      <c r="C36" s="123">
        <f ca="1">ROUND(D5*C19*C20*C24*F36,0)</f>
        <v>0</v>
      </c>
      <c r="D36" s="2627"/>
      <c r="E36" s="117">
        <f t="shared" ca="1" si="6"/>
        <v>0</v>
      </c>
      <c r="F36" s="117">
        <f>SUMIF(修正!A45:A56,G2,修正!E45:E56)</f>
        <v>0.25</v>
      </c>
      <c r="G36" s="117">
        <f t="shared" ca="1" si="7"/>
        <v>0</v>
      </c>
      <c r="H36" s="117">
        <f t="shared" si="9"/>
        <v>0</v>
      </c>
      <c r="I36" s="117">
        <f t="shared" ca="1" si="8"/>
        <v>0</v>
      </c>
      <c r="J36" s="2643"/>
      <c r="L36" s="2644"/>
      <c r="M36" s="2644"/>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45"/>
      <c r="B37" s="2547" t="s">
        <v>2735</v>
      </c>
      <c r="C37" s="117">
        <f ca="1">ROUND(C5*C19*C20*C24*F37,0)</f>
        <v>2204</v>
      </c>
      <c r="D37" s="2627"/>
      <c r="E37" s="117">
        <f t="shared" ca="1" si="6"/>
        <v>0</v>
      </c>
      <c r="F37" s="123">
        <f>SUMIF(修正!A45:A56,G2,修正!F45:F56)</f>
        <v>0.25</v>
      </c>
      <c r="G37" s="117">
        <f t="shared" ca="1" si="7"/>
        <v>551</v>
      </c>
      <c r="H37" s="117">
        <f t="shared" si="9"/>
        <v>0</v>
      </c>
      <c r="I37" s="117">
        <f t="shared" ca="1" si="8"/>
        <v>0</v>
      </c>
      <c r="J37" s="2643"/>
      <c r="L37" s="2646" t="s">
        <v>2736</v>
      </c>
      <c r="M37" s="2531"/>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45"/>
      <c r="B38" s="2547" t="s">
        <v>2737</v>
      </c>
      <c r="C38" s="117">
        <f ca="1">ROUND(C5*C19*C20*C24*F38,0)</f>
        <v>2204</v>
      </c>
      <c r="D38" s="2627"/>
      <c r="E38" s="117">
        <f t="shared" ca="1" si="6"/>
        <v>0</v>
      </c>
      <c r="F38" s="123">
        <f>SUMIF(修正!A45:A56,G2,修正!G45:G56)</f>
        <v>0.25</v>
      </c>
      <c r="G38" s="117">
        <f t="shared" ca="1" si="7"/>
        <v>551</v>
      </c>
      <c r="H38" s="117">
        <f t="shared" si="9"/>
        <v>0</v>
      </c>
      <c r="I38" s="117">
        <f t="shared" ca="1" si="8"/>
        <v>0</v>
      </c>
      <c r="J38" s="2643"/>
      <c r="L38" s="2647" t="s">
        <v>2738</v>
      </c>
      <c r="M38" s="2648">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31"/>
      <c r="B39" s="2649" t="s">
        <v>2739</v>
      </c>
      <c r="C39" s="150">
        <f ca="1">ROUND(C5*C19*C20*C24*F39,0)</f>
        <v>1763</v>
      </c>
      <c r="D39" s="2633"/>
      <c r="E39" s="150">
        <f t="shared" ca="1" si="6"/>
        <v>0</v>
      </c>
      <c r="F39" s="961">
        <f>SUMIF(修正!A45:A56,G2,修正!H45:H56)</f>
        <v>0.2</v>
      </c>
      <c r="G39" s="150" t="e">
        <f t="shared" si="7"/>
        <v>#DIV/0!</v>
      </c>
      <c r="H39" s="150">
        <f t="shared" si="9"/>
        <v>0</v>
      </c>
      <c r="I39" s="150" t="e">
        <f t="shared" si="8"/>
        <v>#DIV/0!</v>
      </c>
      <c r="J39" s="2650"/>
      <c r="L39" s="2651" t="s">
        <v>2677</v>
      </c>
      <c r="M39" s="2652">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54"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53"/>
      <c r="AH40" s="2653"/>
      <c r="AI40" s="2653"/>
      <c r="AJ40" s="2653"/>
    </row>
    <row r="41" spans="1:37" s="2654" customFormat="1">
      <c r="A41" s="1459"/>
      <c r="B41" s="2655"/>
      <c r="C41" s="1458"/>
      <c r="D41" s="1458"/>
      <c r="E41" s="1458"/>
      <c r="F41" s="1458"/>
      <c r="G41" s="1458"/>
      <c r="H41" s="1458"/>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53"/>
      <c r="AH41" s="2653"/>
      <c r="AI41" s="2653"/>
      <c r="AJ41" s="2653"/>
    </row>
    <row r="42" spans="1:37" s="2654" customFormat="1">
      <c r="A42" s="1459"/>
      <c r="B42" s="2655"/>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53"/>
      <c r="AH42" s="2653"/>
      <c r="AI42" s="2653"/>
      <c r="AJ42" s="2653"/>
    </row>
    <row r="43" spans="1:37" s="2654" customFormat="1">
      <c r="A43" s="1459"/>
      <c r="B43" s="2655"/>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53"/>
      <c r="AH43" s="2653"/>
      <c r="AI43" s="2653"/>
      <c r="AJ43" s="2653"/>
    </row>
    <row r="44" spans="1:37" s="2654" customFormat="1">
      <c r="A44" s="1459"/>
      <c r="B44" s="2655"/>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53"/>
      <c r="AH44" s="2653"/>
      <c r="AI44" s="2653"/>
      <c r="AJ44" s="2653"/>
    </row>
    <row r="45" spans="1:37" s="2654" customFormat="1" ht="15.75" thickBot="1">
      <c r="A45" s="2656" t="s">
        <v>2740</v>
      </c>
      <c r="B45" s="2657"/>
      <c r="C45" s="9"/>
      <c r="D45" s="9"/>
      <c r="E45" s="9"/>
      <c r="F45" s="7"/>
      <c r="G45" s="9"/>
      <c r="H45" s="7"/>
      <c r="I45" s="9"/>
      <c r="J45" s="9"/>
      <c r="K45" s="9"/>
      <c r="L45" s="9"/>
      <c r="M45" s="9"/>
      <c r="N45" s="2498"/>
      <c r="O45" s="1458"/>
      <c r="P45" s="1458"/>
      <c r="Q45" s="1458"/>
      <c r="R45" s="1458"/>
      <c r="S45" s="1458"/>
      <c r="T45" s="1458"/>
      <c r="U45" s="1458"/>
      <c r="V45" s="1458"/>
      <c r="W45" s="1458"/>
      <c r="X45" s="1458"/>
      <c r="Y45" s="1458"/>
      <c r="Z45" s="1459"/>
      <c r="AA45" s="1459"/>
      <c r="AB45" s="1459"/>
      <c r="AC45" s="1459"/>
      <c r="AD45" s="1459"/>
      <c r="AE45" s="1459"/>
      <c r="AF45" s="1459"/>
      <c r="AG45" s="2653"/>
      <c r="AH45" s="2653"/>
      <c r="AI45" s="2653"/>
      <c r="AJ45" s="2653"/>
    </row>
    <row r="46" spans="1:37" s="2654" customFormat="1" ht="15">
      <c r="A46" s="2658" t="s">
        <v>2741</v>
      </c>
      <c r="B46" s="2659">
        <f>1+E48</f>
        <v>1</v>
      </c>
      <c r="C46" s="2660"/>
      <c r="D46" s="817"/>
      <c r="E46" s="818"/>
      <c r="F46" s="2661"/>
      <c r="G46" s="7"/>
      <c r="H46" s="9"/>
      <c r="I46" s="9"/>
      <c r="J46" s="9"/>
      <c r="K46" s="9"/>
      <c r="L46" s="9"/>
      <c r="M46" s="2498"/>
      <c r="N46" s="2662"/>
      <c r="O46" s="1458"/>
      <c r="P46" s="1458"/>
      <c r="Q46" s="1458"/>
      <c r="R46" s="1458"/>
      <c r="S46" s="1458"/>
      <c r="T46" s="1458"/>
      <c r="U46" s="1458"/>
      <c r="V46" s="1458"/>
      <c r="W46" s="1458"/>
      <c r="X46" s="1458"/>
      <c r="Y46" s="1459"/>
      <c r="Z46" s="1459"/>
      <c r="AA46" s="1459"/>
      <c r="AB46" s="1459"/>
      <c r="AC46" s="1459"/>
      <c r="AD46" s="1459"/>
      <c r="AE46" s="1459"/>
      <c r="AF46" s="2653"/>
      <c r="AG46" s="2653"/>
      <c r="AH46" s="2653"/>
      <c r="AI46" s="2653"/>
    </row>
    <row r="47" spans="1:37" s="2654" customFormat="1" ht="24.75">
      <c r="A47" s="2663" t="s">
        <v>2742</v>
      </c>
      <c r="B47" s="823" t="s">
        <v>2743</v>
      </c>
      <c r="C47" s="823" t="s">
        <v>2744</v>
      </c>
      <c r="D47" s="823" t="s">
        <v>2745</v>
      </c>
      <c r="E47" s="824" t="s">
        <v>2746</v>
      </c>
      <c r="F47" s="2664" t="s">
        <v>2747</v>
      </c>
      <c r="G47" s="823" t="s">
        <v>2748</v>
      </c>
      <c r="H47" s="2665" t="s">
        <v>2749</v>
      </c>
      <c r="I47" s="823" t="s">
        <v>2750</v>
      </c>
      <c r="J47" s="587" t="s">
        <v>2751</v>
      </c>
      <c r="K47" s="587" t="s">
        <v>2752</v>
      </c>
      <c r="L47" s="587" t="s">
        <v>2753</v>
      </c>
      <c r="M47" s="587" t="s">
        <v>2754</v>
      </c>
      <c r="N47" s="587" t="s">
        <v>2755</v>
      </c>
      <c r="O47" s="1458"/>
      <c r="P47" s="1458"/>
      <c r="Q47" s="1458"/>
      <c r="R47" s="1458"/>
      <c r="S47" s="1458"/>
      <c r="T47" s="1458"/>
      <c r="U47" s="1458"/>
      <c r="V47" s="1458"/>
      <c r="W47" s="1458"/>
      <c r="X47" s="1458"/>
      <c r="Y47" s="1458"/>
      <c r="Z47" s="1458"/>
      <c r="AA47" s="1459"/>
      <c r="AB47" s="1459"/>
      <c r="AC47" s="1459"/>
      <c r="AD47" s="1459"/>
      <c r="AE47" s="1459"/>
      <c r="AF47" s="1459"/>
      <c r="AG47" s="1459"/>
      <c r="AH47" s="2653"/>
      <c r="AI47" s="2653"/>
      <c r="AJ47" s="2653"/>
      <c r="AK47" s="2653"/>
    </row>
    <row r="48" spans="1:37" s="2654" customFormat="1" ht="24.75">
      <c r="A48" s="2663" t="s">
        <v>2756</v>
      </c>
      <c r="B48" s="2666" t="str">
        <f>估价对象房地状况!C16</f>
        <v>——</v>
      </c>
      <c r="C48" s="2553"/>
      <c r="D48" s="1372">
        <f t="shared" ref="D48:D56" si="10">SUMIF($J$47:$N$47,C48,J48:N48)</f>
        <v>0</v>
      </c>
      <c r="E48" s="829">
        <f>ROUND(SUM(D48:D56),4)</f>
        <v>0</v>
      </c>
      <c r="F48" s="2269" t="str">
        <f>IF(E2="商业",SUMIF(L1:L12,G2,N1:N12),"——")</f>
        <v>——</v>
      </c>
      <c r="G48" s="1373"/>
      <c r="H48" s="1377" t="str">
        <f t="shared" ref="H48:H56" si="11">IFERROR(ROUNDDOWN($F$48*I48/2,4),"——")</f>
        <v>——</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53"/>
      <c r="AI48" s="2653"/>
      <c r="AJ48" s="2653"/>
      <c r="AK48" s="2653"/>
    </row>
    <row r="49" spans="1:37" s="2654" customFormat="1" ht="63.75">
      <c r="A49" s="2663" t="s">
        <v>2757</v>
      </c>
      <c r="B49" s="2667" t="str">
        <f>估价对象房地状况!C18</f>
        <v>估价对象周边道路状况为临近金榆路、通8路、快专55路公交线路经过、停车便捷程度较好，综合评价交通便捷度一般</v>
      </c>
      <c r="C49" s="2553"/>
      <c r="D49" s="1372">
        <f t="shared" si="10"/>
        <v>0</v>
      </c>
      <c r="E49" s="832"/>
      <c r="F49" s="2269"/>
      <c r="G49" s="1373"/>
      <c r="H49" s="1377" t="str">
        <f t="shared" si="11"/>
        <v>——</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53"/>
      <c r="AI49" s="2653"/>
      <c r="AJ49" s="2653"/>
      <c r="AK49" s="2653"/>
    </row>
    <row r="50" spans="1:37" s="2654" customFormat="1" ht="24">
      <c r="A50" s="2663" t="s">
        <v>2758</v>
      </c>
      <c r="B50" s="2667">
        <f>估价对象房地状况!C19</f>
        <v>0</v>
      </c>
      <c r="C50" s="2553"/>
      <c r="D50" s="1372">
        <f t="shared" si="10"/>
        <v>0</v>
      </c>
      <c r="E50" s="832"/>
      <c r="F50" s="2269"/>
      <c r="G50" s="1373"/>
      <c r="H50" s="1377" t="str">
        <f t="shared" si="11"/>
        <v>——</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53"/>
      <c r="AI50" s="2653"/>
      <c r="AJ50" s="2653"/>
      <c r="AK50" s="2653"/>
    </row>
    <row r="51" spans="1:37" s="2654" customFormat="1" ht="36.75">
      <c r="A51" s="2663" t="s">
        <v>2759</v>
      </c>
      <c r="B51" s="2668" t="s">
        <v>2760</v>
      </c>
      <c r="C51" s="2553"/>
      <c r="D51" s="1372">
        <f t="shared" si="10"/>
        <v>0</v>
      </c>
      <c r="E51" s="832"/>
      <c r="F51" s="2269"/>
      <c r="G51" s="1373"/>
      <c r="H51" s="1377" t="str">
        <f t="shared" si="11"/>
        <v>——</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53"/>
      <c r="AI51" s="2653"/>
      <c r="AJ51" s="2653"/>
      <c r="AK51" s="2653"/>
    </row>
    <row r="52" spans="1:37" s="2654" customFormat="1" ht="25.5">
      <c r="A52" s="2663" t="s">
        <v>2761</v>
      </c>
      <c r="B52" s="2667" t="str">
        <f>估价对象房地状况!C24</f>
        <v>城市次干道——温榆河西路</v>
      </c>
      <c r="C52" s="2553"/>
      <c r="D52" s="1372">
        <f t="shared" si="10"/>
        <v>0</v>
      </c>
      <c r="E52" s="832"/>
      <c r="F52" s="2269"/>
      <c r="G52" s="1373"/>
      <c r="H52" s="1377" t="str">
        <f t="shared" si="11"/>
        <v>——</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53"/>
      <c r="AI52" s="2653"/>
      <c r="AJ52" s="2653"/>
      <c r="AK52" s="2653"/>
    </row>
    <row r="53" spans="1:37" s="2654" customFormat="1" ht="24">
      <c r="A53" s="2663" t="s">
        <v>2762</v>
      </c>
      <c r="B53" s="2669" t="s">
        <v>2763</v>
      </c>
      <c r="C53" s="2553"/>
      <c r="D53" s="1372">
        <f t="shared" si="10"/>
        <v>0</v>
      </c>
      <c r="E53" s="832"/>
      <c r="F53" s="2269"/>
      <c r="G53" s="1373"/>
      <c r="H53" s="1377" t="str">
        <f t="shared" si="11"/>
        <v>——</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53"/>
      <c r="AI53" s="2653"/>
      <c r="AJ53" s="2653"/>
      <c r="AK53" s="2653"/>
    </row>
    <row r="54" spans="1:37" s="2654" customFormat="1" ht="25.5">
      <c r="A54" s="2670" t="s">
        <v>2764</v>
      </c>
      <c r="B54" s="2671" t="str">
        <f>估价对象房地状况!C21</f>
        <v>估价对象所在区域公共配套设施齐备情况一般</v>
      </c>
      <c r="C54" s="2553"/>
      <c r="D54" s="1372">
        <f t="shared" si="10"/>
        <v>0</v>
      </c>
      <c r="E54" s="832"/>
      <c r="F54" s="2269"/>
      <c r="G54" s="1373"/>
      <c r="H54" s="1377" t="str">
        <f t="shared" si="11"/>
        <v>——</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53"/>
      <c r="AI54" s="2653"/>
      <c r="AJ54" s="2653"/>
      <c r="AK54" s="2653"/>
    </row>
    <row r="55" spans="1:37" s="2654" customFormat="1" ht="25.5">
      <c r="A55" s="2670" t="s">
        <v>2765</v>
      </c>
      <c r="B55" s="2667" t="str">
        <f>估价对象房地状况!C22</f>
        <v>估价对象所在区域基础设施水平七通</v>
      </c>
      <c r="C55" s="2553"/>
      <c r="D55" s="1372">
        <f t="shared" si="10"/>
        <v>0</v>
      </c>
      <c r="E55" s="832"/>
      <c r="F55" s="2269"/>
      <c r="G55" s="1373"/>
      <c r="H55" s="1377" t="str">
        <f t="shared" si="11"/>
        <v>——</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53"/>
      <c r="AI55" s="2653"/>
      <c r="AJ55" s="2653"/>
      <c r="AK55" s="2653"/>
    </row>
    <row r="56" spans="1:37" s="2654" customFormat="1" ht="51.75" thickBot="1">
      <c r="A56" s="2672" t="s">
        <v>2766</v>
      </c>
      <c r="B56" s="2673" t="str">
        <f>估价对象房地状况!C20</f>
        <v>区域2公里内有自然环境：温榆河；人文环境：北京物资学院；综合评价环境状况较好</v>
      </c>
      <c r="C56" s="2553"/>
      <c r="D56" s="1372">
        <f t="shared" si="10"/>
        <v>0</v>
      </c>
      <c r="E56" s="838"/>
      <c r="F56" s="2269"/>
      <c r="G56" s="1373"/>
      <c r="H56" s="1377" t="str">
        <f t="shared" si="11"/>
        <v>——</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53"/>
      <c r="AI56" s="2653"/>
      <c r="AJ56" s="2653"/>
      <c r="AK56" s="2653"/>
    </row>
    <row r="57" spans="1:37" s="2654" customFormat="1" ht="15">
      <c r="A57" s="2658" t="s">
        <v>2767</v>
      </c>
      <c r="B57" s="2674">
        <f>1+E59</f>
        <v>1</v>
      </c>
      <c r="C57" s="817"/>
      <c r="D57" s="817"/>
      <c r="E57" s="818"/>
      <c r="F57" s="2661"/>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53"/>
      <c r="AI57" s="2653"/>
      <c r="AJ57" s="2653"/>
      <c r="AK57" s="2653"/>
    </row>
    <row r="58" spans="1:37" s="2654" customFormat="1" ht="24.75">
      <c r="A58" s="2663" t="s">
        <v>2742</v>
      </c>
      <c r="B58" s="2667"/>
      <c r="C58" s="823" t="s">
        <v>2744</v>
      </c>
      <c r="D58" s="823" t="s">
        <v>2745</v>
      </c>
      <c r="E58" s="824" t="s">
        <v>2746</v>
      </c>
      <c r="F58" s="2664" t="s">
        <v>2747</v>
      </c>
      <c r="G58" s="823" t="s">
        <v>2768</v>
      </c>
      <c r="H58" s="2665" t="s">
        <v>2769</v>
      </c>
      <c r="I58" s="823" t="s">
        <v>2770</v>
      </c>
      <c r="J58" s="587" t="s">
        <v>2402</v>
      </c>
      <c r="K58" s="587" t="s">
        <v>2403</v>
      </c>
      <c r="L58" s="587" t="s">
        <v>2404</v>
      </c>
      <c r="M58" s="587" t="s">
        <v>2405</v>
      </c>
      <c r="N58" s="587" t="s">
        <v>2406</v>
      </c>
      <c r="O58" s="1458"/>
      <c r="P58" s="1458"/>
      <c r="Q58" s="1458"/>
      <c r="R58" s="1458"/>
      <c r="S58" s="1458"/>
      <c r="T58" s="1458"/>
      <c r="U58" s="1458"/>
      <c r="V58" s="1458"/>
      <c r="W58" s="1458"/>
      <c r="X58" s="1458"/>
      <c r="Y58" s="1458"/>
      <c r="Z58" s="1458"/>
      <c r="AA58" s="1459"/>
      <c r="AB58" s="1459"/>
      <c r="AC58" s="1459"/>
      <c r="AD58" s="1459"/>
      <c r="AE58" s="1459"/>
      <c r="AF58" s="1459"/>
      <c r="AG58" s="1459"/>
      <c r="AH58" s="2653"/>
      <c r="AI58" s="2653"/>
      <c r="AJ58" s="2653"/>
      <c r="AK58" s="2653"/>
    </row>
    <row r="59" spans="1:37" s="2654" customFormat="1" ht="51">
      <c r="A59" s="2663" t="s">
        <v>2771</v>
      </c>
      <c r="B59" s="2666" t="str">
        <f>估价对象房地状况!C17</f>
        <v>估价对象位于北京市副中心西北部，周边办公楼项目较少，入驻率一般，办公集聚程度较差</v>
      </c>
      <c r="C59" s="2553"/>
      <c r="D59" s="1372">
        <f t="shared" ref="D59:D67" si="15">SUMIF($J$58:$N$58,C59,J59:N59)</f>
        <v>0</v>
      </c>
      <c r="E59" s="829">
        <f>ROUND(SUM(D59:D67),4)</f>
        <v>0</v>
      </c>
      <c r="F59" s="2269">
        <f>IF(E2="办公",SUMIF(L1:L12,G2,N1:N12),"——")</f>
        <v>0.13</v>
      </c>
      <c r="G59" s="1373"/>
      <c r="H59" s="1377">
        <f t="shared" ref="H59:H67" si="16">IFERROR(ROUNDDOWN($F$59*I59/2,4),"——")</f>
        <v>1.5599999999999999E-2</v>
      </c>
      <c r="I59" s="828">
        <v>0.24</v>
      </c>
      <c r="J59" s="1374">
        <f t="shared" ref="J59:J67" si="17">K59+$G59</f>
        <v>0</v>
      </c>
      <c r="K59" s="1374">
        <f t="shared" ref="K59:K67" si="18">$L59+$G59</f>
        <v>0</v>
      </c>
      <c r="L59" s="1374">
        <v>0</v>
      </c>
      <c r="M59" s="1374">
        <f t="shared" ref="M59:N67" si="19">L59-$G59</f>
        <v>0</v>
      </c>
      <c r="N59" s="1374">
        <f t="shared" si="19"/>
        <v>0</v>
      </c>
      <c r="O59" s="1458"/>
      <c r="P59" s="1458"/>
      <c r="Q59" s="1458"/>
      <c r="R59" s="1458"/>
      <c r="S59" s="1458"/>
      <c r="T59" s="1458"/>
      <c r="U59" s="1458"/>
      <c r="V59" s="1458"/>
      <c r="W59" s="1458"/>
      <c r="X59" s="1458"/>
      <c r="Y59" s="1458"/>
      <c r="Z59" s="1458"/>
      <c r="AA59" s="1459"/>
      <c r="AB59" s="1459"/>
      <c r="AC59" s="1459"/>
      <c r="AD59" s="1459"/>
      <c r="AE59" s="1459"/>
      <c r="AF59" s="1459"/>
      <c r="AG59" s="1459"/>
      <c r="AH59" s="2653"/>
      <c r="AI59" s="2653"/>
      <c r="AJ59" s="2653"/>
      <c r="AK59" s="2653"/>
    </row>
    <row r="60" spans="1:37" s="2654" customFormat="1" ht="63.75">
      <c r="A60" s="2663" t="s">
        <v>2757</v>
      </c>
      <c r="B60" s="2667" t="str">
        <f>估价对象房地状况!C18</f>
        <v>估价对象周边道路状况为临近金榆路、通8路、快专55路公交线路经过、停车便捷程度较好，综合评价交通便捷度一般</v>
      </c>
      <c r="C60" s="2553"/>
      <c r="D60" s="1372">
        <f t="shared" si="15"/>
        <v>0</v>
      </c>
      <c r="E60" s="832"/>
      <c r="F60" s="2269"/>
      <c r="G60" s="1373"/>
      <c r="H60" s="1377">
        <f t="shared" si="16"/>
        <v>1.95E-2</v>
      </c>
      <c r="I60" s="828">
        <v>0.3</v>
      </c>
      <c r="J60" s="1374">
        <f t="shared" si="17"/>
        <v>0</v>
      </c>
      <c r="K60" s="1374">
        <f t="shared" si="18"/>
        <v>0</v>
      </c>
      <c r="L60" s="1374">
        <v>0</v>
      </c>
      <c r="M60" s="1374">
        <f t="shared" si="19"/>
        <v>0</v>
      </c>
      <c r="N60" s="1374">
        <f t="shared" si="19"/>
        <v>0</v>
      </c>
      <c r="O60" s="1458"/>
      <c r="P60" s="1458"/>
      <c r="Q60" s="1458"/>
      <c r="R60" s="1458"/>
      <c r="S60" s="1458"/>
      <c r="T60" s="1458"/>
      <c r="U60" s="1458"/>
      <c r="V60" s="1458"/>
      <c r="W60" s="1458"/>
      <c r="X60" s="1458"/>
      <c r="Y60" s="1458"/>
      <c r="Z60" s="1458"/>
      <c r="AA60" s="1459"/>
      <c r="AB60" s="1459"/>
      <c r="AC60" s="1459"/>
      <c r="AD60" s="1459"/>
      <c r="AE60" s="1459"/>
      <c r="AF60" s="1459"/>
      <c r="AG60" s="1459"/>
      <c r="AH60" s="2653"/>
      <c r="AI60" s="2653"/>
      <c r="AJ60" s="2653"/>
      <c r="AK60" s="2653"/>
    </row>
    <row r="61" spans="1:37" s="2654" customFormat="1" ht="24">
      <c r="A61" s="2663" t="s">
        <v>2758</v>
      </c>
      <c r="B61" s="2667">
        <f>估价对象房地状况!C19</f>
        <v>0</v>
      </c>
      <c r="C61" s="2553"/>
      <c r="D61" s="1372">
        <f t="shared" si="15"/>
        <v>0</v>
      </c>
      <c r="E61" s="832"/>
      <c r="F61" s="2269"/>
      <c r="G61" s="1373"/>
      <c r="H61" s="1377">
        <f t="shared" si="16"/>
        <v>5.1999999999999998E-3</v>
      </c>
      <c r="I61" s="828">
        <v>0.08</v>
      </c>
      <c r="J61" s="1374">
        <f t="shared" si="17"/>
        <v>0</v>
      </c>
      <c r="K61" s="1374">
        <f t="shared" si="18"/>
        <v>0</v>
      </c>
      <c r="L61" s="1374">
        <v>0</v>
      </c>
      <c r="M61" s="1374">
        <f t="shared" si="19"/>
        <v>0</v>
      </c>
      <c r="N61" s="1374">
        <f t="shared" si="19"/>
        <v>0</v>
      </c>
      <c r="O61" s="1458"/>
      <c r="P61" s="1458"/>
      <c r="Q61" s="1458"/>
      <c r="R61" s="1458"/>
      <c r="S61" s="1458"/>
      <c r="T61" s="1458"/>
      <c r="U61" s="1458"/>
      <c r="V61" s="1458"/>
      <c r="W61" s="1458"/>
      <c r="X61" s="1458"/>
      <c r="Y61" s="1458"/>
      <c r="Z61" s="1458"/>
      <c r="AA61" s="1459"/>
      <c r="AB61" s="1459"/>
      <c r="AC61" s="1459"/>
      <c r="AD61" s="1459"/>
      <c r="AE61" s="1459"/>
      <c r="AF61" s="1459"/>
      <c r="AG61" s="1459"/>
      <c r="AH61" s="2653"/>
      <c r="AI61" s="2653"/>
      <c r="AJ61" s="2653"/>
      <c r="AK61" s="2653"/>
    </row>
    <row r="62" spans="1:37" s="2654" customFormat="1" ht="36.75">
      <c r="A62" s="2663" t="s">
        <v>2759</v>
      </c>
      <c r="B62" s="2668" t="s">
        <v>2760</v>
      </c>
      <c r="C62" s="2553"/>
      <c r="D62" s="1372">
        <f t="shared" si="15"/>
        <v>0</v>
      </c>
      <c r="E62" s="832"/>
      <c r="F62" s="2269"/>
      <c r="G62" s="1373"/>
      <c r="H62" s="1377">
        <f t="shared" si="16"/>
        <v>2.5999999999999999E-3</v>
      </c>
      <c r="I62" s="828">
        <v>0.04</v>
      </c>
      <c r="J62" s="1374">
        <f t="shared" si="17"/>
        <v>0</v>
      </c>
      <c r="K62" s="1374">
        <f t="shared" si="18"/>
        <v>0</v>
      </c>
      <c r="L62" s="1374">
        <v>0</v>
      </c>
      <c r="M62" s="1374">
        <f t="shared" si="19"/>
        <v>0</v>
      </c>
      <c r="N62" s="1374">
        <f t="shared" si="19"/>
        <v>0</v>
      </c>
      <c r="O62" s="1458"/>
      <c r="P62" s="1458"/>
      <c r="Q62" s="1458"/>
      <c r="R62" s="1458"/>
      <c r="S62" s="1458"/>
      <c r="T62" s="1458"/>
      <c r="U62" s="1458"/>
      <c r="V62" s="1458"/>
      <c r="W62" s="1458"/>
      <c r="X62" s="1458"/>
      <c r="Y62" s="1458"/>
      <c r="Z62" s="1458"/>
      <c r="AA62" s="1459"/>
      <c r="AB62" s="1459"/>
      <c r="AC62" s="1459"/>
      <c r="AD62" s="1459"/>
      <c r="AE62" s="1459"/>
      <c r="AF62" s="1459"/>
      <c r="AG62" s="1459"/>
      <c r="AH62" s="2653"/>
      <c r="AI62" s="2653"/>
      <c r="AJ62" s="2653"/>
      <c r="AK62" s="2653"/>
    </row>
    <row r="63" spans="1:37" s="2654" customFormat="1" ht="25.5">
      <c r="A63" s="2663" t="s">
        <v>2761</v>
      </c>
      <c r="B63" s="2667" t="str">
        <f>估价对象房地状况!C24</f>
        <v>城市次干道——温榆河西路</v>
      </c>
      <c r="C63" s="2553"/>
      <c r="D63" s="1372">
        <f t="shared" si="15"/>
        <v>0</v>
      </c>
      <c r="E63" s="832"/>
      <c r="F63" s="2269"/>
      <c r="G63" s="1373"/>
      <c r="H63" s="1377">
        <f t="shared" si="16"/>
        <v>3.2000000000000002E-3</v>
      </c>
      <c r="I63" s="828">
        <v>0.05</v>
      </c>
      <c r="J63" s="1374">
        <f t="shared" si="17"/>
        <v>0</v>
      </c>
      <c r="K63" s="1374">
        <f t="shared" si="18"/>
        <v>0</v>
      </c>
      <c r="L63" s="1374">
        <v>0</v>
      </c>
      <c r="M63" s="1374">
        <f t="shared" si="19"/>
        <v>0</v>
      </c>
      <c r="N63" s="1374">
        <f t="shared" si="19"/>
        <v>0</v>
      </c>
      <c r="O63" s="1458"/>
      <c r="P63" s="1458"/>
      <c r="Q63" s="1458"/>
      <c r="R63" s="1458"/>
      <c r="S63" s="1458"/>
      <c r="T63" s="1458"/>
      <c r="U63" s="1458"/>
      <c r="V63" s="1458"/>
      <c r="W63" s="1458"/>
      <c r="X63" s="1458"/>
      <c r="Y63" s="1458"/>
      <c r="Z63" s="1458"/>
      <c r="AA63" s="1459"/>
      <c r="AB63" s="1459"/>
      <c r="AC63" s="1459"/>
      <c r="AD63" s="1459"/>
      <c r="AE63" s="1459"/>
      <c r="AF63" s="1459"/>
      <c r="AG63" s="1459"/>
      <c r="AH63" s="2653"/>
      <c r="AI63" s="2653"/>
      <c r="AJ63" s="2653"/>
      <c r="AK63" s="2653"/>
    </row>
    <row r="64" spans="1:37" s="2654" customFormat="1" ht="24">
      <c r="A64" s="2663" t="s">
        <v>2762</v>
      </c>
      <c r="B64" s="2669" t="s">
        <v>2763</v>
      </c>
      <c r="C64" s="2553"/>
      <c r="D64" s="1372">
        <f t="shared" si="15"/>
        <v>0</v>
      </c>
      <c r="E64" s="832"/>
      <c r="F64" s="2269"/>
      <c r="G64" s="1373"/>
      <c r="H64" s="1377">
        <f t="shared" si="16"/>
        <v>3.2000000000000002E-3</v>
      </c>
      <c r="I64" s="828">
        <v>0.05</v>
      </c>
      <c r="J64" s="1374">
        <f t="shared" si="17"/>
        <v>0</v>
      </c>
      <c r="K64" s="1374">
        <f t="shared" si="18"/>
        <v>0</v>
      </c>
      <c r="L64" s="1374">
        <v>0</v>
      </c>
      <c r="M64" s="1374">
        <f t="shared" si="19"/>
        <v>0</v>
      </c>
      <c r="N64" s="1374">
        <f t="shared" si="19"/>
        <v>0</v>
      </c>
      <c r="O64" s="1458"/>
      <c r="P64" s="1458"/>
      <c r="Q64" s="1458"/>
      <c r="R64" s="1458"/>
      <c r="S64" s="1458"/>
      <c r="T64" s="1458"/>
      <c r="U64" s="1458"/>
      <c r="V64" s="1458"/>
      <c r="W64" s="1458"/>
      <c r="X64" s="1458"/>
      <c r="Y64" s="1458"/>
      <c r="Z64" s="1458"/>
      <c r="AA64" s="1459"/>
      <c r="AB64" s="1459"/>
      <c r="AC64" s="1459"/>
      <c r="AD64" s="1459"/>
      <c r="AE64" s="1459"/>
      <c r="AF64" s="1459"/>
      <c r="AG64" s="1459"/>
      <c r="AH64" s="2653"/>
      <c r="AI64" s="2653"/>
      <c r="AJ64" s="2653"/>
      <c r="AK64" s="2653"/>
    </row>
    <row r="65" spans="1:37" s="2654" customFormat="1" ht="25.5">
      <c r="A65" s="2663" t="s">
        <v>2764</v>
      </c>
      <c r="B65" s="2671" t="str">
        <f>估价对象房地状况!C21</f>
        <v>估价对象所在区域公共配套设施齐备情况一般</v>
      </c>
      <c r="C65" s="2553"/>
      <c r="D65" s="1372">
        <f t="shared" si="15"/>
        <v>0</v>
      </c>
      <c r="E65" s="832"/>
      <c r="F65" s="2269"/>
      <c r="G65" s="1373"/>
      <c r="H65" s="1377">
        <f t="shared" si="16"/>
        <v>3.8999999999999998E-3</v>
      </c>
      <c r="I65" s="828">
        <v>0.06</v>
      </c>
      <c r="J65" s="1374">
        <f t="shared" si="17"/>
        <v>0</v>
      </c>
      <c r="K65" s="1374">
        <f t="shared" si="18"/>
        <v>0</v>
      </c>
      <c r="L65" s="1374">
        <v>0</v>
      </c>
      <c r="M65" s="1374">
        <f t="shared" si="19"/>
        <v>0</v>
      </c>
      <c r="N65" s="1374">
        <f t="shared" si="19"/>
        <v>0</v>
      </c>
      <c r="O65" s="1458"/>
      <c r="P65" s="1458"/>
      <c r="Q65" s="1458"/>
      <c r="R65" s="1458"/>
      <c r="S65" s="1458"/>
      <c r="T65" s="1458"/>
      <c r="U65" s="1458"/>
      <c r="V65" s="1458"/>
      <c r="W65" s="1458"/>
      <c r="X65" s="1458"/>
      <c r="Y65" s="1458"/>
      <c r="Z65" s="1458"/>
      <c r="AA65" s="1459"/>
      <c r="AB65" s="1459"/>
      <c r="AC65" s="1459"/>
      <c r="AD65" s="1459"/>
      <c r="AE65" s="1459"/>
      <c r="AF65" s="1459"/>
      <c r="AG65" s="1459"/>
      <c r="AH65" s="2653"/>
      <c r="AI65" s="2653"/>
      <c r="AJ65" s="2653"/>
      <c r="AK65" s="2653"/>
    </row>
    <row r="66" spans="1:37" s="2654" customFormat="1" ht="25.5">
      <c r="A66" s="2663" t="s">
        <v>2765</v>
      </c>
      <c r="B66" s="2671" t="str">
        <f>估价对象房地状况!C22</f>
        <v>估价对象所在区域基础设施水平七通</v>
      </c>
      <c r="C66" s="2553"/>
      <c r="D66" s="1372">
        <f t="shared" si="15"/>
        <v>0</v>
      </c>
      <c r="E66" s="832"/>
      <c r="F66" s="2269"/>
      <c r="G66" s="1373"/>
      <c r="H66" s="1377">
        <f t="shared" si="16"/>
        <v>7.7999999999999996E-3</v>
      </c>
      <c r="I66" s="828">
        <v>0.12</v>
      </c>
      <c r="J66" s="1374">
        <f t="shared" si="17"/>
        <v>0</v>
      </c>
      <c r="K66" s="1374">
        <f t="shared" si="18"/>
        <v>0</v>
      </c>
      <c r="L66" s="1374">
        <v>0</v>
      </c>
      <c r="M66" s="1374">
        <f t="shared" si="19"/>
        <v>0</v>
      </c>
      <c r="N66" s="1374">
        <f t="shared" si="19"/>
        <v>0</v>
      </c>
      <c r="O66" s="1458"/>
      <c r="P66" s="1458"/>
      <c r="Q66" s="1458"/>
      <c r="R66" s="1458"/>
      <c r="S66" s="1458"/>
      <c r="T66" s="1458"/>
      <c r="U66" s="1458"/>
      <c r="V66" s="1458"/>
      <c r="W66" s="1458"/>
      <c r="X66" s="1458"/>
      <c r="Y66" s="1458"/>
      <c r="Z66" s="1458"/>
      <c r="AA66" s="1459"/>
      <c r="AB66" s="1459"/>
      <c r="AC66" s="1459"/>
      <c r="AD66" s="1459"/>
      <c r="AE66" s="1459"/>
      <c r="AF66" s="1459"/>
      <c r="AG66" s="1459"/>
      <c r="AH66" s="2653"/>
      <c r="AI66" s="2653"/>
      <c r="AJ66" s="2653"/>
      <c r="AK66" s="2653"/>
    </row>
    <row r="67" spans="1:37" s="2654" customFormat="1" ht="51.75" thickBot="1">
      <c r="A67" s="2672" t="s">
        <v>2766</v>
      </c>
      <c r="B67" s="2675" t="str">
        <f>估价对象房地状况!C20</f>
        <v>区域2公里内有自然环境：温榆河；人文环境：北京物资学院；综合评价环境状况较好</v>
      </c>
      <c r="C67" s="2553"/>
      <c r="D67" s="1372">
        <f t="shared" si="15"/>
        <v>0</v>
      </c>
      <c r="E67" s="838"/>
      <c r="F67" s="2269"/>
      <c r="G67" s="1373"/>
      <c r="H67" s="1377">
        <f t="shared" si="16"/>
        <v>3.8999999999999998E-3</v>
      </c>
      <c r="I67" s="837">
        <v>0.06</v>
      </c>
      <c r="J67" s="1374">
        <f t="shared" si="17"/>
        <v>0</v>
      </c>
      <c r="K67" s="1374">
        <f t="shared" si="18"/>
        <v>0</v>
      </c>
      <c r="L67" s="1374">
        <v>0</v>
      </c>
      <c r="M67" s="1374">
        <f t="shared" si="19"/>
        <v>0</v>
      </c>
      <c r="N67" s="1374">
        <f t="shared" si="19"/>
        <v>0</v>
      </c>
      <c r="O67" s="1458"/>
      <c r="P67" s="1458"/>
      <c r="Q67" s="1458"/>
      <c r="R67" s="1458"/>
      <c r="S67" s="1458"/>
      <c r="T67" s="1458"/>
      <c r="U67" s="1458"/>
      <c r="V67" s="1458"/>
      <c r="W67" s="1458"/>
      <c r="X67" s="1458"/>
      <c r="Y67" s="1458"/>
      <c r="Z67" s="1458"/>
      <c r="AA67" s="1459"/>
      <c r="AB67" s="1459"/>
      <c r="AC67" s="1459"/>
      <c r="AD67" s="1459"/>
      <c r="AE67" s="1459"/>
      <c r="AF67" s="1459"/>
      <c r="AG67" s="1459"/>
      <c r="AH67" s="2653"/>
      <c r="AI67" s="2653"/>
      <c r="AJ67" s="2653"/>
      <c r="AK67" s="2653"/>
    </row>
    <row r="68" spans="1:37" s="2654" customFormat="1" ht="15">
      <c r="A68" s="2658" t="s">
        <v>2772</v>
      </c>
      <c r="B68" s="2674">
        <f>1+E70</f>
        <v>1</v>
      </c>
      <c r="C68" s="817"/>
      <c r="D68" s="817"/>
      <c r="E68" s="818"/>
      <c r="F68" s="2661"/>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53"/>
      <c r="AI68" s="2653"/>
      <c r="AJ68" s="2653"/>
      <c r="AK68" s="2653"/>
    </row>
    <row r="69" spans="1:37" s="2654" customFormat="1" ht="24.75">
      <c r="A69" s="2663" t="s">
        <v>2742</v>
      </c>
      <c r="B69" s="2667"/>
      <c r="C69" s="823" t="s">
        <v>2744</v>
      </c>
      <c r="D69" s="823" t="s">
        <v>2745</v>
      </c>
      <c r="E69" s="824" t="s">
        <v>2746</v>
      </c>
      <c r="F69" s="2664" t="s">
        <v>2747</v>
      </c>
      <c r="G69" s="823" t="s">
        <v>2768</v>
      </c>
      <c r="H69" s="2665" t="s">
        <v>2769</v>
      </c>
      <c r="I69" s="823" t="s">
        <v>2770</v>
      </c>
      <c r="J69" s="587" t="s">
        <v>2402</v>
      </c>
      <c r="K69" s="587" t="s">
        <v>2403</v>
      </c>
      <c r="L69" s="587" t="s">
        <v>2404</v>
      </c>
      <c r="M69" s="587" t="s">
        <v>2405</v>
      </c>
      <c r="N69" s="587" t="s">
        <v>2406</v>
      </c>
      <c r="O69" s="1458"/>
      <c r="P69" s="1458"/>
      <c r="Q69" s="1458"/>
      <c r="R69" s="1458"/>
      <c r="S69" s="1458"/>
      <c r="T69" s="1458"/>
      <c r="U69" s="1458"/>
      <c r="V69" s="1458"/>
      <c r="W69" s="1458"/>
      <c r="X69" s="1458"/>
      <c r="Y69" s="1458"/>
      <c r="Z69" s="1458"/>
      <c r="AA69" s="1459"/>
      <c r="AB69" s="1459"/>
      <c r="AC69" s="1459"/>
      <c r="AD69" s="1459"/>
      <c r="AE69" s="1459"/>
      <c r="AF69" s="1459"/>
      <c r="AG69" s="1459"/>
      <c r="AH69" s="2653"/>
      <c r="AI69" s="2653"/>
      <c r="AJ69" s="2653"/>
      <c r="AK69" s="2653"/>
    </row>
    <row r="70" spans="1:37" s="2654" customFormat="1" ht="24">
      <c r="A70" s="2663" t="s">
        <v>2773</v>
      </c>
      <c r="B70" s="2666" t="str">
        <f>估价对象房地状况!C15</f>
        <v>——</v>
      </c>
      <c r="C70" s="2553"/>
      <c r="D70" s="1372">
        <f t="shared" ref="D70:D78" si="20">SUMIF($J$69:$N$69,C70,J70:N70)</f>
        <v>0</v>
      </c>
      <c r="E70" s="829">
        <f>ROUND(SUM(D70:D78),4)</f>
        <v>0</v>
      </c>
      <c r="F70" s="2269" t="str">
        <f>IF(E2="住宅",SUMIF(L1:L12,G2,N1:N12),"——")</f>
        <v>——</v>
      </c>
      <c r="G70" s="1373"/>
      <c r="H70" s="1377" t="str">
        <f t="shared" ref="H70:H78" si="21">IFERROR(ROUNDDOWN($F$70*I70/2,4),"——")</f>
        <v>——</v>
      </c>
      <c r="I70" s="828">
        <v>0.14000000000000001</v>
      </c>
      <c r="J70" s="1374">
        <f t="shared" ref="J70:J78" si="22">K70+$G70</f>
        <v>0</v>
      </c>
      <c r="K70" s="1374">
        <f t="shared" ref="K70:K78" si="23">$L70+$G70</f>
        <v>0</v>
      </c>
      <c r="L70" s="1374">
        <v>0</v>
      </c>
      <c r="M70" s="1374">
        <f t="shared" ref="M70:N78" si="24">L70-$G70</f>
        <v>0</v>
      </c>
      <c r="N70" s="1374">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53"/>
      <c r="AI70" s="2653"/>
      <c r="AJ70" s="2653"/>
      <c r="AK70" s="2653"/>
    </row>
    <row r="71" spans="1:37" s="2654" customFormat="1" ht="63.75">
      <c r="A71" s="2663" t="s">
        <v>2757</v>
      </c>
      <c r="B71" s="2667" t="str">
        <f>估价对象房地状况!C18</f>
        <v>估价对象周边道路状况为临近金榆路、通8路、快专55路公交线路经过、停车便捷程度较好，综合评价交通便捷度一般</v>
      </c>
      <c r="C71" s="2553"/>
      <c r="D71" s="1372">
        <f t="shared" si="20"/>
        <v>0</v>
      </c>
      <c r="E71" s="840"/>
      <c r="F71" s="2676"/>
      <c r="G71" s="1373"/>
      <c r="H71" s="1377" t="str">
        <f t="shared" si="21"/>
        <v>——</v>
      </c>
      <c r="I71" s="828">
        <v>0.3</v>
      </c>
      <c r="J71" s="1374">
        <f t="shared" si="22"/>
        <v>0</v>
      </c>
      <c r="K71" s="1374">
        <f t="shared" si="23"/>
        <v>0</v>
      </c>
      <c r="L71" s="1374">
        <v>0</v>
      </c>
      <c r="M71" s="1374">
        <f t="shared" si="24"/>
        <v>0</v>
      </c>
      <c r="N71" s="1374">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53"/>
      <c r="AI71" s="2653"/>
      <c r="AJ71" s="2653"/>
      <c r="AK71" s="2653"/>
    </row>
    <row r="72" spans="1:37" s="2654" customFormat="1" ht="24">
      <c r="A72" s="2663" t="s">
        <v>2758</v>
      </c>
      <c r="B72" s="2667">
        <f>估价对象房地状况!C19</f>
        <v>0</v>
      </c>
      <c r="C72" s="2553"/>
      <c r="D72" s="1372">
        <f t="shared" si="20"/>
        <v>0</v>
      </c>
      <c r="E72" s="840"/>
      <c r="F72" s="2676"/>
      <c r="G72" s="1373"/>
      <c r="H72" s="1377" t="str">
        <f t="shared" si="21"/>
        <v>——</v>
      </c>
      <c r="I72" s="828">
        <v>0.08</v>
      </c>
      <c r="J72" s="1374">
        <f t="shared" si="22"/>
        <v>0</v>
      </c>
      <c r="K72" s="1374">
        <f t="shared" si="23"/>
        <v>0</v>
      </c>
      <c r="L72" s="1374">
        <v>0</v>
      </c>
      <c r="M72" s="1374">
        <f t="shared" si="24"/>
        <v>0</v>
      </c>
      <c r="N72" s="1374">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53"/>
      <c r="AI72" s="2653"/>
      <c r="AJ72" s="2653"/>
      <c r="AK72" s="2653"/>
    </row>
    <row r="73" spans="1:37" s="2654" customFormat="1" ht="25.5">
      <c r="A73" s="2663" t="s">
        <v>2774</v>
      </c>
      <c r="B73" s="2667" t="str">
        <f>估价对象房地状况!C24</f>
        <v>城市次干道——温榆河西路</v>
      </c>
      <c r="C73" s="2553"/>
      <c r="D73" s="1372">
        <f t="shared" si="20"/>
        <v>0</v>
      </c>
      <c r="E73" s="840"/>
      <c r="F73" s="2676"/>
      <c r="G73" s="1373"/>
      <c r="H73" s="1377" t="str">
        <f t="shared" si="21"/>
        <v>——</v>
      </c>
      <c r="I73" s="828">
        <v>0.04</v>
      </c>
      <c r="J73" s="1374">
        <f t="shared" si="22"/>
        <v>0</v>
      </c>
      <c r="K73" s="1374">
        <f t="shared" si="23"/>
        <v>0</v>
      </c>
      <c r="L73" s="1374">
        <v>0</v>
      </c>
      <c r="M73" s="1374">
        <f t="shared" si="24"/>
        <v>0</v>
      </c>
      <c r="N73" s="1374">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53"/>
      <c r="AI73" s="2653"/>
      <c r="AJ73" s="2653"/>
      <c r="AK73" s="2653"/>
    </row>
    <row r="74" spans="1:37" s="2654" customFormat="1" ht="25.5">
      <c r="A74" s="2663" t="s">
        <v>2764</v>
      </c>
      <c r="B74" s="2671" t="str">
        <f>估价对象房地状况!C21</f>
        <v>估价对象所在区域公共配套设施齐备情况一般</v>
      </c>
      <c r="C74" s="2553"/>
      <c r="D74" s="1372">
        <f t="shared" si="20"/>
        <v>0</v>
      </c>
      <c r="E74" s="840"/>
      <c r="F74" s="2676"/>
      <c r="G74" s="1373"/>
      <c r="H74" s="1377" t="str">
        <f t="shared" si="21"/>
        <v>——</v>
      </c>
      <c r="I74" s="828">
        <v>0.08</v>
      </c>
      <c r="J74" s="1374">
        <f t="shared" si="22"/>
        <v>0</v>
      </c>
      <c r="K74" s="1374">
        <f t="shared" si="23"/>
        <v>0</v>
      </c>
      <c r="L74" s="1374">
        <v>0</v>
      </c>
      <c r="M74" s="1374">
        <f t="shared" si="24"/>
        <v>0</v>
      </c>
      <c r="N74" s="1374">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53"/>
      <c r="AI74" s="2653"/>
      <c r="AJ74" s="2653"/>
      <c r="AK74" s="2653"/>
    </row>
    <row r="75" spans="1:37" s="2654" customFormat="1" ht="25.5">
      <c r="A75" s="2663" t="s">
        <v>2765</v>
      </c>
      <c r="B75" s="2671" t="str">
        <f>估价对象房地状况!C22</f>
        <v>估价对象所在区域基础设施水平七通</v>
      </c>
      <c r="C75" s="2553"/>
      <c r="D75" s="1372">
        <f t="shared" si="20"/>
        <v>0</v>
      </c>
      <c r="E75" s="840"/>
      <c r="F75" s="2676"/>
      <c r="G75" s="1373"/>
      <c r="H75" s="1377" t="str">
        <f t="shared" si="21"/>
        <v>——</v>
      </c>
      <c r="I75" s="828">
        <v>0.12</v>
      </c>
      <c r="J75" s="1374">
        <f t="shared" si="22"/>
        <v>0</v>
      </c>
      <c r="K75" s="1374">
        <f t="shared" si="23"/>
        <v>0</v>
      </c>
      <c r="L75" s="1374">
        <v>0</v>
      </c>
      <c r="M75" s="1374">
        <f t="shared" si="24"/>
        <v>0</v>
      </c>
      <c r="N75" s="1374">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53"/>
      <c r="AI75" s="2653"/>
      <c r="AJ75" s="2653"/>
      <c r="AK75" s="2653"/>
    </row>
    <row r="76" spans="1:37" ht="24">
      <c r="A76" s="2663" t="s">
        <v>2762</v>
      </c>
      <c r="B76" s="2669" t="s">
        <v>2763</v>
      </c>
      <c r="C76" s="2553"/>
      <c r="D76" s="1372">
        <f t="shared" si="20"/>
        <v>0</v>
      </c>
      <c r="E76" s="840"/>
      <c r="F76" s="2676"/>
      <c r="G76" s="1373"/>
      <c r="H76" s="1377" t="str">
        <f t="shared" si="21"/>
        <v>——</v>
      </c>
      <c r="I76" s="828">
        <v>0.05</v>
      </c>
      <c r="J76" s="1374">
        <f t="shared" si="22"/>
        <v>0</v>
      </c>
      <c r="K76" s="1374">
        <f t="shared" si="23"/>
        <v>0</v>
      </c>
      <c r="L76" s="1374">
        <v>0</v>
      </c>
      <c r="M76" s="1374">
        <f t="shared" si="24"/>
        <v>0</v>
      </c>
      <c r="N76" s="1374">
        <f t="shared" si="24"/>
        <v>0</v>
      </c>
      <c r="Z76" s="2500"/>
      <c r="AA76" s="2577"/>
      <c r="AG76" s="2653"/>
      <c r="AK76" s="2577"/>
    </row>
    <row r="77" spans="1:37" ht="51">
      <c r="A77" s="2663" t="s">
        <v>2766</v>
      </c>
      <c r="B77" s="2666" t="str">
        <f>估价对象房地状况!C20</f>
        <v>区域2公里内有自然环境：温榆河；人文环境：北京物资学院；综合评价环境状况较好</v>
      </c>
      <c r="C77" s="2553"/>
      <c r="D77" s="1372">
        <f t="shared" si="20"/>
        <v>0</v>
      </c>
      <c r="E77" s="840"/>
      <c r="F77" s="2676"/>
      <c r="G77" s="1373"/>
      <c r="H77" s="1377" t="str">
        <f t="shared" si="21"/>
        <v>——</v>
      </c>
      <c r="I77" s="828">
        <v>0.15</v>
      </c>
      <c r="J77" s="1374">
        <f t="shared" si="22"/>
        <v>0</v>
      </c>
      <c r="K77" s="1374">
        <f t="shared" si="23"/>
        <v>0</v>
      </c>
      <c r="L77" s="1374">
        <v>0</v>
      </c>
      <c r="M77" s="1374">
        <f t="shared" si="24"/>
        <v>0</v>
      </c>
      <c r="N77" s="1374">
        <f t="shared" si="24"/>
        <v>0</v>
      </c>
      <c r="Z77" s="2500"/>
      <c r="AA77" s="2577"/>
      <c r="AG77" s="2653"/>
      <c r="AK77" s="2577"/>
    </row>
    <row r="78" spans="1:37" ht="24.75" thickBot="1">
      <c r="A78" s="2672" t="s">
        <v>2775</v>
      </c>
      <c r="B78" s="2677"/>
      <c r="C78" s="2553"/>
      <c r="D78" s="1372">
        <f t="shared" si="20"/>
        <v>0</v>
      </c>
      <c r="E78" s="841"/>
      <c r="F78" s="2676"/>
      <c r="G78" s="1373"/>
      <c r="H78" s="1377" t="str">
        <f t="shared" si="21"/>
        <v>——</v>
      </c>
      <c r="I78" s="837">
        <v>0.04</v>
      </c>
      <c r="J78" s="1374">
        <f t="shared" si="22"/>
        <v>0</v>
      </c>
      <c r="K78" s="1374">
        <f t="shared" si="23"/>
        <v>0</v>
      </c>
      <c r="L78" s="1374">
        <v>0</v>
      </c>
      <c r="M78" s="1374">
        <f t="shared" si="24"/>
        <v>0</v>
      </c>
      <c r="N78" s="1374">
        <f t="shared" si="24"/>
        <v>0</v>
      </c>
      <c r="Z78" s="2500"/>
      <c r="AA78" s="2577"/>
      <c r="AG78" s="2653"/>
      <c r="AK78" s="2577"/>
    </row>
    <row r="79" spans="1:37" ht="15">
      <c r="A79" s="2658" t="s">
        <v>2776</v>
      </c>
      <c r="B79" s="2674">
        <f>1+E81</f>
        <v>1</v>
      </c>
      <c r="C79" s="817"/>
      <c r="D79" s="817"/>
      <c r="E79" s="818"/>
      <c r="F79" s="2661"/>
      <c r="G79" s="7"/>
      <c r="H79" s="7"/>
      <c r="I79" s="7"/>
      <c r="J79" s="9"/>
      <c r="K79" s="9"/>
      <c r="L79" s="9"/>
      <c r="M79" s="9"/>
      <c r="N79" s="9"/>
      <c r="Z79" s="2500"/>
      <c r="AA79" s="2577"/>
      <c r="AG79" s="2653"/>
      <c r="AK79" s="2577"/>
    </row>
    <row r="80" spans="1:37" ht="24.75">
      <c r="A80" s="2663" t="s">
        <v>2742</v>
      </c>
      <c r="B80" s="2667"/>
      <c r="C80" s="823" t="s">
        <v>2744</v>
      </c>
      <c r="D80" s="823" t="s">
        <v>2745</v>
      </c>
      <c r="E80" s="824" t="s">
        <v>2746</v>
      </c>
      <c r="F80" s="2664" t="s">
        <v>2747</v>
      </c>
      <c r="G80" s="823" t="s">
        <v>2768</v>
      </c>
      <c r="H80" s="2665" t="s">
        <v>2769</v>
      </c>
      <c r="I80" s="823" t="s">
        <v>2770</v>
      </c>
      <c r="J80" s="587" t="s">
        <v>2402</v>
      </c>
      <c r="K80" s="587" t="s">
        <v>2403</v>
      </c>
      <c r="L80" s="587" t="s">
        <v>2404</v>
      </c>
      <c r="M80" s="587" t="s">
        <v>2405</v>
      </c>
      <c r="N80" s="587" t="s">
        <v>2406</v>
      </c>
      <c r="Z80" s="2500"/>
      <c r="AA80" s="2577"/>
      <c r="AG80" s="2653"/>
      <c r="AK80" s="2577"/>
    </row>
    <row r="81" spans="1:37" ht="38.25">
      <c r="A81" s="2663" t="s">
        <v>2777</v>
      </c>
      <c r="B81" s="2667" t="str">
        <f>估价对象房地状况!G15</f>
        <v>估价对象位于XX开发区，园区建设成熟度XX，产业集聚程度XX</v>
      </c>
      <c r="C81" s="2553"/>
      <c r="D81" s="1372">
        <f t="shared" ref="D81:D88" si="25">SUMIF($J$80:$N$80,C81,J81:N81)</f>
        <v>0</v>
      </c>
      <c r="E81" s="829">
        <f>ROUND(SUM(D81:D88),4)</f>
        <v>0</v>
      </c>
      <c r="F81" s="2269" t="str">
        <f>IF(E2="工业",SUMIF(L1:L12,G2,N1:N12),"——")</f>
        <v>——</v>
      </c>
      <c r="G81" s="1373"/>
      <c r="H81" s="1377" t="str">
        <f t="shared" ref="H81:H88" si="26">IFERROR(ROUNDDOWN($F$81*I81/2,4),"——")</f>
        <v>——</v>
      </c>
      <c r="I81" s="828">
        <v>0.26</v>
      </c>
      <c r="J81" s="1374">
        <f t="shared" ref="J81:J88" si="27">K81+$G81</f>
        <v>0</v>
      </c>
      <c r="K81" s="1374">
        <f t="shared" ref="K81:K88" si="28">$L81+$G81</f>
        <v>0</v>
      </c>
      <c r="L81" s="1374">
        <v>0</v>
      </c>
      <c r="M81" s="1374">
        <f t="shared" ref="M81:N88" si="29">L81-$G81</f>
        <v>0</v>
      </c>
      <c r="N81" s="1374">
        <f t="shared" si="29"/>
        <v>0</v>
      </c>
      <c r="Z81" s="2500"/>
      <c r="AA81" s="2577"/>
      <c r="AG81" s="2653"/>
      <c r="AK81" s="2577"/>
    </row>
    <row r="82" spans="1:37" ht="51">
      <c r="A82" s="2663" t="s">
        <v>2757</v>
      </c>
      <c r="B82" s="2667" t="str">
        <f>估价对象房地状况!G16</f>
        <v>估价对象周边道路状况、公共交通通达情况、停车便捷程度，综合评价交通便捷度较好</v>
      </c>
      <c r="C82" s="2553"/>
      <c r="D82" s="1372">
        <f t="shared" si="25"/>
        <v>0</v>
      </c>
      <c r="E82" s="840"/>
      <c r="F82" s="2676"/>
      <c r="G82" s="1373"/>
      <c r="H82" s="1377" t="str">
        <f t="shared" si="26"/>
        <v>——</v>
      </c>
      <c r="I82" s="828">
        <v>0.33</v>
      </c>
      <c r="J82" s="1374">
        <f t="shared" si="27"/>
        <v>0</v>
      </c>
      <c r="K82" s="1374">
        <f t="shared" si="28"/>
        <v>0</v>
      </c>
      <c r="L82" s="1374">
        <v>0</v>
      </c>
      <c r="M82" s="1374">
        <f t="shared" si="29"/>
        <v>0</v>
      </c>
      <c r="N82" s="1374">
        <f t="shared" si="29"/>
        <v>0</v>
      </c>
      <c r="Z82" s="2500"/>
      <c r="AA82" s="2577"/>
      <c r="AG82" s="2653"/>
      <c r="AK82" s="2577"/>
    </row>
    <row r="83" spans="1:37" ht="24">
      <c r="A83" s="2663" t="s">
        <v>2758</v>
      </c>
      <c r="B83" s="2667">
        <f>估价对象房地状况!G17</f>
        <v>0</v>
      </c>
      <c r="C83" s="2553"/>
      <c r="D83" s="1372">
        <f t="shared" si="25"/>
        <v>0</v>
      </c>
      <c r="E83" s="840"/>
      <c r="F83" s="2676"/>
      <c r="G83" s="1373"/>
      <c r="H83" s="1377" t="str">
        <f t="shared" si="26"/>
        <v>——</v>
      </c>
      <c r="I83" s="828">
        <v>0.05</v>
      </c>
      <c r="J83" s="1374">
        <f t="shared" si="27"/>
        <v>0</v>
      </c>
      <c r="K83" s="1374">
        <f t="shared" si="28"/>
        <v>0</v>
      </c>
      <c r="L83" s="1374">
        <v>0</v>
      </c>
      <c r="M83" s="1374">
        <f t="shared" si="29"/>
        <v>0</v>
      </c>
      <c r="N83" s="1374">
        <f t="shared" si="29"/>
        <v>0</v>
      </c>
      <c r="Z83" s="2500"/>
      <c r="AA83" s="2577"/>
      <c r="AG83" s="2653"/>
      <c r="AK83" s="2577"/>
    </row>
    <row r="84" spans="1:37" ht="14.25">
      <c r="A84" s="2663" t="s">
        <v>2774</v>
      </c>
      <c r="B84" s="2667">
        <f>估价对象房地状况!G22</f>
        <v>0</v>
      </c>
      <c r="C84" s="2553"/>
      <c r="D84" s="1372">
        <f t="shared" si="25"/>
        <v>0</v>
      </c>
      <c r="E84" s="840"/>
      <c r="F84" s="2676"/>
      <c r="G84" s="1373"/>
      <c r="H84" s="1377" t="str">
        <f t="shared" si="26"/>
        <v>——</v>
      </c>
      <c r="I84" s="828">
        <v>0.04</v>
      </c>
      <c r="J84" s="1374">
        <f t="shared" si="27"/>
        <v>0</v>
      </c>
      <c r="K84" s="1374">
        <f t="shared" si="28"/>
        <v>0</v>
      </c>
      <c r="L84" s="1374">
        <v>0</v>
      </c>
      <c r="M84" s="1374">
        <f t="shared" si="29"/>
        <v>0</v>
      </c>
      <c r="N84" s="1374">
        <f t="shared" si="29"/>
        <v>0</v>
      </c>
      <c r="Z84" s="2500"/>
      <c r="AA84" s="2577"/>
      <c r="AG84" s="2653"/>
      <c r="AK84" s="2577"/>
    </row>
    <row r="85" spans="1:37" ht="25.5">
      <c r="A85" s="2663" t="s">
        <v>2764</v>
      </c>
      <c r="B85" s="2671" t="str">
        <f>估价对象房地状况!G19</f>
        <v>估价对象所在区域公共配套设施齐备情况</v>
      </c>
      <c r="C85" s="2553"/>
      <c r="D85" s="1372">
        <f t="shared" si="25"/>
        <v>0</v>
      </c>
      <c r="E85" s="840"/>
      <c r="F85" s="2676"/>
      <c r="G85" s="1373"/>
      <c r="H85" s="1377" t="str">
        <f t="shared" si="26"/>
        <v>——</v>
      </c>
      <c r="I85" s="828">
        <v>0.06</v>
      </c>
      <c r="J85" s="1374">
        <f t="shared" si="27"/>
        <v>0</v>
      </c>
      <c r="K85" s="1374">
        <f t="shared" si="28"/>
        <v>0</v>
      </c>
      <c r="L85" s="1374">
        <v>0</v>
      </c>
      <c r="M85" s="1374">
        <f t="shared" si="29"/>
        <v>0</v>
      </c>
      <c r="N85" s="1374">
        <f t="shared" si="29"/>
        <v>0</v>
      </c>
      <c r="Z85" s="2500"/>
      <c r="AA85" s="2577"/>
      <c r="AG85" s="2653"/>
      <c r="AK85" s="2577"/>
    </row>
    <row r="86" spans="1:37" ht="25.5">
      <c r="A86" s="2663" t="s">
        <v>2765</v>
      </c>
      <c r="B86" s="2671" t="str">
        <f>估价对象房地状况!G20</f>
        <v>估价对象所在区域基础设施水平</v>
      </c>
      <c r="C86" s="2553"/>
      <c r="D86" s="1372">
        <f t="shared" si="25"/>
        <v>0</v>
      </c>
      <c r="E86" s="840"/>
      <c r="F86" s="2676"/>
      <c r="G86" s="1373"/>
      <c r="H86" s="1377" t="str">
        <f t="shared" si="26"/>
        <v>——</v>
      </c>
      <c r="I86" s="828">
        <v>0.15</v>
      </c>
      <c r="J86" s="1374">
        <f t="shared" si="27"/>
        <v>0</v>
      </c>
      <c r="K86" s="1374">
        <f t="shared" si="28"/>
        <v>0</v>
      </c>
      <c r="L86" s="1374">
        <v>0</v>
      </c>
      <c r="M86" s="1374">
        <f t="shared" si="29"/>
        <v>0</v>
      </c>
      <c r="N86" s="1374">
        <f t="shared" si="29"/>
        <v>0</v>
      </c>
      <c r="Z86" s="2500"/>
      <c r="AA86" s="2577"/>
      <c r="AG86" s="2653"/>
      <c r="AK86" s="2577"/>
    </row>
    <row r="87" spans="1:37" ht="24">
      <c r="A87" s="2663" t="s">
        <v>2762</v>
      </c>
      <c r="B87" s="2669" t="s">
        <v>2763</v>
      </c>
      <c r="C87" s="2553"/>
      <c r="D87" s="1372">
        <f t="shared" si="25"/>
        <v>0</v>
      </c>
      <c r="E87" s="840"/>
      <c r="F87" s="2676"/>
      <c r="G87" s="1373"/>
      <c r="H87" s="1377" t="str">
        <f t="shared" si="26"/>
        <v>——</v>
      </c>
      <c r="I87" s="828">
        <v>0.05</v>
      </c>
      <c r="J87" s="1374">
        <f t="shared" si="27"/>
        <v>0</v>
      </c>
      <c r="K87" s="1374">
        <f t="shared" si="28"/>
        <v>0</v>
      </c>
      <c r="L87" s="1374">
        <v>0</v>
      </c>
      <c r="M87" s="1374">
        <f t="shared" si="29"/>
        <v>0</v>
      </c>
      <c r="N87" s="1374">
        <f t="shared" si="29"/>
        <v>0</v>
      </c>
      <c r="Z87" s="2500"/>
      <c r="AA87" s="2577"/>
      <c r="AG87" s="2653"/>
      <c r="AK87" s="2577"/>
    </row>
    <row r="88" spans="1:37" ht="39" thickBot="1">
      <c r="A88" s="2672" t="s">
        <v>2778</v>
      </c>
      <c r="B88" s="2678" t="str">
        <f>估价对象房地状况!G18</f>
        <v>该园区内是否有污染型企业，绿化情况，卫生条件，整体环境状况判断</v>
      </c>
      <c r="C88" s="2679"/>
      <c r="D88" s="1378">
        <f t="shared" si="25"/>
        <v>0</v>
      </c>
      <c r="E88" s="841"/>
      <c r="F88" s="2676"/>
      <c r="G88" s="1373"/>
      <c r="H88" s="1377" t="str">
        <f t="shared" si="26"/>
        <v>——</v>
      </c>
      <c r="I88" s="837">
        <v>0.06</v>
      </c>
      <c r="J88" s="1374">
        <f t="shared" si="27"/>
        <v>0</v>
      </c>
      <c r="K88" s="1374">
        <f t="shared" si="28"/>
        <v>0</v>
      </c>
      <c r="L88" s="1374">
        <v>0</v>
      </c>
      <c r="M88" s="1374">
        <f t="shared" si="29"/>
        <v>0</v>
      </c>
      <c r="N88" s="1374">
        <f t="shared" si="29"/>
        <v>0</v>
      </c>
      <c r="Z88" s="2500"/>
      <c r="AA88" s="2577"/>
      <c r="AG88" s="2653"/>
      <c r="AK88" s="2577"/>
    </row>
    <row r="90" spans="1:37">
      <c r="A90" s="3064" t="s">
        <v>2779</v>
      </c>
      <c r="B90" s="3064"/>
      <c r="C90" s="3064"/>
      <c r="D90" s="3064"/>
      <c r="E90" s="3064"/>
      <c r="F90" s="3064"/>
      <c r="G90" s="3064"/>
      <c r="H90" s="3064"/>
      <c r="I90" s="3064"/>
      <c r="J90" s="3064"/>
      <c r="K90" s="2680"/>
      <c r="L90" s="2680"/>
      <c r="M90" s="2680"/>
      <c r="N90" s="2680"/>
    </row>
    <row r="91" spans="1:37">
      <c r="A91" s="3066" t="s">
        <v>2780</v>
      </c>
      <c r="B91" s="3066" t="s">
        <v>2781</v>
      </c>
      <c r="C91" s="2628" t="s">
        <v>2782</v>
      </c>
      <c r="D91" s="2629"/>
      <c r="E91" s="2629"/>
      <c r="F91" s="2629"/>
      <c r="G91" s="2629"/>
      <c r="H91" s="2629"/>
      <c r="I91" s="2629"/>
      <c r="J91" s="2681"/>
      <c r="K91" s="2682"/>
      <c r="L91" s="2682"/>
      <c r="M91" s="2682"/>
      <c r="N91" s="2682"/>
    </row>
    <row r="92" spans="1:37">
      <c r="A92" s="3066"/>
      <c r="B92" s="3066"/>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67" t="s">
        <v>2783</v>
      </c>
      <c r="B93" s="2683">
        <v>1</v>
      </c>
      <c r="C93" s="2684">
        <v>1.9361999999999999</v>
      </c>
      <c r="D93" s="2684">
        <v>1.9361999999999999</v>
      </c>
      <c r="E93" s="2684">
        <v>1.8629</v>
      </c>
      <c r="F93" s="2684">
        <v>1.8629</v>
      </c>
      <c r="G93" s="2684">
        <v>1.8629</v>
      </c>
      <c r="H93" s="2684">
        <v>1.8629</v>
      </c>
      <c r="I93" s="2684">
        <v>1.8629</v>
      </c>
      <c r="J93" s="2684">
        <v>1.9419999999999999</v>
      </c>
      <c r="K93" s="2684">
        <v>1.9419999999999999</v>
      </c>
      <c r="L93" s="2684">
        <v>1.9419999999999999</v>
      </c>
      <c r="M93" s="2684">
        <v>1.9419999999999999</v>
      </c>
      <c r="N93" s="2684">
        <v>1.9419999999999999</v>
      </c>
    </row>
    <row r="94" spans="1:37">
      <c r="A94" s="3068"/>
      <c r="B94" s="2683">
        <v>2</v>
      </c>
      <c r="C94" s="2684">
        <v>1.4198</v>
      </c>
      <c r="D94" s="2684">
        <v>1.4198</v>
      </c>
      <c r="E94" s="2684">
        <v>1.3371999999999999</v>
      </c>
      <c r="F94" s="2684">
        <v>1.3371999999999999</v>
      </c>
      <c r="G94" s="2684">
        <v>1.3371999999999999</v>
      </c>
      <c r="H94" s="2684">
        <v>1.3371999999999999</v>
      </c>
      <c r="I94" s="2684">
        <v>1.3371999999999999</v>
      </c>
      <c r="J94" s="2684">
        <v>1.2799</v>
      </c>
      <c r="K94" s="2684">
        <v>1.2799</v>
      </c>
      <c r="L94" s="2684">
        <v>1.2799</v>
      </c>
      <c r="M94" s="2684">
        <v>1.2799</v>
      </c>
      <c r="N94" s="2684">
        <v>1.2799</v>
      </c>
    </row>
    <row r="95" spans="1:37">
      <c r="A95" s="3068"/>
      <c r="B95" s="2683">
        <v>3</v>
      </c>
      <c r="C95" s="2684">
        <v>1.1594</v>
      </c>
      <c r="D95" s="2684">
        <v>1.1594</v>
      </c>
      <c r="E95" s="2684">
        <v>1.0788</v>
      </c>
      <c r="F95" s="2684">
        <v>1.0788</v>
      </c>
      <c r="G95" s="2684">
        <v>1.0788</v>
      </c>
      <c r="H95" s="2684">
        <v>1.0788</v>
      </c>
      <c r="I95" s="2684">
        <v>1.0788</v>
      </c>
      <c r="J95" s="2684">
        <v>1.0072000000000001</v>
      </c>
      <c r="K95" s="2684">
        <v>1.0072000000000001</v>
      </c>
      <c r="L95" s="2684">
        <v>1.0072000000000001</v>
      </c>
      <c r="M95" s="2684">
        <v>1.0072000000000001</v>
      </c>
      <c r="N95" s="2684">
        <v>1.0072000000000001</v>
      </c>
    </row>
    <row r="96" spans="1:37">
      <c r="A96" s="3068"/>
      <c r="B96" s="2683">
        <v>4</v>
      </c>
      <c r="C96" s="2684">
        <v>0.96220000000000006</v>
      </c>
      <c r="D96" s="2684">
        <v>0.96220000000000006</v>
      </c>
      <c r="E96" s="2684">
        <v>0.86560000000000004</v>
      </c>
      <c r="F96" s="2684">
        <v>0.86560000000000004</v>
      </c>
      <c r="G96" s="2684">
        <v>0.86560000000000004</v>
      </c>
      <c r="H96" s="2684">
        <v>0.86560000000000004</v>
      </c>
      <c r="I96" s="2684">
        <v>0.86560000000000004</v>
      </c>
      <c r="J96" s="2684">
        <v>0.75249999999999995</v>
      </c>
      <c r="K96" s="2684">
        <v>0.75249999999999995</v>
      </c>
      <c r="L96" s="2684">
        <v>0.75249999999999995</v>
      </c>
      <c r="M96" s="2684">
        <v>0.75249999999999995</v>
      </c>
      <c r="N96" s="2684">
        <v>0.75249999999999995</v>
      </c>
    </row>
    <row r="97" spans="1:14">
      <c r="A97" s="3068"/>
      <c r="B97" s="2683">
        <v>5</v>
      </c>
      <c r="C97" s="2684">
        <v>0.8417</v>
      </c>
      <c r="D97" s="2684">
        <v>0.8417</v>
      </c>
      <c r="E97" s="2684">
        <v>0.73709999999999998</v>
      </c>
      <c r="F97" s="2684">
        <v>0.73709999999999998</v>
      </c>
      <c r="G97" s="2684">
        <v>0.73709999999999998</v>
      </c>
      <c r="H97" s="2684">
        <v>0.73709999999999998</v>
      </c>
      <c r="I97" s="2684">
        <v>0.73709999999999998</v>
      </c>
      <c r="J97" s="2684">
        <v>0.56589999999999996</v>
      </c>
      <c r="K97" s="2684">
        <v>0.56589999999999996</v>
      </c>
      <c r="L97" s="2684">
        <v>0.56589999999999996</v>
      </c>
      <c r="M97" s="2684">
        <v>0.56589999999999996</v>
      </c>
      <c r="N97" s="2684">
        <v>0.56589999999999996</v>
      </c>
    </row>
    <row r="98" spans="1:14">
      <c r="A98" s="3068"/>
      <c r="B98" s="2683">
        <v>6</v>
      </c>
      <c r="C98" s="2684">
        <v>0.76080000000000003</v>
      </c>
      <c r="D98" s="2684">
        <v>0.76080000000000003</v>
      </c>
      <c r="E98" s="2684">
        <v>0.6482</v>
      </c>
      <c r="F98" s="2684">
        <v>0.6482</v>
      </c>
      <c r="G98" s="2684">
        <v>0.6482</v>
      </c>
      <c r="H98" s="2684">
        <v>0.6482</v>
      </c>
      <c r="I98" s="2684">
        <v>0.6482</v>
      </c>
      <c r="J98" s="2684">
        <v>0.45250000000000001</v>
      </c>
      <c r="K98" s="2684">
        <v>0.45250000000000001</v>
      </c>
      <c r="L98" s="2684">
        <v>0.45250000000000001</v>
      </c>
      <c r="M98" s="2684">
        <v>0.45250000000000001</v>
      </c>
      <c r="N98" s="2684">
        <v>0.45250000000000001</v>
      </c>
    </row>
    <row r="99" spans="1:14">
      <c r="A99" s="3068"/>
      <c r="B99" s="2683" t="s">
        <v>2649</v>
      </c>
      <c r="C99" s="2685">
        <f>$I$3</f>
        <v>7</v>
      </c>
      <c r="D99" s="2685">
        <f t="shared" ref="D99:M99" si="30">$I$3</f>
        <v>7</v>
      </c>
      <c r="E99" s="2685">
        <f t="shared" si="30"/>
        <v>7</v>
      </c>
      <c r="F99" s="2685">
        <f t="shared" si="30"/>
        <v>7</v>
      </c>
      <c r="G99" s="2685">
        <f t="shared" si="30"/>
        <v>7</v>
      </c>
      <c r="H99" s="2685">
        <f t="shared" si="30"/>
        <v>7</v>
      </c>
      <c r="I99" s="2685">
        <f t="shared" si="30"/>
        <v>7</v>
      </c>
      <c r="J99" s="2685">
        <f t="shared" si="30"/>
        <v>7</v>
      </c>
      <c r="K99" s="2685">
        <f t="shared" si="30"/>
        <v>7</v>
      </c>
      <c r="L99" s="2685">
        <f t="shared" si="30"/>
        <v>7</v>
      </c>
      <c r="M99" s="2685">
        <f t="shared" si="30"/>
        <v>7</v>
      </c>
      <c r="N99" s="2685">
        <f>$I$3</f>
        <v>7</v>
      </c>
    </row>
    <row r="100" spans="1:14">
      <c r="A100" s="3069"/>
      <c r="B100" s="2683">
        <v>7</v>
      </c>
      <c r="C100" s="2686">
        <f>(-0.163*(C99^2)-0.59*C99+7617)*(10^(-4))</f>
        <v>0.76048830000000001</v>
      </c>
      <c r="D100" s="2686">
        <f>(-0.163*(D99^2)-0.59*D99+7617)*(10^(-4))</f>
        <v>0.76048830000000001</v>
      </c>
      <c r="E100" s="2686">
        <f>(-0.161*(E99^2)-7.509*E99+6533)*(10^(-4))</f>
        <v>0.64725480000000002</v>
      </c>
      <c r="F100" s="2686">
        <f>(-0.161*(F99^2)-7.509*F99+6533)*(10^(-4))</f>
        <v>0.64725480000000002</v>
      </c>
      <c r="G100" s="2686">
        <f>(-0.161*(G99^2)-7.509*G99+6533)*(10^(-4))</f>
        <v>0.64725480000000002</v>
      </c>
      <c r="H100" s="2686">
        <f>(-0.161*(H99^2)-7.509*H99+6533)*(10^(-4))</f>
        <v>0.64725480000000002</v>
      </c>
      <c r="I100" s="2686">
        <f>(-0.161*(I99^2)-7.509*I99+6533)*(10^(-4))</f>
        <v>0.64725480000000002</v>
      </c>
      <c r="J100" s="2686">
        <f>(-0.214*(J99^2)-21.991*J99+4665)*(10^(-4))</f>
        <v>0.45005770000000006</v>
      </c>
      <c r="K100" s="2686">
        <f>(-0.214*(K99^2)-21.991*K99+4665)*(10^(-4))</f>
        <v>0.45005770000000006</v>
      </c>
      <c r="L100" s="2686">
        <f>(-0.214*(L99^2)-21.991*L99+4665)*(10^(-4))</f>
        <v>0.45005770000000006</v>
      </c>
      <c r="M100" s="2686">
        <f>(-0.214*(M99^2)-21.991*M99+4665)*(10^(-4))</f>
        <v>0.45005770000000006</v>
      </c>
      <c r="N100" s="2686">
        <f>(-0.214*(N99^2)-21.991*N99+4665)*(10^(-4))</f>
        <v>0.45005770000000006</v>
      </c>
    </row>
    <row r="101" spans="1:14">
      <c r="A101" s="3067" t="s">
        <v>2784</v>
      </c>
      <c r="B101" s="2687" t="s">
        <v>2785</v>
      </c>
      <c r="C101" s="2688">
        <f>$G$3</f>
        <v>0</v>
      </c>
      <c r="D101" s="2688">
        <f t="shared" ref="D101:N101" si="31">$G$3</f>
        <v>0</v>
      </c>
      <c r="E101" s="2688">
        <f t="shared" si="31"/>
        <v>0</v>
      </c>
      <c r="F101" s="2688">
        <f t="shared" si="31"/>
        <v>0</v>
      </c>
      <c r="G101" s="2688">
        <f t="shared" si="31"/>
        <v>0</v>
      </c>
      <c r="H101" s="2688">
        <f t="shared" si="31"/>
        <v>0</v>
      </c>
      <c r="I101" s="2688">
        <f t="shared" si="31"/>
        <v>0</v>
      </c>
      <c r="J101" s="2688">
        <f t="shared" si="31"/>
        <v>0</v>
      </c>
      <c r="K101" s="2688">
        <f t="shared" si="31"/>
        <v>0</v>
      </c>
      <c r="L101" s="2688">
        <f t="shared" si="31"/>
        <v>0</v>
      </c>
      <c r="M101" s="2688">
        <f t="shared" si="31"/>
        <v>0</v>
      </c>
      <c r="N101" s="2688">
        <f t="shared" si="31"/>
        <v>0</v>
      </c>
    </row>
    <row r="102" spans="1:14">
      <c r="A102" s="3068"/>
      <c r="B102" s="2683">
        <v>1</v>
      </c>
      <c r="C102" s="2684" t="e">
        <f>1.9362/C101</f>
        <v>#DIV/0!</v>
      </c>
      <c r="D102" s="2684" t="e">
        <f>1.9362/D101</f>
        <v>#DIV/0!</v>
      </c>
      <c r="E102" s="2684" t="e">
        <f>1.8629/E101</f>
        <v>#DIV/0!</v>
      </c>
      <c r="F102" s="2684" t="e">
        <f>1.8629/F101</f>
        <v>#DIV/0!</v>
      </c>
      <c r="G102" s="2684" t="e">
        <f>1.8629/G101</f>
        <v>#DIV/0!</v>
      </c>
      <c r="H102" s="2684" t="e">
        <f>1.8629/H101</f>
        <v>#DIV/0!</v>
      </c>
      <c r="I102" s="2684" t="e">
        <f>1.8629/I101</f>
        <v>#DIV/0!</v>
      </c>
      <c r="J102" s="2684" t="e">
        <f>1.942/J101</f>
        <v>#DIV/0!</v>
      </c>
      <c r="K102" s="2684" t="e">
        <f>1.942/K101</f>
        <v>#DIV/0!</v>
      </c>
      <c r="L102" s="2684" t="e">
        <f>1.942/L101</f>
        <v>#DIV/0!</v>
      </c>
      <c r="M102" s="2684" t="e">
        <f>1.942/M101</f>
        <v>#DIV/0!</v>
      </c>
      <c r="N102" s="2684" t="e">
        <f>1.942/N101</f>
        <v>#DIV/0!</v>
      </c>
    </row>
    <row r="103" spans="1:14">
      <c r="A103" s="3068"/>
      <c r="B103" s="2683">
        <v>2</v>
      </c>
      <c r="C103" s="2684" t="e">
        <f>1.4198/C101</f>
        <v>#DIV/0!</v>
      </c>
      <c r="D103" s="2684" t="e">
        <f>1.4198/D101</f>
        <v>#DIV/0!</v>
      </c>
      <c r="E103" s="2684" t="e">
        <f>1.3372/E101</f>
        <v>#DIV/0!</v>
      </c>
      <c r="F103" s="2684" t="e">
        <f>1.3372/F101</f>
        <v>#DIV/0!</v>
      </c>
      <c r="G103" s="2684" t="e">
        <f>1.3372/G101</f>
        <v>#DIV/0!</v>
      </c>
      <c r="H103" s="2684" t="e">
        <f>1.3372/H101</f>
        <v>#DIV/0!</v>
      </c>
      <c r="I103" s="2684" t="e">
        <f>1.3372/I101</f>
        <v>#DIV/0!</v>
      </c>
      <c r="J103" s="2684" t="e">
        <f>1.2799/J101</f>
        <v>#DIV/0!</v>
      </c>
      <c r="K103" s="2684" t="e">
        <f>1.2799/K101</f>
        <v>#DIV/0!</v>
      </c>
      <c r="L103" s="2684" t="e">
        <f>1.2799/L101</f>
        <v>#DIV/0!</v>
      </c>
      <c r="M103" s="2684" t="e">
        <f>1.2799/M101</f>
        <v>#DIV/0!</v>
      </c>
      <c r="N103" s="2684" t="e">
        <f>1.2799/N101</f>
        <v>#DIV/0!</v>
      </c>
    </row>
    <row r="104" spans="1:14">
      <c r="A104" s="3068"/>
      <c r="B104" s="2683">
        <v>3</v>
      </c>
      <c r="C104" s="2684" t="e">
        <f>1.1594/C101</f>
        <v>#DIV/0!</v>
      </c>
      <c r="D104" s="2684" t="e">
        <f>1.1594/D101</f>
        <v>#DIV/0!</v>
      </c>
      <c r="E104" s="2684" t="e">
        <f>1.0788/E101</f>
        <v>#DIV/0!</v>
      </c>
      <c r="F104" s="2684" t="e">
        <f>1.0788/F101</f>
        <v>#DIV/0!</v>
      </c>
      <c r="G104" s="2684" t="e">
        <f>1.0788/G101</f>
        <v>#DIV/0!</v>
      </c>
      <c r="H104" s="2684" t="e">
        <f>1.0788/H101</f>
        <v>#DIV/0!</v>
      </c>
      <c r="I104" s="2684" t="e">
        <f>1.0788/I101</f>
        <v>#DIV/0!</v>
      </c>
      <c r="J104" s="2684" t="e">
        <f>1.0072/J101</f>
        <v>#DIV/0!</v>
      </c>
      <c r="K104" s="2684" t="e">
        <f>1.0072/K101</f>
        <v>#DIV/0!</v>
      </c>
      <c r="L104" s="2684" t="e">
        <f>1.0072/L101</f>
        <v>#DIV/0!</v>
      </c>
      <c r="M104" s="2684" t="e">
        <f>1.0072/M101</f>
        <v>#DIV/0!</v>
      </c>
      <c r="N104" s="2684" t="e">
        <f>1.0072/N101</f>
        <v>#DIV/0!</v>
      </c>
    </row>
    <row r="105" spans="1:14">
      <c r="A105" s="3068"/>
      <c r="B105" s="2683">
        <v>4</v>
      </c>
      <c r="C105" s="2684" t="e">
        <f>0.9622/C101</f>
        <v>#DIV/0!</v>
      </c>
      <c r="D105" s="2684" t="e">
        <f>0.9622/D101</f>
        <v>#DIV/0!</v>
      </c>
      <c r="E105" s="2684" t="e">
        <f>0.8656/E101</f>
        <v>#DIV/0!</v>
      </c>
      <c r="F105" s="2684" t="e">
        <f>0.8656/F101</f>
        <v>#DIV/0!</v>
      </c>
      <c r="G105" s="2684" t="e">
        <f>0.8656/G101</f>
        <v>#DIV/0!</v>
      </c>
      <c r="H105" s="2684" t="e">
        <f>0.8656/H101</f>
        <v>#DIV/0!</v>
      </c>
      <c r="I105" s="2684" t="e">
        <f>0.8656/I101</f>
        <v>#DIV/0!</v>
      </c>
      <c r="J105" s="2684" t="e">
        <f>0.7525/J101</f>
        <v>#DIV/0!</v>
      </c>
      <c r="K105" s="2684" t="e">
        <f>0.7525/K101</f>
        <v>#DIV/0!</v>
      </c>
      <c r="L105" s="2684" t="e">
        <f>0.7525/L101</f>
        <v>#DIV/0!</v>
      </c>
      <c r="M105" s="2684" t="e">
        <f>0.7525/M101</f>
        <v>#DIV/0!</v>
      </c>
      <c r="N105" s="2684" t="e">
        <f>0.7525/N101</f>
        <v>#DIV/0!</v>
      </c>
    </row>
    <row r="106" spans="1:14">
      <c r="A106" s="3068"/>
      <c r="B106" s="2683">
        <v>5</v>
      </c>
      <c r="C106" s="2684" t="e">
        <f>0.8417/C101</f>
        <v>#DIV/0!</v>
      </c>
      <c r="D106" s="2684" t="e">
        <f>0.8417/D101</f>
        <v>#DIV/0!</v>
      </c>
      <c r="E106" s="2684" t="e">
        <f>0.7371/E101</f>
        <v>#DIV/0!</v>
      </c>
      <c r="F106" s="2684" t="e">
        <f>0.7371/F101</f>
        <v>#DIV/0!</v>
      </c>
      <c r="G106" s="2684" t="e">
        <f>0.7371/G101</f>
        <v>#DIV/0!</v>
      </c>
      <c r="H106" s="2684" t="e">
        <f>0.7371/H101</f>
        <v>#DIV/0!</v>
      </c>
      <c r="I106" s="2684" t="e">
        <f>0.7371/I101</f>
        <v>#DIV/0!</v>
      </c>
      <c r="J106" s="2684" t="e">
        <f>0.5659/J101</f>
        <v>#DIV/0!</v>
      </c>
      <c r="K106" s="2684" t="e">
        <f>0.5659/K101</f>
        <v>#DIV/0!</v>
      </c>
      <c r="L106" s="2684" t="e">
        <f>0.5659/L101</f>
        <v>#DIV/0!</v>
      </c>
      <c r="M106" s="2684" t="e">
        <f>0.5659/M101</f>
        <v>#DIV/0!</v>
      </c>
      <c r="N106" s="2684" t="e">
        <f>0.5659/N101</f>
        <v>#DIV/0!</v>
      </c>
    </row>
    <row r="107" spans="1:14">
      <c r="A107" s="3068"/>
      <c r="B107" s="2683">
        <v>6</v>
      </c>
      <c r="C107" s="2684" t="e">
        <f>0.7608/C101</f>
        <v>#DIV/0!</v>
      </c>
      <c r="D107" s="2684" t="e">
        <f>0.7608/D101</f>
        <v>#DIV/0!</v>
      </c>
      <c r="E107" s="2684" t="e">
        <f>0.6482/E101</f>
        <v>#DIV/0!</v>
      </c>
      <c r="F107" s="2684" t="e">
        <f>0.6482/F101</f>
        <v>#DIV/0!</v>
      </c>
      <c r="G107" s="2684" t="e">
        <f>0.6482/G101</f>
        <v>#DIV/0!</v>
      </c>
      <c r="H107" s="2684" t="e">
        <f>0.6482/H101</f>
        <v>#DIV/0!</v>
      </c>
      <c r="I107" s="2684" t="e">
        <f>0.6482/I101</f>
        <v>#DIV/0!</v>
      </c>
      <c r="J107" s="2684" t="e">
        <f>0.4525/J101</f>
        <v>#DIV/0!</v>
      </c>
      <c r="K107" s="2684" t="e">
        <f>0.4525/K101</f>
        <v>#DIV/0!</v>
      </c>
      <c r="L107" s="2684" t="e">
        <f>0.4525/L101</f>
        <v>#DIV/0!</v>
      </c>
      <c r="M107" s="2684" t="e">
        <f>0.4525/M101</f>
        <v>#DIV/0!</v>
      </c>
      <c r="N107" s="2684" t="e">
        <f>0.4525/N101</f>
        <v>#DIV/0!</v>
      </c>
    </row>
    <row r="108" spans="1:14">
      <c r="A108" s="3068"/>
      <c r="B108" s="3070" t="s">
        <v>2786</v>
      </c>
      <c r="C108" s="2685">
        <f>C99</f>
        <v>7</v>
      </c>
      <c r="D108" s="2685">
        <f t="shared" ref="D108:N108" si="32">D99</f>
        <v>7</v>
      </c>
      <c r="E108" s="2685">
        <f t="shared" si="32"/>
        <v>7</v>
      </c>
      <c r="F108" s="2685">
        <f t="shared" si="32"/>
        <v>7</v>
      </c>
      <c r="G108" s="2685">
        <f t="shared" si="32"/>
        <v>7</v>
      </c>
      <c r="H108" s="2685">
        <f t="shared" si="32"/>
        <v>7</v>
      </c>
      <c r="I108" s="2685">
        <f t="shared" si="32"/>
        <v>7</v>
      </c>
      <c r="J108" s="2685">
        <f t="shared" si="32"/>
        <v>7</v>
      </c>
      <c r="K108" s="2685">
        <f t="shared" si="32"/>
        <v>7</v>
      </c>
      <c r="L108" s="2685">
        <f t="shared" si="32"/>
        <v>7</v>
      </c>
      <c r="M108" s="2685">
        <f t="shared" si="32"/>
        <v>7</v>
      </c>
      <c r="N108" s="2685">
        <f t="shared" si="32"/>
        <v>7</v>
      </c>
    </row>
    <row r="109" spans="1:14">
      <c r="A109" s="3069"/>
      <c r="B109" s="3071"/>
      <c r="C109" s="2686" t="e">
        <f>(-0.163*(C108^2)-0.59*C108+7617)*(10^(-4))/C101</f>
        <v>#DIV/0!</v>
      </c>
      <c r="D109" s="2686" t="e">
        <f>(-0.163*(D108^2)-0.59*D108+7617)*(10^(-4))/D101</f>
        <v>#DIV/0!</v>
      </c>
      <c r="E109" s="2686" t="e">
        <f>(-0.161*(E108^2)-7.509*E108+6533)*(10^(-4))/E101</f>
        <v>#DIV/0!</v>
      </c>
      <c r="F109" s="2686" t="e">
        <f>(-0.161*(F108^2)-7.509*F108+6533)*(10^(-4))/F101</f>
        <v>#DIV/0!</v>
      </c>
      <c r="G109" s="2686" t="e">
        <f>(-0.161*(G108^2)-7.509*G108+6533)*(10^(-4))/G101</f>
        <v>#DIV/0!</v>
      </c>
      <c r="H109" s="2686" t="e">
        <f>(-0.161*(H108^2)-7.509*H108+6533)*(10^(-4))/H101</f>
        <v>#DIV/0!</v>
      </c>
      <c r="I109" s="2686" t="e">
        <f>(-0.161*(I108^2)-7.509*I108+6533)*(10^(-4))/I101</f>
        <v>#DIV/0!</v>
      </c>
      <c r="J109" s="2686" t="e">
        <f>(-0.214*(J108^2)-21.991*J108+4665)*(10^(-4))/J101</f>
        <v>#DIV/0!</v>
      </c>
      <c r="K109" s="2686" t="e">
        <f>(-0.214*(K108^2)-21.991*K108+4665)*(10^(-4))/K101</f>
        <v>#DIV/0!</v>
      </c>
      <c r="L109" s="2686" t="e">
        <f>(-0.214*(L108^2)-21.991*L108+4665)*(10^(-4))/L101</f>
        <v>#DIV/0!</v>
      </c>
      <c r="M109" s="2686" t="e">
        <f>(-0.214*(M108^2)-21.991*M108+4665)*(10^(-4))/M101</f>
        <v>#DIV/0!</v>
      </c>
      <c r="N109" s="2686" t="e">
        <f>(-0.214*(N108^2)-21.991*N108+4665)*(10^(-4))/N101</f>
        <v>#DIV/0!</v>
      </c>
    </row>
    <row r="110" spans="1:14">
      <c r="A110" s="3065" t="s">
        <v>2787</v>
      </c>
      <c r="B110" s="3065"/>
      <c r="C110" s="3065"/>
      <c r="D110" s="3065"/>
      <c r="E110" s="3065"/>
      <c r="F110" s="3065"/>
      <c r="G110" s="3065"/>
      <c r="H110" s="3065"/>
      <c r="I110" s="3065"/>
      <c r="J110" s="3065"/>
      <c r="K110" s="2689"/>
      <c r="L110" s="2689"/>
      <c r="M110" s="2689"/>
      <c r="N110" s="2689"/>
    </row>
    <row r="112" spans="1:14" ht="13.5" thickBot="1"/>
    <row r="113" spans="1:13" ht="25.5" thickBot="1">
      <c r="A113" s="928" t="s">
        <v>2788</v>
      </c>
      <c r="B113" s="1375">
        <f>G3</f>
        <v>0</v>
      </c>
      <c r="C113" s="929" t="s">
        <v>2789</v>
      </c>
      <c r="D113" s="930">
        <f>SUMPRODUCT((A115:A118=F113)*(B114:M114=H113)*B115:M118)</f>
        <v>0.85670000000000002</v>
      </c>
      <c r="E113" s="2691" t="s">
        <v>2673</v>
      </c>
      <c r="F113" s="2692" t="str">
        <f>E2</f>
        <v>办公</v>
      </c>
      <c r="G113" s="2691" t="s">
        <v>2607</v>
      </c>
      <c r="H113" s="2692" t="str">
        <f>G2</f>
        <v>七级</v>
      </c>
      <c r="I113" s="2691"/>
      <c r="J113" s="2693"/>
      <c r="K113" s="2693"/>
      <c r="L113" s="2693"/>
      <c r="M113" s="2693"/>
    </row>
    <row r="114" spans="1:13">
      <c r="A114" s="933"/>
      <c r="B114" s="2694" t="s">
        <v>2790</v>
      </c>
      <c r="C114" s="2694" t="s">
        <v>2791</v>
      </c>
      <c r="D114" s="2694" t="s">
        <v>2792</v>
      </c>
      <c r="E114" s="2695" t="s">
        <v>2793</v>
      </c>
      <c r="F114" s="2695" t="s">
        <v>2794</v>
      </c>
      <c r="G114" s="2695" t="s">
        <v>2795</v>
      </c>
      <c r="H114" s="2696" t="s">
        <v>2796</v>
      </c>
      <c r="I114" s="2696" t="s">
        <v>2797</v>
      </c>
      <c r="J114" s="2697" t="s">
        <v>2798</v>
      </c>
      <c r="K114" s="2697" t="s">
        <v>2799</v>
      </c>
      <c r="L114" s="2697" t="s">
        <v>2800</v>
      </c>
      <c r="M114" s="2698" t="s">
        <v>2801</v>
      </c>
    </row>
    <row r="115" spans="1:13">
      <c r="A115" s="934" t="s">
        <v>2674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4" t="s">
        <v>787</v>
      </c>
      <c r="B1" s="3084"/>
    </row>
    <row r="2" spans="1:6" ht="14.25" thickBot="1">
      <c r="A2" s="1091"/>
      <c r="B2" s="1091"/>
    </row>
    <row r="3" spans="1:6" ht="14.25" thickBot="1">
      <c r="A3" s="1091"/>
      <c r="B3" s="1091"/>
      <c r="C3" s="1094" t="s">
        <v>788</v>
      </c>
      <c r="D3" s="1094" t="s">
        <v>789</v>
      </c>
      <c r="E3" s="1094" t="s">
        <v>790</v>
      </c>
      <c r="F3" s="1094" t="s">
        <v>791</v>
      </c>
    </row>
    <row r="4" spans="1:6" ht="14.25" thickBot="1">
      <c r="A4" s="1095" t="s">
        <v>792</v>
      </c>
      <c r="B4" s="1096" t="s">
        <v>793</v>
      </c>
      <c r="C4" s="1094"/>
      <c r="D4" s="1094"/>
      <c r="E4" s="1094"/>
      <c r="F4" s="1094"/>
    </row>
    <row r="5" spans="1:6" ht="14.25" thickBot="1">
      <c r="A5" s="856" t="s">
        <v>794</v>
      </c>
      <c r="B5" s="857" t="s">
        <v>795</v>
      </c>
      <c r="C5" s="1097">
        <v>8.8999999999999996E-2</v>
      </c>
      <c r="D5" s="1097">
        <v>7.3999999999999996E-2</v>
      </c>
      <c r="E5" s="1097">
        <v>7.4999999999999997E-2</v>
      </c>
      <c r="F5" s="1098">
        <v>0.1</v>
      </c>
    </row>
    <row r="6" spans="1:6" ht="14.25" thickBot="1">
      <c r="A6" s="856" t="s">
        <v>161</v>
      </c>
      <c r="B6" s="850" t="s">
        <v>796</v>
      </c>
      <c r="C6" s="1099">
        <v>0.1</v>
      </c>
      <c r="D6" s="1099">
        <v>9.0999999999999998E-2</v>
      </c>
      <c r="E6" s="1099">
        <v>9.0999999999999998E-2</v>
      </c>
      <c r="F6" s="1100">
        <v>0.1</v>
      </c>
    </row>
    <row r="7" spans="1:6" ht="14.25" thickBot="1">
      <c r="A7" s="856" t="s">
        <v>161</v>
      </c>
      <c r="B7" s="864" t="s">
        <v>150</v>
      </c>
      <c r="C7" s="1099">
        <v>8.5999999999999993E-2</v>
      </c>
      <c r="D7" s="1099">
        <v>9.6000000000000002E-2</v>
      </c>
      <c r="E7" s="1099">
        <v>7.5999999999999998E-2</v>
      </c>
      <c r="F7" s="1100">
        <v>0.1</v>
      </c>
    </row>
    <row r="8" spans="1:6" ht="14.25" thickBot="1">
      <c r="A8" s="856" t="s">
        <v>161</v>
      </c>
      <c r="B8" s="850" t="s">
        <v>162</v>
      </c>
      <c r="C8" s="1099">
        <v>9.9000000000000005E-2</v>
      </c>
      <c r="D8" s="1099">
        <v>9.8000000000000004E-2</v>
      </c>
      <c r="E8" s="1099">
        <v>9.8000000000000004E-2</v>
      </c>
      <c r="F8" s="1100">
        <v>0.1</v>
      </c>
    </row>
    <row r="9" spans="1:6" ht="14.25" thickBot="1">
      <c r="A9" s="873" t="s">
        <v>161</v>
      </c>
      <c r="B9" s="865" t="s">
        <v>174</v>
      </c>
      <c r="C9" s="1101">
        <v>0.05</v>
      </c>
      <c r="D9" s="1102"/>
      <c r="E9" s="1102"/>
      <c r="F9" s="1103"/>
    </row>
    <row r="10" spans="1:6" ht="14.25" thickBot="1">
      <c r="A10" s="856" t="s">
        <v>221</v>
      </c>
      <c r="B10" s="857" t="s">
        <v>797</v>
      </c>
      <c r="C10" s="1097">
        <v>8.8999999999999996E-2</v>
      </c>
      <c r="D10" s="1097">
        <v>7.2999999999999995E-2</v>
      </c>
      <c r="E10" s="1097">
        <v>8.2000000000000003E-2</v>
      </c>
      <c r="F10" s="1098">
        <v>0.1</v>
      </c>
    </row>
    <row r="11" spans="1:6" ht="14.25" thickBot="1">
      <c r="A11" s="856" t="s">
        <v>221</v>
      </c>
      <c r="B11" s="864" t="s">
        <v>137</v>
      </c>
      <c r="C11" s="1099">
        <v>8.8999999999999996E-2</v>
      </c>
      <c r="D11" s="1099">
        <v>7.2999999999999995E-2</v>
      </c>
      <c r="E11" s="1099">
        <v>8.2000000000000003E-2</v>
      </c>
      <c r="F11" s="1100">
        <v>0.1</v>
      </c>
    </row>
    <row r="12" spans="1:6" ht="14.25" thickBot="1">
      <c r="A12" s="856" t="s">
        <v>221</v>
      </c>
      <c r="B12" s="864" t="s">
        <v>88</v>
      </c>
      <c r="C12" s="1099">
        <v>6.0999999999999999E-2</v>
      </c>
      <c r="D12" s="1099">
        <v>7.0999999999999994E-2</v>
      </c>
      <c r="E12" s="1099">
        <v>9.6000000000000002E-2</v>
      </c>
      <c r="F12" s="1100">
        <v>0.1</v>
      </c>
    </row>
    <row r="13" spans="1:6" ht="14.25" thickBot="1">
      <c r="A13" s="856" t="s">
        <v>221</v>
      </c>
      <c r="B13" s="864" t="s">
        <v>163</v>
      </c>
      <c r="C13" s="1099">
        <v>6.9000000000000006E-2</v>
      </c>
      <c r="D13" s="1099">
        <v>6.5000000000000002E-2</v>
      </c>
      <c r="E13" s="1099">
        <v>6.6000000000000003E-2</v>
      </c>
      <c r="F13" s="1100">
        <v>0.1</v>
      </c>
    </row>
    <row r="14" spans="1:6" ht="14.25" thickBot="1">
      <c r="A14" s="856" t="s">
        <v>221</v>
      </c>
      <c r="B14" s="864" t="s">
        <v>175</v>
      </c>
      <c r="C14" s="1099">
        <v>0.1</v>
      </c>
      <c r="D14" s="1099">
        <v>6.5000000000000002E-2</v>
      </c>
      <c r="E14" s="1099">
        <v>7.0000000000000007E-2</v>
      </c>
      <c r="F14" s="1100">
        <v>0.1</v>
      </c>
    </row>
    <row r="15" spans="1:6" ht="14.25" thickBot="1">
      <c r="A15" s="856" t="s">
        <v>221</v>
      </c>
      <c r="B15" s="864" t="s">
        <v>187</v>
      </c>
      <c r="C15" s="1099">
        <v>9.8000000000000004E-2</v>
      </c>
      <c r="D15" s="1099">
        <v>8.8999999999999996E-2</v>
      </c>
      <c r="E15" s="1099">
        <v>8.8999999999999996E-2</v>
      </c>
      <c r="F15" s="1100">
        <v>0.1</v>
      </c>
    </row>
    <row r="16" spans="1:6" ht="14.25" thickBot="1">
      <c r="A16" s="856" t="s">
        <v>221</v>
      </c>
      <c r="B16" s="864" t="s">
        <v>199</v>
      </c>
      <c r="C16" s="1099">
        <v>7.0000000000000007E-2</v>
      </c>
      <c r="D16" s="1099">
        <v>9.2999999999999999E-2</v>
      </c>
      <c r="E16" s="1099">
        <v>9.6000000000000002E-2</v>
      </c>
      <c r="F16" s="1100">
        <v>0.1</v>
      </c>
    </row>
    <row r="17" spans="1:6" ht="14.25" thickBot="1">
      <c r="A17" s="856" t="s">
        <v>221</v>
      </c>
      <c r="B17" s="864" t="s">
        <v>211</v>
      </c>
      <c r="C17" s="1099">
        <v>9.5000000000000001E-2</v>
      </c>
      <c r="D17" s="1099">
        <v>0.1</v>
      </c>
      <c r="E17" s="1099">
        <v>0.1</v>
      </c>
      <c r="F17" s="1104"/>
    </row>
    <row r="18" spans="1:6" ht="14.25" thickBot="1">
      <c r="A18" s="856" t="s">
        <v>221</v>
      </c>
      <c r="B18" s="864" t="s">
        <v>224</v>
      </c>
      <c r="C18" s="1099">
        <v>7.3999999999999996E-2</v>
      </c>
      <c r="D18" s="1099">
        <v>9.9000000000000005E-2</v>
      </c>
      <c r="E18" s="1099">
        <v>0.1</v>
      </c>
      <c r="F18" s="1104"/>
    </row>
    <row r="19" spans="1:6" ht="14.25" thickBot="1">
      <c r="A19" s="856" t="s">
        <v>221</v>
      </c>
      <c r="B19" s="864" t="s">
        <v>235</v>
      </c>
      <c r="C19" s="1099">
        <v>9.9000000000000005E-2</v>
      </c>
      <c r="D19" s="1099">
        <v>7.5999999999999998E-2</v>
      </c>
      <c r="E19" s="1099">
        <v>8.6999999999999994E-2</v>
      </c>
      <c r="F19" s="1104"/>
    </row>
    <row r="20" spans="1:6" ht="14.25" thickBot="1">
      <c r="A20" s="856" t="s">
        <v>221</v>
      </c>
      <c r="B20" s="864" t="s">
        <v>246</v>
      </c>
      <c r="C20" s="1099">
        <v>9.8000000000000004E-2</v>
      </c>
      <c r="D20" s="1099">
        <v>8.5000000000000006E-2</v>
      </c>
      <c r="E20" s="1099">
        <v>8.2000000000000003E-2</v>
      </c>
      <c r="F20" s="1104"/>
    </row>
    <row r="21" spans="1:6" ht="14.25" thickBot="1">
      <c r="A21" s="856" t="s">
        <v>221</v>
      </c>
      <c r="B21" s="864" t="s">
        <v>257</v>
      </c>
      <c r="C21" s="1099">
        <v>6.6000000000000003E-2</v>
      </c>
      <c r="D21" s="1099">
        <v>6.4000000000000001E-2</v>
      </c>
      <c r="E21" s="1099">
        <v>6.5000000000000002E-2</v>
      </c>
      <c r="F21" s="1104"/>
    </row>
    <row r="22" spans="1:6" ht="14.25" thickBot="1">
      <c r="A22" s="856" t="s">
        <v>221</v>
      </c>
      <c r="B22" s="864" t="s">
        <v>798</v>
      </c>
      <c r="C22" s="1099">
        <v>0.08</v>
      </c>
      <c r="D22" s="1099">
        <v>9.8000000000000004E-2</v>
      </c>
      <c r="E22" s="1099">
        <v>9.8000000000000004E-2</v>
      </c>
      <c r="F22" s="1104"/>
    </row>
    <row r="23" spans="1:6" ht="14.25" thickBot="1">
      <c r="A23" s="856" t="s">
        <v>221</v>
      </c>
      <c r="B23" s="864" t="s">
        <v>279</v>
      </c>
      <c r="C23" s="1099">
        <v>9.9000000000000005E-2</v>
      </c>
      <c r="D23" s="1099">
        <v>9.8000000000000004E-2</v>
      </c>
      <c r="E23" s="1099">
        <v>9.0999999999999998E-2</v>
      </c>
      <c r="F23" s="1104"/>
    </row>
    <row r="24" spans="1:6" ht="14.25" thickBot="1">
      <c r="A24" s="856" t="s">
        <v>221</v>
      </c>
      <c r="B24" s="864" t="s">
        <v>290</v>
      </c>
      <c r="C24" s="1099">
        <v>8.8999999999999996E-2</v>
      </c>
      <c r="D24" s="1099">
        <v>9.7000000000000003E-2</v>
      </c>
      <c r="E24" s="1099">
        <v>7.0000000000000007E-2</v>
      </c>
      <c r="F24" s="1104"/>
    </row>
    <row r="25" spans="1:6" ht="14.25" thickBot="1">
      <c r="A25" s="856" t="s">
        <v>221</v>
      </c>
      <c r="B25" s="864" t="s">
        <v>300</v>
      </c>
      <c r="C25" s="1099">
        <v>8.8999999999999996E-2</v>
      </c>
      <c r="D25" s="1099">
        <v>0.1</v>
      </c>
      <c r="E25" s="1099">
        <v>8.1000000000000003E-2</v>
      </c>
      <c r="F25" s="1104"/>
    </row>
    <row r="26" spans="1:6" ht="14.25" thickBot="1">
      <c r="A26" s="856" t="s">
        <v>221</v>
      </c>
      <c r="B26" s="864" t="s">
        <v>310</v>
      </c>
      <c r="C26" s="1105"/>
      <c r="D26" s="1099">
        <v>9.6000000000000002E-2</v>
      </c>
      <c r="E26" s="1099">
        <v>9.2999999999999999E-2</v>
      </c>
      <c r="F26" s="1104"/>
    </row>
    <row r="27" spans="1:6" ht="14.25" thickBot="1">
      <c r="A27" s="856" t="s">
        <v>221</v>
      </c>
      <c r="B27" s="864" t="s">
        <v>320</v>
      </c>
      <c r="C27" s="1105"/>
      <c r="D27" s="1099">
        <v>7.5999999999999998E-2</v>
      </c>
      <c r="E27" s="1099">
        <v>9.1999999999999998E-2</v>
      </c>
      <c r="F27" s="1104"/>
    </row>
    <row r="28" spans="1:6" ht="14.25" thickBot="1">
      <c r="A28" s="873" t="s">
        <v>221</v>
      </c>
      <c r="B28" s="865" t="s">
        <v>330</v>
      </c>
      <c r="C28" s="1102"/>
      <c r="D28" s="1101">
        <v>7.5999999999999998E-2</v>
      </c>
      <c r="E28" s="1101">
        <v>9.1999999999999998E-2</v>
      </c>
      <c r="F28" s="1103"/>
    </row>
    <row r="29" spans="1:6" ht="14.25" thickBot="1">
      <c r="A29" s="856" t="s">
        <v>399</v>
      </c>
      <c r="B29" s="857" t="s">
        <v>799</v>
      </c>
      <c r="C29" s="1097">
        <v>6.4000000000000001E-2</v>
      </c>
      <c r="D29" s="1097">
        <v>6.5000000000000002E-2</v>
      </c>
      <c r="E29" s="1097">
        <v>6.9000000000000006E-2</v>
      </c>
      <c r="F29" s="1098">
        <v>0.1</v>
      </c>
    </row>
    <row r="30" spans="1:6" ht="14.25" thickBot="1">
      <c r="A30" s="856" t="s">
        <v>399</v>
      </c>
      <c r="B30" s="864" t="s">
        <v>138</v>
      </c>
      <c r="C30" s="1099">
        <v>6.4000000000000001E-2</v>
      </c>
      <c r="D30" s="1099">
        <v>9.9000000000000005E-2</v>
      </c>
      <c r="E30" s="1099">
        <v>0.1</v>
      </c>
      <c r="F30" s="1100">
        <v>0.1</v>
      </c>
    </row>
    <row r="31" spans="1:6" ht="14.25" thickBot="1">
      <c r="A31" s="856" t="s">
        <v>399</v>
      </c>
      <c r="B31" s="864" t="s">
        <v>151</v>
      </c>
      <c r="C31" s="1099">
        <v>0.1</v>
      </c>
      <c r="D31" s="1099">
        <v>9.5000000000000001E-2</v>
      </c>
      <c r="E31" s="1099">
        <v>8.8999999999999996E-2</v>
      </c>
      <c r="F31" s="1100">
        <v>0.1</v>
      </c>
    </row>
    <row r="32" spans="1:6" ht="14.25" thickBot="1">
      <c r="A32" s="856" t="s">
        <v>399</v>
      </c>
      <c r="B32" s="864" t="s">
        <v>164</v>
      </c>
      <c r="C32" s="1099">
        <v>0.05</v>
      </c>
      <c r="D32" s="1099">
        <v>0.05</v>
      </c>
      <c r="E32" s="1099">
        <v>8.7999999999999995E-2</v>
      </c>
      <c r="F32" s="1100">
        <v>0.1</v>
      </c>
    </row>
    <row r="33" spans="1:6" ht="14.25" thickBot="1">
      <c r="A33" s="856" t="s">
        <v>399</v>
      </c>
      <c r="B33" s="864" t="s">
        <v>176</v>
      </c>
      <c r="C33" s="1099">
        <v>7.4999999999999997E-2</v>
      </c>
      <c r="D33" s="1099">
        <v>9.4E-2</v>
      </c>
      <c r="E33" s="1099">
        <v>9.7000000000000003E-2</v>
      </c>
      <c r="F33" s="1100">
        <v>0.1</v>
      </c>
    </row>
    <row r="34" spans="1:6" ht="14.25" thickBot="1">
      <c r="A34" s="856" t="s">
        <v>399</v>
      </c>
      <c r="B34" s="864" t="s">
        <v>188</v>
      </c>
      <c r="C34" s="1099">
        <v>9.8000000000000004E-2</v>
      </c>
      <c r="D34" s="1099">
        <v>8.5999999999999993E-2</v>
      </c>
      <c r="E34" s="1099">
        <v>9.7000000000000003E-2</v>
      </c>
      <c r="F34" s="1100">
        <v>0.1</v>
      </c>
    </row>
    <row r="35" spans="1:6" ht="14.25" thickBot="1">
      <c r="A35" s="856" t="s">
        <v>399</v>
      </c>
      <c r="B35" s="864" t="s">
        <v>200</v>
      </c>
      <c r="C35" s="1099">
        <v>5.8999999999999997E-2</v>
      </c>
      <c r="D35" s="1099">
        <v>6.5000000000000002E-2</v>
      </c>
      <c r="E35" s="1099">
        <v>7.0000000000000007E-2</v>
      </c>
      <c r="F35" s="1100">
        <v>0.1</v>
      </c>
    </row>
    <row r="36" spans="1:6" ht="14.25" thickBot="1">
      <c r="A36" s="856" t="s">
        <v>399</v>
      </c>
      <c r="B36" s="864" t="s">
        <v>212</v>
      </c>
      <c r="C36" s="1099">
        <v>6.3E-2</v>
      </c>
      <c r="D36" s="1099">
        <v>0.1</v>
      </c>
      <c r="E36" s="1099">
        <v>0.1</v>
      </c>
      <c r="F36" s="1100">
        <v>0.1</v>
      </c>
    </row>
    <row r="37" spans="1:6" ht="14.25" thickBot="1">
      <c r="A37" s="856" t="s">
        <v>399</v>
      </c>
      <c r="B37" s="864" t="s">
        <v>225</v>
      </c>
      <c r="C37" s="1099">
        <v>7.3999999999999996E-2</v>
      </c>
      <c r="D37" s="1099">
        <v>0.1</v>
      </c>
      <c r="E37" s="1099">
        <v>0.1</v>
      </c>
      <c r="F37" s="1100">
        <v>0.1</v>
      </c>
    </row>
    <row r="38" spans="1:6" ht="14.25" thickBot="1">
      <c r="A38" s="856" t="s">
        <v>399</v>
      </c>
      <c r="B38" s="864" t="s">
        <v>236</v>
      </c>
      <c r="C38" s="1099">
        <v>0.1</v>
      </c>
      <c r="D38" s="1099">
        <v>9.6000000000000002E-2</v>
      </c>
      <c r="E38" s="1099">
        <v>9.6000000000000002E-2</v>
      </c>
      <c r="F38" s="1104"/>
    </row>
    <row r="39" spans="1:6" ht="14.25" thickBot="1">
      <c r="A39" s="856" t="s">
        <v>399</v>
      </c>
      <c r="B39" s="864" t="s">
        <v>247</v>
      </c>
      <c r="C39" s="1099">
        <v>0.1</v>
      </c>
      <c r="D39" s="1099">
        <v>9.6000000000000002E-2</v>
      </c>
      <c r="E39" s="1099">
        <v>9.6000000000000002E-2</v>
      </c>
      <c r="F39" s="1104"/>
    </row>
    <row r="40" spans="1:6" ht="14.25" thickBot="1">
      <c r="A40" s="856" t="s">
        <v>399</v>
      </c>
      <c r="B40" s="864" t="s">
        <v>258</v>
      </c>
      <c r="C40" s="1099">
        <v>9.6000000000000002E-2</v>
      </c>
      <c r="D40" s="1099">
        <v>0.1</v>
      </c>
      <c r="E40" s="1099">
        <v>9.9000000000000005E-2</v>
      </c>
      <c r="F40" s="1104"/>
    </row>
    <row r="41" spans="1:6" ht="14.25" thickBot="1">
      <c r="A41" s="856" t="s">
        <v>399</v>
      </c>
      <c r="B41" s="864" t="s">
        <v>269</v>
      </c>
      <c r="C41" s="1099">
        <v>9.6000000000000002E-2</v>
      </c>
      <c r="D41" s="1099">
        <v>9.8000000000000004E-2</v>
      </c>
      <c r="E41" s="1099">
        <v>9.8000000000000004E-2</v>
      </c>
      <c r="F41" s="1104"/>
    </row>
    <row r="42" spans="1:6" ht="14.25" thickBot="1">
      <c r="A42" s="856" t="s">
        <v>399</v>
      </c>
      <c r="B42" s="864" t="s">
        <v>280</v>
      </c>
      <c r="C42" s="1099">
        <v>0.1</v>
      </c>
      <c r="D42" s="1099">
        <v>8.7999999999999995E-2</v>
      </c>
      <c r="E42" s="1099">
        <v>0.1</v>
      </c>
      <c r="F42" s="1104"/>
    </row>
    <row r="43" spans="1:6" ht="14.25" thickBot="1">
      <c r="A43" s="856" t="s">
        <v>399</v>
      </c>
      <c r="B43" s="864" t="s">
        <v>291</v>
      </c>
      <c r="C43" s="1099">
        <v>9.8000000000000004E-2</v>
      </c>
      <c r="D43" s="1099">
        <v>9.7000000000000003E-2</v>
      </c>
      <c r="E43" s="1099">
        <v>9.6000000000000002E-2</v>
      </c>
      <c r="F43" s="1104"/>
    </row>
    <row r="44" spans="1:6" ht="14.25" thickBot="1">
      <c r="A44" s="856" t="s">
        <v>399</v>
      </c>
      <c r="B44" s="864" t="s">
        <v>301</v>
      </c>
      <c r="C44" s="1099">
        <v>8.5999999999999993E-2</v>
      </c>
      <c r="D44" s="1099">
        <v>7.9000000000000001E-2</v>
      </c>
      <c r="E44" s="1099">
        <v>7.0999999999999994E-2</v>
      </c>
      <c r="F44" s="1104"/>
    </row>
    <row r="45" spans="1:6" ht="14.25" thickBot="1">
      <c r="A45" s="856" t="s">
        <v>399</v>
      </c>
      <c r="B45" s="864" t="s">
        <v>311</v>
      </c>
      <c r="C45" s="1099">
        <v>9.8000000000000004E-2</v>
      </c>
      <c r="D45" s="1099">
        <v>9.6000000000000002E-2</v>
      </c>
      <c r="E45" s="1099">
        <v>9.6000000000000002E-2</v>
      </c>
      <c r="F45" s="1104"/>
    </row>
    <row r="46" spans="1:6" ht="14.25" thickBot="1">
      <c r="A46" s="856" t="s">
        <v>399</v>
      </c>
      <c r="B46" s="864" t="s">
        <v>321</v>
      </c>
      <c r="C46" s="1099">
        <v>8.5999999999999993E-2</v>
      </c>
      <c r="D46" s="1099">
        <v>9.8000000000000004E-2</v>
      </c>
      <c r="E46" s="1099">
        <v>8.7999999999999995E-2</v>
      </c>
      <c r="F46" s="1104"/>
    </row>
    <row r="47" spans="1:6" ht="14.25" thickBot="1">
      <c r="A47" s="856" t="s">
        <v>399</v>
      </c>
      <c r="B47" s="864" t="s">
        <v>331</v>
      </c>
      <c r="C47" s="1099">
        <v>9.6000000000000002E-2</v>
      </c>
      <c r="D47" s="1105"/>
      <c r="E47" s="1099">
        <v>6.9000000000000006E-2</v>
      </c>
      <c r="F47" s="1104"/>
    </row>
    <row r="48" spans="1:6" ht="14.25" thickBot="1">
      <c r="A48" s="873" t="s">
        <v>399</v>
      </c>
      <c r="B48" s="865" t="s">
        <v>340</v>
      </c>
      <c r="C48" s="1101">
        <v>9.8000000000000004E-2</v>
      </c>
      <c r="D48" s="1102"/>
      <c r="E48" s="1101">
        <v>9.5000000000000001E-2</v>
      </c>
      <c r="F48" s="1103"/>
    </row>
    <row r="49" spans="1:6" ht="14.25" thickBot="1">
      <c r="A49" s="856" t="s">
        <v>87</v>
      </c>
      <c r="B49" s="857" t="s">
        <v>800</v>
      </c>
      <c r="C49" s="1097">
        <v>9.7000000000000003E-2</v>
      </c>
      <c r="D49" s="1097">
        <v>9.5000000000000001E-2</v>
      </c>
      <c r="E49" s="1097">
        <v>9.7000000000000003E-2</v>
      </c>
      <c r="F49" s="1098">
        <v>0.1</v>
      </c>
    </row>
    <row r="50" spans="1:6" ht="14.25" thickBot="1">
      <c r="A50" s="856" t="s">
        <v>87</v>
      </c>
      <c r="B50" s="850" t="s">
        <v>139</v>
      </c>
      <c r="C50" s="1099">
        <v>7.4999999999999997E-2</v>
      </c>
      <c r="D50" s="1099">
        <v>9.5000000000000001E-2</v>
      </c>
      <c r="E50" s="1099">
        <v>0.1</v>
      </c>
      <c r="F50" s="1100">
        <v>0.1</v>
      </c>
    </row>
    <row r="51" spans="1:6" ht="14.25" thickBot="1">
      <c r="A51" s="856" t="s">
        <v>87</v>
      </c>
      <c r="B51" s="850" t="s">
        <v>152</v>
      </c>
      <c r="C51" s="1099">
        <v>9.8000000000000004E-2</v>
      </c>
      <c r="D51" s="1099">
        <v>8.8999999999999996E-2</v>
      </c>
      <c r="E51" s="1099">
        <v>0.1</v>
      </c>
      <c r="F51" s="1100">
        <v>0.1</v>
      </c>
    </row>
    <row r="52" spans="1:6" ht="14.25" thickBot="1">
      <c r="A52" s="856" t="s">
        <v>87</v>
      </c>
      <c r="B52" s="850" t="s">
        <v>165</v>
      </c>
      <c r="C52" s="1099">
        <v>9.8000000000000004E-2</v>
      </c>
      <c r="D52" s="1099">
        <v>9.7000000000000003E-2</v>
      </c>
      <c r="E52" s="1099">
        <v>8.1000000000000003E-2</v>
      </c>
      <c r="F52" s="1100">
        <v>0.1</v>
      </c>
    </row>
    <row r="53" spans="1:6" ht="14.25" thickBot="1">
      <c r="A53" s="856" t="s">
        <v>87</v>
      </c>
      <c r="B53" s="850" t="s">
        <v>177</v>
      </c>
      <c r="C53" s="1099">
        <v>9.7000000000000003E-2</v>
      </c>
      <c r="D53" s="1099">
        <v>7.5999999999999998E-2</v>
      </c>
      <c r="E53" s="1099">
        <v>7.0999999999999994E-2</v>
      </c>
      <c r="F53" s="1100">
        <v>0.1</v>
      </c>
    </row>
    <row r="54" spans="1:6" ht="14.25" thickBot="1">
      <c r="A54" s="856" t="s">
        <v>87</v>
      </c>
      <c r="B54" s="850" t="s">
        <v>189</v>
      </c>
      <c r="C54" s="1099">
        <v>7.5999999999999998E-2</v>
      </c>
      <c r="D54" s="1099">
        <v>0.1</v>
      </c>
      <c r="E54" s="1099">
        <v>9.9000000000000005E-2</v>
      </c>
      <c r="F54" s="1100">
        <v>0.1</v>
      </c>
    </row>
    <row r="55" spans="1:6" ht="14.25" thickBot="1">
      <c r="A55" s="856" t="s">
        <v>87</v>
      </c>
      <c r="B55" s="850" t="s">
        <v>201</v>
      </c>
      <c r="C55" s="1099">
        <v>0.1</v>
      </c>
      <c r="D55" s="1099">
        <v>0.1</v>
      </c>
      <c r="E55" s="1099">
        <v>9.6000000000000002E-2</v>
      </c>
      <c r="F55" s="1100">
        <v>0.1</v>
      </c>
    </row>
    <row r="56" spans="1:6" ht="14.25" thickBot="1">
      <c r="A56" s="856" t="s">
        <v>87</v>
      </c>
      <c r="B56" s="850" t="s">
        <v>213</v>
      </c>
      <c r="C56" s="1099">
        <v>0.1</v>
      </c>
      <c r="D56" s="1099">
        <v>9.6000000000000002E-2</v>
      </c>
      <c r="E56" s="1099">
        <v>5.1999999999999998E-2</v>
      </c>
      <c r="F56" s="1100">
        <v>0.1</v>
      </c>
    </row>
    <row r="57" spans="1:6" ht="14.25" thickBot="1">
      <c r="A57" s="856" t="s">
        <v>87</v>
      </c>
      <c r="B57" s="850" t="s">
        <v>226</v>
      </c>
      <c r="C57" s="1099">
        <v>9.7000000000000003E-2</v>
      </c>
      <c r="D57" s="1099">
        <v>9.6000000000000002E-2</v>
      </c>
      <c r="E57" s="1099">
        <v>9.6000000000000002E-2</v>
      </c>
      <c r="F57" s="1100">
        <v>0.1</v>
      </c>
    </row>
    <row r="58" spans="1:6" ht="14.25" thickBot="1">
      <c r="A58" s="856" t="s">
        <v>87</v>
      </c>
      <c r="B58" s="850" t="s">
        <v>237</v>
      </c>
      <c r="C58" s="1099">
        <v>9.6000000000000002E-2</v>
      </c>
      <c r="D58" s="1099">
        <v>9.9000000000000005E-2</v>
      </c>
      <c r="E58" s="1099">
        <v>9.6000000000000002E-2</v>
      </c>
      <c r="F58" s="1100">
        <v>0.1</v>
      </c>
    </row>
    <row r="59" spans="1:6" ht="14.25" thickBot="1">
      <c r="A59" s="856" t="s">
        <v>87</v>
      </c>
      <c r="B59" s="850" t="s">
        <v>248</v>
      </c>
      <c r="C59" s="1099">
        <v>7.1999999999999995E-2</v>
      </c>
      <c r="D59" s="1099">
        <v>9.6000000000000002E-2</v>
      </c>
      <c r="E59" s="1099">
        <v>7.0999999999999994E-2</v>
      </c>
      <c r="F59" s="1100">
        <v>0.1</v>
      </c>
    </row>
    <row r="60" spans="1:6" ht="14.25" thickBot="1">
      <c r="A60" s="856" t="s">
        <v>87</v>
      </c>
      <c r="B60" s="850" t="s">
        <v>259</v>
      </c>
      <c r="C60" s="1099">
        <v>9.6000000000000002E-2</v>
      </c>
      <c r="D60" s="1099">
        <v>8.8999999999999996E-2</v>
      </c>
      <c r="E60" s="1099">
        <v>9.6000000000000002E-2</v>
      </c>
      <c r="F60" s="1100">
        <v>0.1</v>
      </c>
    </row>
    <row r="61" spans="1:6" ht="14.25" thickBot="1">
      <c r="A61" s="856" t="s">
        <v>87</v>
      </c>
      <c r="B61" s="850" t="s">
        <v>270</v>
      </c>
      <c r="C61" s="1099">
        <v>8.8999999999999996E-2</v>
      </c>
      <c r="D61" s="1099">
        <v>9.8000000000000004E-2</v>
      </c>
      <c r="E61" s="1099">
        <v>8.7999999999999995E-2</v>
      </c>
      <c r="F61" s="1104"/>
    </row>
    <row r="62" spans="1:6" ht="14.25" thickBot="1">
      <c r="A62" s="856" t="s">
        <v>87</v>
      </c>
      <c r="B62" s="850" t="s">
        <v>281</v>
      </c>
      <c r="C62" s="1099">
        <v>9.8000000000000004E-2</v>
      </c>
      <c r="D62" s="1099">
        <v>9.2999999999999999E-2</v>
      </c>
      <c r="E62" s="1099">
        <v>9.7000000000000003E-2</v>
      </c>
      <c r="F62" s="1104"/>
    </row>
    <row r="63" spans="1:6" ht="14.25" thickBot="1">
      <c r="A63" s="856" t="s">
        <v>87</v>
      </c>
      <c r="B63" s="850" t="s">
        <v>292</v>
      </c>
      <c r="C63" s="1099">
        <v>9.6000000000000002E-2</v>
      </c>
      <c r="D63" s="1099">
        <v>9.8000000000000004E-2</v>
      </c>
      <c r="E63" s="1099">
        <v>0.09</v>
      </c>
      <c r="F63" s="1104"/>
    </row>
    <row r="64" spans="1:6" ht="14.25" thickBot="1">
      <c r="A64" s="856" t="s">
        <v>87</v>
      </c>
      <c r="B64" s="850" t="s">
        <v>302</v>
      </c>
      <c r="C64" s="1099">
        <v>9.9000000000000005E-2</v>
      </c>
      <c r="D64" s="1099">
        <v>9.7000000000000003E-2</v>
      </c>
      <c r="E64" s="1099">
        <v>9.9000000000000005E-2</v>
      </c>
      <c r="F64" s="1104"/>
    </row>
    <row r="65" spans="1:6" ht="14.25" thickBot="1">
      <c r="A65" s="856" t="s">
        <v>87</v>
      </c>
      <c r="B65" s="850" t="s">
        <v>312</v>
      </c>
      <c r="C65" s="1099">
        <v>9.8000000000000004E-2</v>
      </c>
      <c r="D65" s="1099">
        <v>9.6000000000000002E-2</v>
      </c>
      <c r="E65" s="1099">
        <v>9.6000000000000002E-2</v>
      </c>
      <c r="F65" s="1104"/>
    </row>
    <row r="66" spans="1:6" ht="14.25" thickBot="1">
      <c r="A66" s="856" t="s">
        <v>87</v>
      </c>
      <c r="B66" s="850" t="s">
        <v>322</v>
      </c>
      <c r="C66" s="1099">
        <v>9.6000000000000002E-2</v>
      </c>
      <c r="D66" s="1099">
        <v>9.1999999999999998E-2</v>
      </c>
      <c r="E66" s="1099">
        <v>9.6000000000000002E-2</v>
      </c>
      <c r="F66" s="1104"/>
    </row>
    <row r="67" spans="1:6" ht="14.25" thickBot="1">
      <c r="A67" s="856" t="s">
        <v>87</v>
      </c>
      <c r="B67" s="850" t="s">
        <v>332</v>
      </c>
      <c r="C67" s="1099">
        <v>9.4E-2</v>
      </c>
      <c r="D67" s="1099">
        <v>0.1</v>
      </c>
      <c r="E67" s="1099">
        <v>8.7999999999999995E-2</v>
      </c>
      <c r="F67" s="1104"/>
    </row>
    <row r="68" spans="1:6" ht="14.25" thickBot="1">
      <c r="A68" s="856" t="s">
        <v>87</v>
      </c>
      <c r="B68" s="850" t="s">
        <v>341</v>
      </c>
      <c r="C68" s="1099">
        <v>0.1</v>
      </c>
      <c r="D68" s="1099">
        <v>8.7999999999999995E-2</v>
      </c>
      <c r="E68" s="1099">
        <v>9.7000000000000003E-2</v>
      </c>
      <c r="F68" s="1104"/>
    </row>
    <row r="69" spans="1:6" ht="14.25" thickBot="1">
      <c r="A69" s="856" t="s">
        <v>87</v>
      </c>
      <c r="B69" s="850" t="s">
        <v>350</v>
      </c>
      <c r="C69" s="1099">
        <v>6.4000000000000001E-2</v>
      </c>
      <c r="D69" s="1099">
        <v>0.1</v>
      </c>
      <c r="E69" s="1099">
        <v>0.1</v>
      </c>
      <c r="F69" s="1104"/>
    </row>
    <row r="70" spans="1:6" ht="14.25" thickBot="1">
      <c r="A70" s="856" t="s">
        <v>87</v>
      </c>
      <c r="B70" s="850" t="s">
        <v>358</v>
      </c>
      <c r="C70" s="1099">
        <v>9.0999999999999998E-2</v>
      </c>
      <c r="D70" s="1105"/>
      <c r="E70" s="1105"/>
      <c r="F70" s="1104"/>
    </row>
    <row r="71" spans="1:6" ht="14.25" thickBot="1">
      <c r="A71" s="856" t="s">
        <v>87</v>
      </c>
      <c r="B71" s="850" t="s">
        <v>365</v>
      </c>
      <c r="C71" s="1099">
        <v>0.1</v>
      </c>
      <c r="D71" s="1105"/>
      <c r="E71" s="1105"/>
      <c r="F71" s="1104"/>
    </row>
    <row r="72" spans="1:6" ht="14.25" thickBot="1">
      <c r="A72" s="856" t="s">
        <v>87</v>
      </c>
      <c r="B72" s="850" t="s">
        <v>801</v>
      </c>
      <c r="C72" s="1105"/>
      <c r="D72" s="1105"/>
      <c r="E72" s="1105"/>
      <c r="F72" s="1100">
        <v>0.05</v>
      </c>
    </row>
    <row r="73" spans="1:6" ht="14.25" thickBot="1">
      <c r="A73" s="856" t="s">
        <v>87</v>
      </c>
      <c r="B73" s="850" t="s">
        <v>802</v>
      </c>
      <c r="C73" s="1105"/>
      <c r="D73" s="1105"/>
      <c r="E73" s="1105"/>
      <c r="F73" s="1100">
        <v>0.05</v>
      </c>
    </row>
    <row r="74" spans="1:6" ht="14.25" thickBot="1">
      <c r="A74" s="856" t="s">
        <v>87</v>
      </c>
      <c r="B74" s="850" t="s">
        <v>803</v>
      </c>
      <c r="C74" s="1105"/>
      <c r="D74" s="1105"/>
      <c r="E74" s="1105"/>
      <c r="F74" s="1100">
        <v>0.05</v>
      </c>
    </row>
    <row r="75" spans="1:6" ht="14.25" thickBot="1">
      <c r="A75" s="873" t="s">
        <v>87</v>
      </c>
      <c r="B75" s="866" t="s">
        <v>804</v>
      </c>
      <c r="C75" s="1102"/>
      <c r="D75" s="1102"/>
      <c r="E75" s="1102"/>
      <c r="F75" s="1106">
        <v>0.05</v>
      </c>
    </row>
    <row r="76" spans="1:6" ht="14.25" thickBot="1">
      <c r="A76" s="856" t="s">
        <v>480</v>
      </c>
      <c r="B76" s="857" t="s">
        <v>805</v>
      </c>
      <c r="C76" s="1097">
        <v>0.1</v>
      </c>
      <c r="D76" s="1097">
        <v>0.1</v>
      </c>
      <c r="E76" s="1097">
        <v>0.1</v>
      </c>
      <c r="F76" s="1098">
        <v>0.1</v>
      </c>
    </row>
    <row r="77" spans="1:6" ht="14.25" thickBot="1">
      <c r="A77" s="856" t="s">
        <v>480</v>
      </c>
      <c r="B77" s="850" t="s">
        <v>140</v>
      </c>
      <c r="C77" s="1099">
        <v>8.7999999999999995E-2</v>
      </c>
      <c r="D77" s="1099">
        <v>8.6999999999999994E-2</v>
      </c>
      <c r="E77" s="1099">
        <v>7.9000000000000001E-2</v>
      </c>
      <c r="F77" s="1100">
        <v>0.1</v>
      </c>
    </row>
    <row r="78" spans="1:6" ht="14.25" thickBot="1">
      <c r="A78" s="856" t="s">
        <v>480</v>
      </c>
      <c r="B78" s="850" t="s">
        <v>153</v>
      </c>
      <c r="C78" s="1099">
        <v>8.6999999999999994E-2</v>
      </c>
      <c r="D78" s="1099">
        <v>8.4000000000000005E-2</v>
      </c>
      <c r="E78" s="1099">
        <v>9.6000000000000002E-2</v>
      </c>
      <c r="F78" s="1100">
        <v>0.1</v>
      </c>
    </row>
    <row r="79" spans="1:6" ht="14.25" thickBot="1">
      <c r="A79" s="856" t="s">
        <v>480</v>
      </c>
      <c r="B79" s="850" t="s">
        <v>166</v>
      </c>
      <c r="C79" s="1099">
        <v>9.8000000000000004E-2</v>
      </c>
      <c r="D79" s="1099">
        <v>9.8000000000000004E-2</v>
      </c>
      <c r="E79" s="1099">
        <v>9.0999999999999998E-2</v>
      </c>
      <c r="F79" s="1100">
        <v>0.1</v>
      </c>
    </row>
    <row r="80" spans="1:6" ht="14.25" thickBot="1">
      <c r="A80" s="856" t="s">
        <v>480</v>
      </c>
      <c r="B80" s="850" t="s">
        <v>178</v>
      </c>
      <c r="C80" s="1099">
        <v>9.6000000000000002E-2</v>
      </c>
      <c r="D80" s="1099">
        <v>9.6000000000000002E-2</v>
      </c>
      <c r="E80" s="1099">
        <v>0.1</v>
      </c>
      <c r="F80" s="1100">
        <v>0.1</v>
      </c>
    </row>
    <row r="81" spans="1:6" ht="14.25" thickBot="1">
      <c r="A81" s="856" t="s">
        <v>480</v>
      </c>
      <c r="B81" s="850" t="s">
        <v>190</v>
      </c>
      <c r="C81" s="1099">
        <v>9.9000000000000005E-2</v>
      </c>
      <c r="D81" s="1099">
        <v>9.9000000000000005E-2</v>
      </c>
      <c r="E81" s="1099">
        <v>9.8000000000000004E-2</v>
      </c>
      <c r="F81" s="1100">
        <v>0.1</v>
      </c>
    </row>
    <row r="82" spans="1:6" ht="14.25" thickBot="1">
      <c r="A82" s="856" t="s">
        <v>480</v>
      </c>
      <c r="B82" s="850" t="s">
        <v>202</v>
      </c>
      <c r="C82" s="1099">
        <v>9.9000000000000005E-2</v>
      </c>
      <c r="D82" s="1099">
        <v>9.9000000000000005E-2</v>
      </c>
      <c r="E82" s="1099">
        <v>9.7000000000000003E-2</v>
      </c>
      <c r="F82" s="1100">
        <v>0.1</v>
      </c>
    </row>
    <row r="83" spans="1:6" ht="14.25" thickBot="1">
      <c r="A83" s="856" t="s">
        <v>480</v>
      </c>
      <c r="B83" s="850" t="s">
        <v>214</v>
      </c>
      <c r="C83" s="1099">
        <v>9.8000000000000004E-2</v>
      </c>
      <c r="D83" s="1099">
        <v>9.8000000000000004E-2</v>
      </c>
      <c r="E83" s="1099">
        <v>9.8000000000000004E-2</v>
      </c>
      <c r="F83" s="1100">
        <v>0.1</v>
      </c>
    </row>
    <row r="84" spans="1:6" ht="14.25" thickBot="1">
      <c r="A84" s="856" t="s">
        <v>480</v>
      </c>
      <c r="B84" s="850" t="s">
        <v>227</v>
      </c>
      <c r="C84" s="1099">
        <v>9.9000000000000005E-2</v>
      </c>
      <c r="D84" s="1099">
        <v>9.9000000000000005E-2</v>
      </c>
      <c r="E84" s="1099">
        <v>9.9000000000000005E-2</v>
      </c>
      <c r="F84" s="1100">
        <v>0.1</v>
      </c>
    </row>
    <row r="85" spans="1:6" ht="14.25" thickBot="1">
      <c r="A85" s="856" t="s">
        <v>480</v>
      </c>
      <c r="B85" s="850" t="s">
        <v>238</v>
      </c>
      <c r="C85" s="1099">
        <v>9.9000000000000005E-2</v>
      </c>
      <c r="D85" s="1099">
        <v>9.9000000000000005E-2</v>
      </c>
      <c r="E85" s="1099">
        <v>9.9000000000000005E-2</v>
      </c>
      <c r="F85" s="1100">
        <v>0.1</v>
      </c>
    </row>
    <row r="86" spans="1:6" ht="14.25" thickBot="1">
      <c r="A86" s="856" t="s">
        <v>480</v>
      </c>
      <c r="B86" s="850" t="s">
        <v>249</v>
      </c>
      <c r="C86" s="1099">
        <v>0.1</v>
      </c>
      <c r="D86" s="1099">
        <v>0.1</v>
      </c>
      <c r="E86" s="1099">
        <v>7.6999999999999999E-2</v>
      </c>
      <c r="F86" s="1100">
        <v>0.1</v>
      </c>
    </row>
    <row r="87" spans="1:6" ht="14.25" thickBot="1">
      <c r="A87" s="856" t="s">
        <v>480</v>
      </c>
      <c r="B87" s="850" t="s">
        <v>260</v>
      </c>
      <c r="C87" s="1099">
        <v>0.1</v>
      </c>
      <c r="D87" s="1099">
        <v>0.1</v>
      </c>
      <c r="E87" s="1099">
        <v>9.8000000000000004E-2</v>
      </c>
      <c r="F87" s="1104"/>
    </row>
    <row r="88" spans="1:6" ht="14.25" thickBot="1">
      <c r="A88" s="856" t="s">
        <v>480</v>
      </c>
      <c r="B88" s="850" t="s">
        <v>271</v>
      </c>
      <c r="C88" s="1099">
        <v>9.1999999999999998E-2</v>
      </c>
      <c r="D88" s="1099">
        <v>8.5000000000000006E-2</v>
      </c>
      <c r="E88" s="1099">
        <v>9.6000000000000002E-2</v>
      </c>
      <c r="F88" s="1104"/>
    </row>
    <row r="89" spans="1:6" ht="14.25" thickBot="1">
      <c r="A89" s="856" t="s">
        <v>480</v>
      </c>
      <c r="B89" s="850" t="s">
        <v>282</v>
      </c>
      <c r="C89" s="1099">
        <v>0.1</v>
      </c>
      <c r="D89" s="1099">
        <v>0.1</v>
      </c>
      <c r="E89" s="1099">
        <v>9.7000000000000003E-2</v>
      </c>
      <c r="F89" s="1104"/>
    </row>
    <row r="90" spans="1:6" ht="14.25" thickBot="1">
      <c r="A90" s="856" t="s">
        <v>480</v>
      </c>
      <c r="B90" s="850" t="s">
        <v>293</v>
      </c>
      <c r="C90" s="1099">
        <v>9.8000000000000004E-2</v>
      </c>
      <c r="D90" s="1099">
        <v>9.8000000000000004E-2</v>
      </c>
      <c r="E90" s="1099">
        <v>8.7999999999999995E-2</v>
      </c>
      <c r="F90" s="1104"/>
    </row>
    <row r="91" spans="1:6" ht="14.25" thickBot="1">
      <c r="A91" s="856" t="s">
        <v>480</v>
      </c>
      <c r="B91" s="850" t="s">
        <v>303</v>
      </c>
      <c r="C91" s="1099">
        <v>9.9000000000000005E-2</v>
      </c>
      <c r="D91" s="1099">
        <v>9.9000000000000005E-2</v>
      </c>
      <c r="E91" s="1099">
        <v>9.0999999999999998E-2</v>
      </c>
      <c r="F91" s="1104"/>
    </row>
    <row r="92" spans="1:6" ht="14.25" thickBot="1">
      <c r="A92" s="856" t="s">
        <v>480</v>
      </c>
      <c r="B92" s="850" t="s">
        <v>313</v>
      </c>
      <c r="C92" s="1099">
        <v>9.6000000000000002E-2</v>
      </c>
      <c r="D92" s="1099">
        <v>9.6000000000000002E-2</v>
      </c>
      <c r="E92" s="1099">
        <v>7.2999999999999995E-2</v>
      </c>
      <c r="F92" s="1104"/>
    </row>
    <row r="93" spans="1:6" ht="14.25" thickBot="1">
      <c r="A93" s="856" t="s">
        <v>480</v>
      </c>
      <c r="B93" s="850" t="s">
        <v>323</v>
      </c>
      <c r="C93" s="1099">
        <v>9.6000000000000002E-2</v>
      </c>
      <c r="D93" s="1099">
        <v>9.6000000000000002E-2</v>
      </c>
      <c r="E93" s="1099">
        <v>9.9000000000000005E-2</v>
      </c>
      <c r="F93" s="1104"/>
    </row>
    <row r="94" spans="1:6" ht="14.25" thickBot="1">
      <c r="A94" s="856" t="s">
        <v>480</v>
      </c>
      <c r="B94" s="850" t="s">
        <v>333</v>
      </c>
      <c r="C94" s="1099">
        <v>7.5999999999999998E-2</v>
      </c>
      <c r="D94" s="1099">
        <v>7.3999999999999996E-2</v>
      </c>
      <c r="E94" s="1099">
        <v>9.7000000000000003E-2</v>
      </c>
      <c r="F94" s="1104"/>
    </row>
    <row r="95" spans="1:6" ht="14.25" thickBot="1">
      <c r="A95" s="856" t="s">
        <v>480</v>
      </c>
      <c r="B95" s="850" t="s">
        <v>342</v>
      </c>
      <c r="C95" s="1099">
        <v>9.9000000000000005E-2</v>
      </c>
      <c r="D95" s="1099">
        <v>9.4E-2</v>
      </c>
      <c r="E95" s="1099">
        <v>9.6000000000000002E-2</v>
      </c>
      <c r="F95" s="1104"/>
    </row>
    <row r="96" spans="1:6" ht="14.25" thickBot="1">
      <c r="A96" s="856" t="s">
        <v>480</v>
      </c>
      <c r="B96" s="850" t="s">
        <v>351</v>
      </c>
      <c r="C96" s="1099">
        <v>9.9000000000000005E-2</v>
      </c>
      <c r="D96" s="1099">
        <v>9.9000000000000005E-2</v>
      </c>
      <c r="E96" s="1099">
        <v>9.9000000000000005E-2</v>
      </c>
      <c r="F96" s="1104"/>
    </row>
    <row r="97" spans="1:6" ht="14.25" thickBot="1">
      <c r="A97" s="856" t="s">
        <v>480</v>
      </c>
      <c r="B97" s="850" t="s">
        <v>359</v>
      </c>
      <c r="C97" s="1099">
        <v>9.8000000000000004E-2</v>
      </c>
      <c r="D97" s="1099">
        <v>9.8000000000000004E-2</v>
      </c>
      <c r="E97" s="1099">
        <v>9.7000000000000003E-2</v>
      </c>
      <c r="F97" s="1104"/>
    </row>
    <row r="98" spans="1:6" ht="14.25" thickBot="1">
      <c r="A98" s="856" t="s">
        <v>480</v>
      </c>
      <c r="B98" s="850" t="s">
        <v>366</v>
      </c>
      <c r="C98" s="1099">
        <v>0.1</v>
      </c>
      <c r="D98" s="1099">
        <v>0.1</v>
      </c>
      <c r="E98" s="1099">
        <v>9.7000000000000003E-2</v>
      </c>
      <c r="F98" s="1104"/>
    </row>
    <row r="99" spans="1:6" ht="14.25" thickBot="1">
      <c r="A99" s="856" t="s">
        <v>480</v>
      </c>
      <c r="B99" s="850" t="s">
        <v>373</v>
      </c>
      <c r="C99" s="1099">
        <v>0.1</v>
      </c>
      <c r="D99" s="1099">
        <v>0.1</v>
      </c>
      <c r="E99" s="1105"/>
      <c r="F99" s="1104"/>
    </row>
    <row r="100" spans="1:6" ht="14.25" thickBot="1">
      <c r="A100" s="856" t="s">
        <v>480</v>
      </c>
      <c r="B100" s="850" t="s">
        <v>380</v>
      </c>
      <c r="C100" s="1099">
        <v>0.09</v>
      </c>
      <c r="D100" s="1099">
        <v>8.8999999999999996E-2</v>
      </c>
      <c r="E100" s="1105"/>
      <c r="F100" s="1104"/>
    </row>
    <row r="101" spans="1:6" ht="14.25" thickBot="1">
      <c r="A101" s="856" t="s">
        <v>480</v>
      </c>
      <c r="B101" s="850" t="s">
        <v>387</v>
      </c>
      <c r="C101" s="1099">
        <v>9.8000000000000004E-2</v>
      </c>
      <c r="D101" s="1099">
        <v>9.7000000000000003E-2</v>
      </c>
      <c r="E101" s="1105"/>
      <c r="F101" s="1104"/>
    </row>
    <row r="102" spans="1:6" ht="14.25" thickBot="1">
      <c r="A102" s="856" t="s">
        <v>480</v>
      </c>
      <c r="B102" s="850" t="s">
        <v>806</v>
      </c>
      <c r="C102" s="1105"/>
      <c r="D102" s="1105"/>
      <c r="E102" s="1105"/>
      <c r="F102" s="1100">
        <v>0.05</v>
      </c>
    </row>
    <row r="103" spans="1:6" ht="24.75" thickBot="1">
      <c r="A103" s="856" t="s">
        <v>480</v>
      </c>
      <c r="B103" s="850" t="s">
        <v>807</v>
      </c>
      <c r="C103" s="1105"/>
      <c r="D103" s="1105"/>
      <c r="E103" s="1105"/>
      <c r="F103" s="1100">
        <v>0.05</v>
      </c>
    </row>
    <row r="104" spans="1:6" ht="14.25" thickBot="1">
      <c r="A104" s="856" t="s">
        <v>480</v>
      </c>
      <c r="B104" s="850" t="s">
        <v>808</v>
      </c>
      <c r="C104" s="1105"/>
      <c r="D104" s="1105"/>
      <c r="E104" s="1105"/>
      <c r="F104" s="1100">
        <v>0.05</v>
      </c>
    </row>
    <row r="105" spans="1:6" ht="14.25" thickBot="1">
      <c r="A105" s="856" t="s">
        <v>480</v>
      </c>
      <c r="B105" s="850" t="s">
        <v>809</v>
      </c>
      <c r="C105" s="1105"/>
      <c r="D105" s="1105"/>
      <c r="E105" s="1105"/>
      <c r="F105" s="1100">
        <v>0.05</v>
      </c>
    </row>
    <row r="106" spans="1:6" ht="14.25" thickBot="1">
      <c r="A106" s="856" t="s">
        <v>480</v>
      </c>
      <c r="B106" s="850" t="s">
        <v>810</v>
      </c>
      <c r="C106" s="1105"/>
      <c r="D106" s="1105"/>
      <c r="E106" s="1105"/>
      <c r="F106" s="1100">
        <v>0.05</v>
      </c>
    </row>
    <row r="107" spans="1:6" ht="24.75" thickBot="1">
      <c r="A107" s="856" t="s">
        <v>480</v>
      </c>
      <c r="B107" s="850" t="s">
        <v>811</v>
      </c>
      <c r="C107" s="1105"/>
      <c r="D107" s="1105"/>
      <c r="E107" s="1105"/>
      <c r="F107" s="1100">
        <v>0.05</v>
      </c>
    </row>
    <row r="108" spans="1:6" ht="24.75" thickBot="1">
      <c r="A108" s="856" t="s">
        <v>480</v>
      </c>
      <c r="B108" s="850" t="s">
        <v>812</v>
      </c>
      <c r="C108" s="1105"/>
      <c r="D108" s="1105"/>
      <c r="E108" s="1105"/>
      <c r="F108" s="1100">
        <v>0.05</v>
      </c>
    </row>
    <row r="109" spans="1:6" ht="24.75" thickBot="1">
      <c r="A109" s="873" t="s">
        <v>480</v>
      </c>
      <c r="B109" s="866" t="s">
        <v>813</v>
      </c>
      <c r="C109" s="1102"/>
      <c r="D109" s="1102"/>
      <c r="E109" s="1102"/>
      <c r="F109" s="1106">
        <v>0.05</v>
      </c>
    </row>
    <row r="110" spans="1:6" ht="14.25" thickBot="1">
      <c r="A110" s="856" t="s">
        <v>70</v>
      </c>
      <c r="B110" s="857" t="s">
        <v>814</v>
      </c>
      <c r="C110" s="1097">
        <v>0.129</v>
      </c>
      <c r="D110" s="1097">
        <v>0.129</v>
      </c>
      <c r="E110" s="1097">
        <v>0.126</v>
      </c>
      <c r="F110" s="1098">
        <v>0.13</v>
      </c>
    </row>
    <row r="111" spans="1:6" ht="14.25" thickBot="1">
      <c r="A111" s="856" t="s">
        <v>70</v>
      </c>
      <c r="B111" s="850" t="s">
        <v>141</v>
      </c>
      <c r="C111" s="1099">
        <v>0.11</v>
      </c>
      <c r="D111" s="1099">
        <v>0.11</v>
      </c>
      <c r="E111" s="1099">
        <v>9.9000000000000005E-2</v>
      </c>
      <c r="F111" s="1100">
        <v>0.128</v>
      </c>
    </row>
    <row r="112" spans="1:6" ht="14.25" thickBot="1">
      <c r="A112" s="856" t="s">
        <v>70</v>
      </c>
      <c r="B112" s="850" t="s">
        <v>154</v>
      </c>
      <c r="C112" s="1099">
        <v>0.125</v>
      </c>
      <c r="D112" s="1099">
        <v>0.125</v>
      </c>
      <c r="E112" s="1099">
        <v>0.12</v>
      </c>
      <c r="F112" s="1100">
        <v>0.125</v>
      </c>
    </row>
    <row r="113" spans="1:6" ht="14.25" thickBot="1">
      <c r="A113" s="856" t="s">
        <v>70</v>
      </c>
      <c r="B113" s="850" t="s">
        <v>167</v>
      </c>
      <c r="C113" s="1099">
        <v>0.13</v>
      </c>
      <c r="D113" s="1099">
        <v>0.13</v>
      </c>
      <c r="E113" s="1099">
        <v>0.13</v>
      </c>
      <c r="F113" s="1100">
        <v>0.13</v>
      </c>
    </row>
    <row r="114" spans="1:6" ht="14.25" thickBot="1">
      <c r="A114" s="856" t="s">
        <v>70</v>
      </c>
      <c r="B114" s="850" t="s">
        <v>179</v>
      </c>
      <c r="C114" s="1099">
        <v>0.123</v>
      </c>
      <c r="D114" s="1099">
        <v>0.123</v>
      </c>
      <c r="E114" s="1099">
        <v>0.12</v>
      </c>
      <c r="F114" s="1100">
        <v>0.13</v>
      </c>
    </row>
    <row r="115" spans="1:6" ht="14.25" thickBot="1">
      <c r="A115" s="856" t="s">
        <v>70</v>
      </c>
      <c r="B115" s="850" t="s">
        <v>191</v>
      </c>
      <c r="C115" s="1099">
        <v>0.125</v>
      </c>
      <c r="D115" s="1099">
        <v>0.125</v>
      </c>
      <c r="E115" s="1099">
        <v>0.11700000000000001</v>
      </c>
      <c r="F115" s="1100">
        <v>0.13</v>
      </c>
    </row>
    <row r="116" spans="1:6" ht="14.25" thickBot="1">
      <c r="A116" s="856" t="s">
        <v>70</v>
      </c>
      <c r="B116" s="850" t="s">
        <v>203</v>
      </c>
      <c r="C116" s="1099">
        <v>0.11700000000000001</v>
      </c>
      <c r="D116" s="1099">
        <v>0.11700000000000001</v>
      </c>
      <c r="E116" s="1099">
        <v>8.7999999999999995E-2</v>
      </c>
      <c r="F116" s="1100">
        <v>0.13</v>
      </c>
    </row>
    <row r="117" spans="1:6" ht="14.25" thickBot="1">
      <c r="A117" s="856" t="s">
        <v>70</v>
      </c>
      <c r="B117" s="850" t="s">
        <v>215</v>
      </c>
      <c r="C117" s="1099">
        <v>0.13</v>
      </c>
      <c r="D117" s="1099">
        <v>0.13</v>
      </c>
      <c r="E117" s="1099">
        <v>0.129</v>
      </c>
      <c r="F117" s="1100">
        <v>0.13</v>
      </c>
    </row>
    <row r="118" spans="1:6" ht="14.25" thickBot="1">
      <c r="A118" s="856" t="s">
        <v>70</v>
      </c>
      <c r="B118" s="850" t="s">
        <v>228</v>
      </c>
      <c r="C118" s="1099">
        <v>0.123</v>
      </c>
      <c r="D118" s="1099">
        <v>0.123</v>
      </c>
      <c r="E118" s="1099">
        <v>0.11600000000000001</v>
      </c>
      <c r="F118" s="1100">
        <v>0.13</v>
      </c>
    </row>
    <row r="119" spans="1:6" ht="14.25" thickBot="1">
      <c r="A119" s="856" t="s">
        <v>70</v>
      </c>
      <c r="B119" s="850" t="s">
        <v>239</v>
      </c>
      <c r="C119" s="1099">
        <v>0.127</v>
      </c>
      <c r="D119" s="1099">
        <v>0.127</v>
      </c>
      <c r="E119" s="1099">
        <v>0.124</v>
      </c>
      <c r="F119" s="1100">
        <v>0.13</v>
      </c>
    </row>
    <row r="120" spans="1:6" ht="14.25" thickBot="1">
      <c r="A120" s="856" t="s">
        <v>70</v>
      </c>
      <c r="B120" s="850" t="s">
        <v>250</v>
      </c>
      <c r="C120" s="1099">
        <v>0.125</v>
      </c>
      <c r="D120" s="1099">
        <v>0.125</v>
      </c>
      <c r="E120" s="1099">
        <v>0.122</v>
      </c>
      <c r="F120" s="1100">
        <v>0.13</v>
      </c>
    </row>
    <row r="121" spans="1:6" ht="14.25" thickBot="1">
      <c r="A121" s="856" t="s">
        <v>70</v>
      </c>
      <c r="B121" s="850" t="s">
        <v>261</v>
      </c>
      <c r="C121" s="1099">
        <v>0.13</v>
      </c>
      <c r="D121" s="1099">
        <v>0.13</v>
      </c>
      <c r="E121" s="1099">
        <v>0.13</v>
      </c>
      <c r="F121" s="1100">
        <v>0.13</v>
      </c>
    </row>
    <row r="122" spans="1:6" ht="14.25" thickBot="1">
      <c r="A122" s="856" t="s">
        <v>70</v>
      </c>
      <c r="B122" s="850" t="s">
        <v>272</v>
      </c>
      <c r="C122" s="1099">
        <v>0.13</v>
      </c>
      <c r="D122" s="1099">
        <v>0.13</v>
      </c>
      <c r="E122" s="1099">
        <v>0.125</v>
      </c>
      <c r="F122" s="1100">
        <v>0.13</v>
      </c>
    </row>
    <row r="123" spans="1:6" ht="14.25" thickBot="1">
      <c r="A123" s="856" t="s">
        <v>70</v>
      </c>
      <c r="B123" s="850" t="s">
        <v>283</v>
      </c>
      <c r="C123" s="1099">
        <v>0.129</v>
      </c>
      <c r="D123" s="1099">
        <v>0.129</v>
      </c>
      <c r="E123" s="1099">
        <v>0.123</v>
      </c>
      <c r="F123" s="1100">
        <v>0.13</v>
      </c>
    </row>
    <row r="124" spans="1:6" ht="14.25" thickBot="1">
      <c r="A124" s="856" t="s">
        <v>70</v>
      </c>
      <c r="B124" s="850" t="s">
        <v>294</v>
      </c>
      <c r="C124" s="1099">
        <v>0.10199999999999999</v>
      </c>
      <c r="D124" s="1099">
        <v>0.10100000000000001</v>
      </c>
      <c r="E124" s="1099">
        <v>0.08</v>
      </c>
      <c r="F124" s="1104"/>
    </row>
    <row r="125" spans="1:6" ht="14.25" thickBot="1">
      <c r="A125" s="856" t="s">
        <v>70</v>
      </c>
      <c r="B125" s="850" t="s">
        <v>304</v>
      </c>
      <c r="C125" s="1099">
        <v>0.13</v>
      </c>
      <c r="D125" s="1099">
        <v>0.13</v>
      </c>
      <c r="E125" s="1099">
        <v>0.129</v>
      </c>
      <c r="F125" s="1104"/>
    </row>
    <row r="126" spans="1:6" ht="14.25" thickBot="1">
      <c r="A126" s="856" t="s">
        <v>70</v>
      </c>
      <c r="B126" s="850" t="s">
        <v>314</v>
      </c>
      <c r="C126" s="1099">
        <v>0.13</v>
      </c>
      <c r="D126" s="1099">
        <v>0.13</v>
      </c>
      <c r="E126" s="1099">
        <v>0.126</v>
      </c>
      <c r="F126" s="1104"/>
    </row>
    <row r="127" spans="1:6" ht="14.25" thickBot="1">
      <c r="A127" s="856" t="s">
        <v>70</v>
      </c>
      <c r="B127" s="850" t="s">
        <v>324</v>
      </c>
      <c r="C127" s="1099">
        <v>0.125</v>
      </c>
      <c r="D127" s="1099">
        <v>0.125</v>
      </c>
      <c r="E127" s="1099">
        <v>0.121</v>
      </c>
      <c r="F127" s="1104"/>
    </row>
    <row r="128" spans="1:6" ht="14.25" thickBot="1">
      <c r="A128" s="856" t="s">
        <v>70</v>
      </c>
      <c r="B128" s="850" t="s">
        <v>334</v>
      </c>
      <c r="C128" s="1099">
        <v>0.12</v>
      </c>
      <c r="D128" s="1099">
        <v>0.12</v>
      </c>
      <c r="E128" s="1099">
        <v>0.105</v>
      </c>
      <c r="F128" s="1104"/>
    </row>
    <row r="129" spans="1:6" ht="14.25" thickBot="1">
      <c r="A129" s="856" t="s">
        <v>70</v>
      </c>
      <c r="B129" s="850" t="s">
        <v>343</v>
      </c>
      <c r="C129" s="1099">
        <v>0.13</v>
      </c>
      <c r="D129" s="1099">
        <v>0.13</v>
      </c>
      <c r="E129" s="1099">
        <v>0.126</v>
      </c>
      <c r="F129" s="1104"/>
    </row>
    <row r="130" spans="1:6" ht="14.25" thickBot="1">
      <c r="A130" s="856" t="s">
        <v>70</v>
      </c>
      <c r="B130" s="850" t="s">
        <v>352</v>
      </c>
      <c r="C130" s="1099">
        <v>0.125</v>
      </c>
      <c r="D130" s="1099">
        <v>0.125</v>
      </c>
      <c r="E130" s="1099">
        <v>0.122</v>
      </c>
      <c r="F130" s="1104"/>
    </row>
    <row r="131" spans="1:6" ht="14.25" thickBot="1">
      <c r="A131" s="856" t="s">
        <v>70</v>
      </c>
      <c r="B131" s="850" t="s">
        <v>360</v>
      </c>
      <c r="C131" s="1099">
        <v>0.127</v>
      </c>
      <c r="D131" s="1099">
        <v>0.126</v>
      </c>
      <c r="E131" s="1099">
        <v>0.123</v>
      </c>
      <c r="F131" s="1104"/>
    </row>
    <row r="132" spans="1:6" ht="14.25" thickBot="1">
      <c r="A132" s="856" t="s">
        <v>70</v>
      </c>
      <c r="B132" s="850" t="s">
        <v>367</v>
      </c>
      <c r="C132" s="1099">
        <v>9.0999999999999998E-2</v>
      </c>
      <c r="D132" s="1099">
        <v>0.121</v>
      </c>
      <c r="E132" s="1099">
        <v>9.9000000000000005E-2</v>
      </c>
      <c r="F132" s="1104"/>
    </row>
    <row r="133" spans="1:6" ht="14.25" thickBot="1">
      <c r="A133" s="856" t="s">
        <v>70</v>
      </c>
      <c r="B133" s="850" t="s">
        <v>374</v>
      </c>
      <c r="C133" s="1099">
        <v>0.13</v>
      </c>
      <c r="D133" s="1099">
        <v>0.13</v>
      </c>
      <c r="E133" s="1099">
        <v>0.129</v>
      </c>
      <c r="F133" s="1104"/>
    </row>
    <row r="134" spans="1:6" ht="14.25" thickBot="1">
      <c r="A134" s="856" t="s">
        <v>70</v>
      </c>
      <c r="B134" s="850" t="s">
        <v>815</v>
      </c>
      <c r="C134" s="1099">
        <v>6.8000000000000005E-2</v>
      </c>
      <c r="D134" s="1099">
        <v>6.5000000000000002E-2</v>
      </c>
      <c r="E134" s="1099">
        <v>6.5000000000000002E-2</v>
      </c>
      <c r="F134" s="1100">
        <v>0.13</v>
      </c>
    </row>
    <row r="135" spans="1:6" ht="14.25" thickBot="1">
      <c r="A135" s="856" t="s">
        <v>70</v>
      </c>
      <c r="B135" s="850" t="s">
        <v>388</v>
      </c>
      <c r="C135" s="1099">
        <v>0.123</v>
      </c>
      <c r="D135" s="1099">
        <v>0.123</v>
      </c>
      <c r="E135" s="1099">
        <v>0.11</v>
      </c>
      <c r="F135" s="1104"/>
    </row>
    <row r="136" spans="1:6" ht="14.25" thickBot="1">
      <c r="A136" s="856" t="s">
        <v>70</v>
      </c>
      <c r="B136" s="850" t="s">
        <v>395</v>
      </c>
      <c r="C136" s="1099">
        <v>0.13</v>
      </c>
      <c r="D136" s="1099">
        <v>0.13</v>
      </c>
      <c r="E136" s="1099">
        <v>0.125</v>
      </c>
      <c r="F136" s="1104"/>
    </row>
    <row r="137" spans="1:6" ht="14.25" thickBot="1">
      <c r="A137" s="856" t="s">
        <v>70</v>
      </c>
      <c r="B137" s="850" t="s">
        <v>402</v>
      </c>
      <c r="C137" s="1099">
        <v>0.121</v>
      </c>
      <c r="D137" s="1099">
        <v>0.122</v>
      </c>
      <c r="E137" s="1099">
        <v>0.115</v>
      </c>
      <c r="F137" s="1104"/>
    </row>
    <row r="138" spans="1:6" ht="14.25" thickBot="1">
      <c r="A138" s="856" t="s">
        <v>70</v>
      </c>
      <c r="B138" s="850" t="s">
        <v>816</v>
      </c>
      <c r="C138" s="1099">
        <v>0.105</v>
      </c>
      <c r="D138" s="1099">
        <v>0.125</v>
      </c>
      <c r="E138" s="1099">
        <v>0.112</v>
      </c>
      <c r="F138" s="1104"/>
    </row>
    <row r="139" spans="1:6" ht="14.25" thickBot="1">
      <c r="A139" s="856" t="s">
        <v>70</v>
      </c>
      <c r="B139" s="850" t="s">
        <v>817</v>
      </c>
      <c r="C139" s="1099">
        <v>0.127</v>
      </c>
      <c r="D139" s="1099">
        <v>0.127</v>
      </c>
      <c r="E139" s="1099">
        <v>0.122</v>
      </c>
      <c r="F139" s="1100">
        <v>0.13</v>
      </c>
    </row>
    <row r="140" spans="1:6" ht="14.25" thickBot="1">
      <c r="A140" s="856" t="s">
        <v>70</v>
      </c>
      <c r="B140" s="850" t="s">
        <v>818</v>
      </c>
      <c r="C140" s="1099">
        <v>0.125</v>
      </c>
      <c r="D140" s="1099">
        <v>0.125</v>
      </c>
      <c r="E140" s="1099">
        <v>0.11899999999999999</v>
      </c>
      <c r="F140" s="1100">
        <v>0.13</v>
      </c>
    </row>
    <row r="141" spans="1:6" ht="14.25" thickBot="1">
      <c r="A141" s="856" t="s">
        <v>70</v>
      </c>
      <c r="B141" s="850" t="s">
        <v>421</v>
      </c>
      <c r="C141" s="1099">
        <v>0.125</v>
      </c>
      <c r="D141" s="1099">
        <v>0.125</v>
      </c>
      <c r="E141" s="1099">
        <v>0.11700000000000001</v>
      </c>
      <c r="F141" s="1104"/>
    </row>
    <row r="142" spans="1:6" ht="14.25" thickBot="1">
      <c r="A142" s="856" t="s">
        <v>70</v>
      </c>
      <c r="B142" s="850" t="s">
        <v>426</v>
      </c>
      <c r="C142" s="1099">
        <v>0.125</v>
      </c>
      <c r="D142" s="1099">
        <v>0.125</v>
      </c>
      <c r="E142" s="1099">
        <v>0.115</v>
      </c>
      <c r="F142" s="1104"/>
    </row>
    <row r="143" spans="1:6" ht="14.25" thickBot="1">
      <c r="A143" s="856" t="s">
        <v>70</v>
      </c>
      <c r="B143" s="850" t="s">
        <v>431</v>
      </c>
      <c r="C143" s="1099">
        <v>0.121</v>
      </c>
      <c r="D143" s="1099">
        <v>0.121</v>
      </c>
      <c r="E143" s="1099">
        <v>0.108</v>
      </c>
      <c r="F143" s="1104"/>
    </row>
    <row r="144" spans="1:6" ht="14.25" thickBot="1">
      <c r="A144" s="856" t="s">
        <v>70</v>
      </c>
      <c r="B144" s="1107" t="s">
        <v>819</v>
      </c>
      <c r="C144" s="1108">
        <v>0.126</v>
      </c>
      <c r="D144" s="1108">
        <v>0.126</v>
      </c>
      <c r="E144" s="1108">
        <v>0.121</v>
      </c>
      <c r="F144" s="1104"/>
    </row>
    <row r="145" spans="1:6" ht="14.25" thickBot="1">
      <c r="A145" s="873" t="s">
        <v>70</v>
      </c>
      <c r="B145" s="1109" t="s">
        <v>820</v>
      </c>
      <c r="C145" s="1110"/>
      <c r="D145" s="1110"/>
      <c r="E145" s="1110"/>
      <c r="F145" s="1111">
        <v>0.05</v>
      </c>
    </row>
    <row r="146" spans="1:6" ht="24.75" thickBot="1">
      <c r="A146" s="1112" t="s">
        <v>70</v>
      </c>
      <c r="B146" s="864" t="s">
        <v>821</v>
      </c>
      <c r="C146" s="1105"/>
      <c r="D146" s="1105"/>
      <c r="E146" s="1105"/>
      <c r="F146" s="1113">
        <v>0.05</v>
      </c>
    </row>
    <row r="147" spans="1:6" ht="24.75" thickBot="1">
      <c r="A147" s="856" t="s">
        <v>70</v>
      </c>
      <c r="B147" s="850" t="s">
        <v>822</v>
      </c>
      <c r="C147" s="1105"/>
      <c r="D147" s="1105"/>
      <c r="E147" s="1105"/>
      <c r="F147" s="1100">
        <v>0.05</v>
      </c>
    </row>
    <row r="148" spans="1:6" ht="24.75" thickBot="1">
      <c r="A148" s="856" t="s">
        <v>70</v>
      </c>
      <c r="B148" s="850" t="s">
        <v>823</v>
      </c>
      <c r="C148" s="1105"/>
      <c r="D148" s="1105"/>
      <c r="E148" s="1105"/>
      <c r="F148" s="1100">
        <v>0.05</v>
      </c>
    </row>
    <row r="149" spans="1:6" ht="24.75" thickBot="1">
      <c r="A149" s="856" t="s">
        <v>70</v>
      </c>
      <c r="B149" s="850" t="s">
        <v>824</v>
      </c>
      <c r="C149" s="1105"/>
      <c r="D149" s="1105"/>
      <c r="E149" s="1105"/>
      <c r="F149" s="1100">
        <v>0.05</v>
      </c>
    </row>
    <row r="150" spans="1:6" ht="24.75" thickBot="1">
      <c r="A150" s="856" t="s">
        <v>70</v>
      </c>
      <c r="B150" s="850" t="s">
        <v>825</v>
      </c>
      <c r="C150" s="1105"/>
      <c r="D150" s="1105"/>
      <c r="E150" s="1105"/>
      <c r="F150" s="1100">
        <v>0.05</v>
      </c>
    </row>
    <row r="151" spans="1:6" ht="24.75" thickBot="1">
      <c r="A151" s="856" t="s">
        <v>70</v>
      </c>
      <c r="B151" s="850" t="s">
        <v>826</v>
      </c>
      <c r="C151" s="1105"/>
      <c r="D151" s="1105"/>
      <c r="E151" s="1105"/>
      <c r="F151" s="1100">
        <v>0.05</v>
      </c>
    </row>
    <row r="152" spans="1:6" ht="24.75" thickBot="1">
      <c r="A152" s="856" t="s">
        <v>70</v>
      </c>
      <c r="B152" s="850" t="s">
        <v>464</v>
      </c>
      <c r="C152" s="1105"/>
      <c r="D152" s="1105"/>
      <c r="E152" s="1105"/>
      <c r="F152" s="1100">
        <v>0.05</v>
      </c>
    </row>
    <row r="153" spans="1:6" ht="14.25" thickBot="1">
      <c r="A153" s="856" t="s">
        <v>70</v>
      </c>
      <c r="B153" s="850" t="s">
        <v>827</v>
      </c>
      <c r="C153" s="1105"/>
      <c r="D153" s="1105"/>
      <c r="E153" s="1105"/>
      <c r="F153" s="1100">
        <v>0.05</v>
      </c>
    </row>
    <row r="154" spans="1:6" ht="14.25" thickBot="1">
      <c r="A154" s="856" t="s">
        <v>70</v>
      </c>
      <c r="B154" s="850" t="s">
        <v>828</v>
      </c>
      <c r="C154" s="1105"/>
      <c r="D154" s="1105"/>
      <c r="E154" s="1105"/>
      <c r="F154" s="1100">
        <v>0.05</v>
      </c>
    </row>
    <row r="155" spans="1:6" ht="24.75" thickBot="1">
      <c r="A155" s="856" t="s">
        <v>70</v>
      </c>
      <c r="B155" s="850" t="s">
        <v>829</v>
      </c>
      <c r="C155" s="1105"/>
      <c r="D155" s="1105"/>
      <c r="E155" s="1105"/>
      <c r="F155" s="1100">
        <v>0.05</v>
      </c>
    </row>
    <row r="156" spans="1:6" ht="24.75" thickBot="1">
      <c r="A156" s="856" t="s">
        <v>70</v>
      </c>
      <c r="B156" s="850" t="s">
        <v>830</v>
      </c>
      <c r="C156" s="1105"/>
      <c r="D156" s="1105"/>
      <c r="E156" s="1105"/>
      <c r="F156" s="1100">
        <v>0.05</v>
      </c>
    </row>
    <row r="157" spans="1:6" ht="14.25" thickBot="1">
      <c r="A157" s="873" t="s">
        <v>70</v>
      </c>
      <c r="B157" s="866" t="s">
        <v>831</v>
      </c>
      <c r="C157" s="1102"/>
      <c r="D157" s="1102"/>
      <c r="E157" s="1102"/>
      <c r="F157" s="1106">
        <v>0.05</v>
      </c>
    </row>
    <row r="158" spans="1:6" ht="14.25" thickBot="1">
      <c r="A158" s="856" t="s">
        <v>483</v>
      </c>
      <c r="B158" s="857" t="s">
        <v>832</v>
      </c>
      <c r="C158" s="1097">
        <v>0.13</v>
      </c>
      <c r="D158" s="1097">
        <v>0.13</v>
      </c>
      <c r="E158" s="1097">
        <v>0.13</v>
      </c>
      <c r="F158" s="1098">
        <v>0.13</v>
      </c>
    </row>
    <row r="159" spans="1:6" ht="14.25" thickBot="1">
      <c r="A159" s="856" t="s">
        <v>483</v>
      </c>
      <c r="B159" s="850" t="s">
        <v>142</v>
      </c>
      <c r="C159" s="1099">
        <v>0.13</v>
      </c>
      <c r="D159" s="1099">
        <v>0.13</v>
      </c>
      <c r="E159" s="1099">
        <v>0.13</v>
      </c>
      <c r="F159" s="1100">
        <v>0.13</v>
      </c>
    </row>
    <row r="160" spans="1:6" ht="14.25" thickBot="1">
      <c r="A160" s="856" t="s">
        <v>483</v>
      </c>
      <c r="B160" s="850" t="s">
        <v>155</v>
      </c>
      <c r="C160" s="1099">
        <v>0.13</v>
      </c>
      <c r="D160" s="1099">
        <v>0.13</v>
      </c>
      <c r="E160" s="1099">
        <v>0.129</v>
      </c>
      <c r="F160" s="1100">
        <v>0.13</v>
      </c>
    </row>
    <row r="161" spans="1:6" ht="14.25" thickBot="1">
      <c r="A161" s="856" t="s">
        <v>483</v>
      </c>
      <c r="B161" s="850" t="s">
        <v>168</v>
      </c>
      <c r="C161" s="1099">
        <v>0.128</v>
      </c>
      <c r="D161" s="1099">
        <v>0.128</v>
      </c>
      <c r="E161" s="1099">
        <v>0.125</v>
      </c>
      <c r="F161" s="1100">
        <v>0.13</v>
      </c>
    </row>
    <row r="162" spans="1:6" ht="14.25" thickBot="1">
      <c r="A162" s="856" t="s">
        <v>483</v>
      </c>
      <c r="B162" s="850" t="s">
        <v>180</v>
      </c>
      <c r="C162" s="1099">
        <v>0.122</v>
      </c>
      <c r="D162" s="1099">
        <v>0.122</v>
      </c>
      <c r="E162" s="1099">
        <v>0.126</v>
      </c>
      <c r="F162" s="1100">
        <v>0.122</v>
      </c>
    </row>
    <row r="163" spans="1:6" ht="14.25" thickBot="1">
      <c r="A163" s="856" t="s">
        <v>483</v>
      </c>
      <c r="B163" s="850" t="s">
        <v>192</v>
      </c>
      <c r="C163" s="1099">
        <v>0.13</v>
      </c>
      <c r="D163" s="1099">
        <v>0.13</v>
      </c>
      <c r="E163" s="1099">
        <v>0.125</v>
      </c>
      <c r="F163" s="1100">
        <v>0.13</v>
      </c>
    </row>
    <row r="164" spans="1:6" ht="14.25" thickBot="1">
      <c r="A164" s="856" t="s">
        <v>483</v>
      </c>
      <c r="B164" s="850" t="s">
        <v>204</v>
      </c>
      <c r="C164" s="1099">
        <v>0.13</v>
      </c>
      <c r="D164" s="1099">
        <v>0.13</v>
      </c>
      <c r="E164" s="1099">
        <v>0.13</v>
      </c>
      <c r="F164" s="1100">
        <v>0.13</v>
      </c>
    </row>
    <row r="165" spans="1:6" ht="14.25" thickBot="1">
      <c r="A165" s="856" t="s">
        <v>483</v>
      </c>
      <c r="B165" s="850" t="s">
        <v>216</v>
      </c>
      <c r="C165" s="1099">
        <v>0.13</v>
      </c>
      <c r="D165" s="1099">
        <v>0.13</v>
      </c>
      <c r="E165" s="1099">
        <v>0.124</v>
      </c>
      <c r="F165" s="1100">
        <v>0.13</v>
      </c>
    </row>
    <row r="166" spans="1:6" ht="14.25" thickBot="1">
      <c r="A166" s="856" t="s">
        <v>483</v>
      </c>
      <c r="B166" s="850" t="s">
        <v>229</v>
      </c>
      <c r="C166" s="1099">
        <v>0.13</v>
      </c>
      <c r="D166" s="1099">
        <v>0.13</v>
      </c>
      <c r="E166" s="1099">
        <v>0.13</v>
      </c>
      <c r="F166" s="1100">
        <v>0.13</v>
      </c>
    </row>
    <row r="167" spans="1:6" ht="14.25" thickBot="1">
      <c r="A167" s="856" t="s">
        <v>483</v>
      </c>
      <c r="B167" s="850" t="s">
        <v>240</v>
      </c>
      <c r="C167" s="1099">
        <v>0.125</v>
      </c>
      <c r="D167" s="1099">
        <v>0.125</v>
      </c>
      <c r="E167" s="1099">
        <v>0.121</v>
      </c>
      <c r="F167" s="1104"/>
    </row>
    <row r="168" spans="1:6" ht="14.25" thickBot="1">
      <c r="A168" s="856" t="s">
        <v>483</v>
      </c>
      <c r="B168" s="850" t="s">
        <v>251</v>
      </c>
      <c r="C168" s="1099">
        <v>0.13</v>
      </c>
      <c r="D168" s="1099">
        <v>0.13</v>
      </c>
      <c r="E168" s="1099">
        <v>0.126</v>
      </c>
      <c r="F168" s="1104"/>
    </row>
    <row r="169" spans="1:6" ht="14.25" thickBot="1">
      <c r="A169" s="856" t="s">
        <v>483</v>
      </c>
      <c r="B169" s="850" t="s">
        <v>262</v>
      </c>
      <c r="C169" s="1099">
        <v>0.128</v>
      </c>
      <c r="D169" s="1099">
        <v>0.129</v>
      </c>
      <c r="E169" s="1099">
        <v>0.13</v>
      </c>
      <c r="F169" s="1104"/>
    </row>
    <row r="170" spans="1:6" ht="14.25" thickBot="1">
      <c r="A170" s="856" t="s">
        <v>483</v>
      </c>
      <c r="B170" s="850" t="s">
        <v>273</v>
      </c>
      <c r="C170" s="1099">
        <v>0.14099999999999999</v>
      </c>
      <c r="D170" s="1099">
        <v>0.13</v>
      </c>
      <c r="E170" s="1099">
        <v>0.125</v>
      </c>
      <c r="F170" s="1104"/>
    </row>
    <row r="171" spans="1:6" ht="14.25" thickBot="1">
      <c r="A171" s="856" t="s">
        <v>483</v>
      </c>
      <c r="B171" s="850" t="s">
        <v>833</v>
      </c>
      <c r="C171" s="1099">
        <v>0.127</v>
      </c>
      <c r="D171" s="1099">
        <v>0.126</v>
      </c>
      <c r="E171" s="1099">
        <v>0.126</v>
      </c>
      <c r="F171" s="1100">
        <v>0.11799999999999999</v>
      </c>
    </row>
    <row r="172" spans="1:6" ht="14.25" thickBot="1">
      <c r="A172" s="856" t="s">
        <v>483</v>
      </c>
      <c r="B172" s="850" t="s">
        <v>834</v>
      </c>
      <c r="C172" s="1099">
        <v>0.13</v>
      </c>
      <c r="D172" s="1099">
        <v>0.13</v>
      </c>
      <c r="E172" s="1099">
        <v>0.13</v>
      </c>
      <c r="F172" s="1104"/>
    </row>
    <row r="173" spans="1:6" ht="14.25" thickBot="1">
      <c r="A173" s="856" t="s">
        <v>483</v>
      </c>
      <c r="B173" s="850" t="s">
        <v>305</v>
      </c>
      <c r="C173" s="1099">
        <v>0.13</v>
      </c>
      <c r="D173" s="1099">
        <v>0.13</v>
      </c>
      <c r="E173" s="1099">
        <v>0.13</v>
      </c>
      <c r="F173" s="1104"/>
    </row>
    <row r="174" spans="1:6" ht="14.25" thickBot="1">
      <c r="A174" s="856" t="s">
        <v>483</v>
      </c>
      <c r="B174" s="850" t="s">
        <v>835</v>
      </c>
      <c r="C174" s="1099">
        <v>0.13</v>
      </c>
      <c r="D174" s="1099">
        <v>0.13</v>
      </c>
      <c r="E174" s="1099">
        <v>0.13</v>
      </c>
      <c r="F174" s="1100">
        <v>0.13</v>
      </c>
    </row>
    <row r="175" spans="1:6" ht="14.25" thickBot="1">
      <c r="A175" s="856" t="s">
        <v>483</v>
      </c>
      <c r="B175" s="850" t="s">
        <v>836</v>
      </c>
      <c r="C175" s="1099">
        <v>0.13</v>
      </c>
      <c r="D175" s="1099">
        <v>0.13</v>
      </c>
      <c r="E175" s="1099">
        <v>0.13</v>
      </c>
      <c r="F175" s="1100">
        <v>0.13</v>
      </c>
    </row>
    <row r="176" spans="1:6" ht="14.25" thickBot="1">
      <c r="A176" s="856" t="s">
        <v>483</v>
      </c>
      <c r="B176" s="850" t="s">
        <v>335</v>
      </c>
      <c r="C176" s="1099">
        <v>0.13</v>
      </c>
      <c r="D176" s="1099">
        <v>0.13</v>
      </c>
      <c r="E176" s="1099">
        <v>0.13</v>
      </c>
      <c r="F176" s="1100">
        <v>0.13</v>
      </c>
    </row>
    <row r="177" spans="1:6" ht="14.25" thickBot="1">
      <c r="A177" s="856" t="s">
        <v>483</v>
      </c>
      <c r="B177" s="850" t="s">
        <v>837</v>
      </c>
      <c r="C177" s="1099">
        <v>0.13</v>
      </c>
      <c r="D177" s="1099">
        <v>0.13</v>
      </c>
      <c r="E177" s="1099">
        <v>0.13</v>
      </c>
      <c r="F177" s="1100">
        <v>0.13</v>
      </c>
    </row>
    <row r="178" spans="1:6" ht="14.25" thickBot="1">
      <c r="A178" s="856" t="s">
        <v>483</v>
      </c>
      <c r="B178" s="850" t="s">
        <v>353</v>
      </c>
      <c r="C178" s="1099">
        <v>0.13</v>
      </c>
      <c r="D178" s="1099">
        <v>0.13</v>
      </c>
      <c r="E178" s="1099">
        <v>0.13</v>
      </c>
      <c r="F178" s="1100">
        <v>0.127</v>
      </c>
    </row>
    <row r="179" spans="1:6" ht="14.25" thickBot="1">
      <c r="A179" s="856" t="s">
        <v>483</v>
      </c>
      <c r="B179" s="850" t="s">
        <v>361</v>
      </c>
      <c r="C179" s="1099">
        <v>0.13</v>
      </c>
      <c r="D179" s="1099">
        <v>0.13</v>
      </c>
      <c r="E179" s="1099">
        <v>0.13</v>
      </c>
      <c r="F179" s="1104"/>
    </row>
    <row r="180" spans="1:6" ht="14.25" thickBot="1">
      <c r="A180" s="856" t="s">
        <v>483</v>
      </c>
      <c r="B180" s="850" t="s">
        <v>838</v>
      </c>
      <c r="C180" s="1099">
        <v>0.13</v>
      </c>
      <c r="D180" s="1099">
        <v>0.13</v>
      </c>
      <c r="E180" s="1099">
        <v>0.125</v>
      </c>
      <c r="F180" s="1100">
        <v>0.13</v>
      </c>
    </row>
    <row r="181" spans="1:6" ht="14.25" thickBot="1">
      <c r="A181" s="856" t="s">
        <v>483</v>
      </c>
      <c r="B181" s="850" t="s">
        <v>375</v>
      </c>
      <c r="C181" s="1099">
        <v>0.122</v>
      </c>
      <c r="D181" s="1099">
        <v>0.123</v>
      </c>
      <c r="E181" s="1099">
        <v>0.126</v>
      </c>
      <c r="F181" s="1100">
        <v>0.121</v>
      </c>
    </row>
    <row r="182" spans="1:6" ht="14.25" thickBot="1">
      <c r="A182" s="856" t="s">
        <v>483</v>
      </c>
      <c r="B182" s="850" t="s">
        <v>382</v>
      </c>
      <c r="C182" s="1099">
        <v>0.125</v>
      </c>
      <c r="D182" s="1099">
        <v>0.125</v>
      </c>
      <c r="E182" s="1099">
        <v>0.11700000000000001</v>
      </c>
      <c r="F182" s="1100">
        <v>0.13</v>
      </c>
    </row>
    <row r="183" spans="1:6" ht="14.25" thickBot="1">
      <c r="A183" s="856" t="s">
        <v>483</v>
      </c>
      <c r="B183" s="850" t="s">
        <v>389</v>
      </c>
      <c r="C183" s="1099">
        <v>0.127</v>
      </c>
      <c r="D183" s="1099">
        <v>0.127</v>
      </c>
      <c r="E183" s="1099">
        <v>0.128</v>
      </c>
      <c r="F183" s="1104"/>
    </row>
    <row r="184" spans="1:6" ht="14.25" thickBot="1">
      <c r="A184" s="856" t="s">
        <v>483</v>
      </c>
      <c r="B184" s="850" t="s">
        <v>396</v>
      </c>
      <c r="C184" s="1099">
        <v>0.125</v>
      </c>
      <c r="D184" s="1099">
        <v>0.125</v>
      </c>
      <c r="E184" s="1099">
        <v>0.127</v>
      </c>
      <c r="F184" s="1104"/>
    </row>
    <row r="185" spans="1:6" ht="14.25" thickBot="1">
      <c r="A185" s="856" t="s">
        <v>483</v>
      </c>
      <c r="B185" s="850" t="s">
        <v>839</v>
      </c>
      <c r="C185" s="1099">
        <v>0.127</v>
      </c>
      <c r="D185" s="1099">
        <v>0.127</v>
      </c>
      <c r="E185" s="1099">
        <v>0.128</v>
      </c>
      <c r="F185" s="1100">
        <v>0.13</v>
      </c>
    </row>
    <row r="186" spans="1:6" ht="24.75" thickBot="1">
      <c r="A186" s="856" t="s">
        <v>483</v>
      </c>
      <c r="B186" s="850" t="s">
        <v>840</v>
      </c>
      <c r="C186" s="1105"/>
      <c r="D186" s="1105"/>
      <c r="E186" s="1105"/>
      <c r="F186" s="1100">
        <v>0.05</v>
      </c>
    </row>
    <row r="187" spans="1:6" ht="14.25" thickBot="1">
      <c r="A187" s="856" t="s">
        <v>483</v>
      </c>
      <c r="B187" s="850" t="s">
        <v>841</v>
      </c>
      <c r="C187" s="1105"/>
      <c r="D187" s="1105"/>
      <c r="E187" s="1105"/>
      <c r="F187" s="1100">
        <v>0.05</v>
      </c>
    </row>
    <row r="188" spans="1:6" ht="14.25" thickBot="1">
      <c r="A188" s="856" t="s">
        <v>483</v>
      </c>
      <c r="B188" s="850" t="s">
        <v>842</v>
      </c>
      <c r="C188" s="1105"/>
      <c r="D188" s="1105"/>
      <c r="E188" s="1105"/>
      <c r="F188" s="1100">
        <v>0.05</v>
      </c>
    </row>
    <row r="189" spans="1:6" ht="24.75" thickBot="1">
      <c r="A189" s="856" t="s">
        <v>483</v>
      </c>
      <c r="B189" s="850" t="s">
        <v>843</v>
      </c>
      <c r="C189" s="1105"/>
      <c r="D189" s="1105"/>
      <c r="E189" s="1105"/>
      <c r="F189" s="1100">
        <v>0.05</v>
      </c>
    </row>
    <row r="190" spans="1:6" ht="24.75" thickBot="1">
      <c r="A190" s="856" t="s">
        <v>483</v>
      </c>
      <c r="B190" s="850" t="s">
        <v>844</v>
      </c>
      <c r="C190" s="1105"/>
      <c r="D190" s="1105"/>
      <c r="E190" s="1105"/>
      <c r="F190" s="1100">
        <v>0.05</v>
      </c>
    </row>
    <row r="191" spans="1:6" ht="24.75" thickBot="1">
      <c r="A191" s="856" t="s">
        <v>483</v>
      </c>
      <c r="B191" s="850" t="s">
        <v>845</v>
      </c>
      <c r="C191" s="1105"/>
      <c r="D191" s="1105"/>
      <c r="E191" s="1105"/>
      <c r="F191" s="1100">
        <v>0.05</v>
      </c>
    </row>
    <row r="192" spans="1:6" ht="24.75" thickBot="1">
      <c r="A192" s="856" t="s">
        <v>483</v>
      </c>
      <c r="B192" s="850" t="s">
        <v>846</v>
      </c>
      <c r="C192" s="1105"/>
      <c r="D192" s="1105"/>
      <c r="E192" s="1105"/>
      <c r="F192" s="1100">
        <v>0.05</v>
      </c>
    </row>
    <row r="193" spans="1:6" ht="24.75" thickBot="1">
      <c r="A193" s="856" t="s">
        <v>483</v>
      </c>
      <c r="B193" s="850" t="s">
        <v>847</v>
      </c>
      <c r="C193" s="1105"/>
      <c r="D193" s="1105"/>
      <c r="E193" s="1105"/>
      <c r="F193" s="1100">
        <v>0.05</v>
      </c>
    </row>
    <row r="194" spans="1:6" ht="24.75" thickBot="1">
      <c r="A194" s="856" t="s">
        <v>483</v>
      </c>
      <c r="B194" s="850" t="s">
        <v>848</v>
      </c>
      <c r="C194" s="1105"/>
      <c r="D194" s="1105"/>
      <c r="E194" s="1105"/>
      <c r="F194" s="1100">
        <v>0.05</v>
      </c>
    </row>
    <row r="195" spans="1:6" ht="14.25" thickBot="1">
      <c r="A195" s="856" t="s">
        <v>483</v>
      </c>
      <c r="B195" s="850" t="s">
        <v>849</v>
      </c>
      <c r="C195" s="1105"/>
      <c r="D195" s="1105"/>
      <c r="E195" s="1105"/>
      <c r="F195" s="1100">
        <v>0.05</v>
      </c>
    </row>
    <row r="196" spans="1:6" ht="24.75" thickBot="1">
      <c r="A196" s="856" t="s">
        <v>483</v>
      </c>
      <c r="B196" s="850" t="s">
        <v>850</v>
      </c>
      <c r="C196" s="1105"/>
      <c r="D196" s="1105"/>
      <c r="E196" s="1105"/>
      <c r="F196" s="1100">
        <v>0.05</v>
      </c>
    </row>
    <row r="197" spans="1:6" ht="24.75" thickBot="1">
      <c r="A197" s="856" t="s">
        <v>483</v>
      </c>
      <c r="B197" s="850" t="s">
        <v>851</v>
      </c>
      <c r="C197" s="1105"/>
      <c r="D197" s="1105"/>
      <c r="E197" s="1105"/>
      <c r="F197" s="1100">
        <v>0.05</v>
      </c>
    </row>
    <row r="198" spans="1:6" ht="24.75" thickBot="1">
      <c r="A198" s="856" t="s">
        <v>483</v>
      </c>
      <c r="B198" s="850" t="s">
        <v>852</v>
      </c>
      <c r="C198" s="1105"/>
      <c r="D198" s="1105"/>
      <c r="E198" s="1105"/>
      <c r="F198" s="1100">
        <v>0.05</v>
      </c>
    </row>
    <row r="199" spans="1:6" ht="24.75" thickBot="1">
      <c r="A199" s="856" t="s">
        <v>483</v>
      </c>
      <c r="B199" s="850" t="s">
        <v>853</v>
      </c>
      <c r="C199" s="1105"/>
      <c r="D199" s="1105"/>
      <c r="E199" s="1105"/>
      <c r="F199" s="1100">
        <v>0.05</v>
      </c>
    </row>
    <row r="200" spans="1:6" ht="24.75" thickBot="1">
      <c r="A200" s="856" t="s">
        <v>483</v>
      </c>
      <c r="B200" s="850" t="s">
        <v>854</v>
      </c>
      <c r="C200" s="1105"/>
      <c r="D200" s="1105"/>
      <c r="E200" s="1105"/>
      <c r="F200" s="1100">
        <v>0.05</v>
      </c>
    </row>
    <row r="201" spans="1:6" ht="24.75" thickBot="1">
      <c r="A201" s="856" t="s">
        <v>483</v>
      </c>
      <c r="B201" s="850" t="s">
        <v>855</v>
      </c>
      <c r="C201" s="1105"/>
      <c r="D201" s="1105"/>
      <c r="E201" s="1105"/>
      <c r="F201" s="1100">
        <v>0.05</v>
      </c>
    </row>
    <row r="202" spans="1:6" ht="24.75" thickBot="1">
      <c r="A202" s="856" t="s">
        <v>483</v>
      </c>
      <c r="B202" s="850" t="s">
        <v>856</v>
      </c>
      <c r="C202" s="1105"/>
      <c r="D202" s="1105"/>
      <c r="E202" s="1105"/>
      <c r="F202" s="1100">
        <v>0.05</v>
      </c>
    </row>
    <row r="203" spans="1:6" ht="24.75" thickBot="1">
      <c r="A203" s="856" t="s">
        <v>483</v>
      </c>
      <c r="B203" s="850" t="s">
        <v>857</v>
      </c>
      <c r="C203" s="1105"/>
      <c r="D203" s="1105"/>
      <c r="E203" s="1105"/>
      <c r="F203" s="1100">
        <v>0.05</v>
      </c>
    </row>
    <row r="204" spans="1:6" ht="14.25" thickBot="1">
      <c r="A204" s="856" t="s">
        <v>483</v>
      </c>
      <c r="B204" s="850" t="s">
        <v>858</v>
      </c>
      <c r="C204" s="1105"/>
      <c r="D204" s="1105"/>
      <c r="E204" s="1105"/>
      <c r="F204" s="1100">
        <v>0.05</v>
      </c>
    </row>
    <row r="205" spans="1:6" ht="14.25" thickBot="1">
      <c r="A205" s="873" t="s">
        <v>483</v>
      </c>
      <c r="B205" s="866" t="s">
        <v>859</v>
      </c>
      <c r="C205" s="1102"/>
      <c r="D205" s="1102"/>
      <c r="E205" s="1102"/>
      <c r="F205" s="1106">
        <v>0.05</v>
      </c>
    </row>
    <row r="206" spans="1:6" ht="14.25" thickBot="1">
      <c r="A206" s="856" t="s">
        <v>485</v>
      </c>
      <c r="B206" s="857" t="s">
        <v>860</v>
      </c>
      <c r="C206" s="1097">
        <v>0.15</v>
      </c>
      <c r="D206" s="1097">
        <v>0.15</v>
      </c>
      <c r="E206" s="1097">
        <v>0.15</v>
      </c>
      <c r="F206" s="1098">
        <v>0.15</v>
      </c>
    </row>
    <row r="207" spans="1:6" ht="14.25" thickBot="1">
      <c r="A207" s="856" t="s">
        <v>485</v>
      </c>
      <c r="B207" s="850" t="s">
        <v>143</v>
      </c>
      <c r="C207" s="1099">
        <v>0.15</v>
      </c>
      <c r="D207" s="1099">
        <v>0.15</v>
      </c>
      <c r="E207" s="1099">
        <v>0.15</v>
      </c>
      <c r="F207" s="1100">
        <v>0.14399999999999999</v>
      </c>
    </row>
    <row r="208" spans="1:6" ht="14.25" thickBot="1">
      <c r="A208" s="856" t="s">
        <v>485</v>
      </c>
      <c r="B208" s="850" t="s">
        <v>156</v>
      </c>
      <c r="C208" s="1099">
        <v>0.15</v>
      </c>
      <c r="D208" s="1099">
        <v>0.15</v>
      </c>
      <c r="E208" s="1099">
        <v>0.15</v>
      </c>
      <c r="F208" s="1100">
        <v>0.15</v>
      </c>
    </row>
    <row r="209" spans="1:6" ht="14.25" thickBot="1">
      <c r="A209" s="856" t="s">
        <v>485</v>
      </c>
      <c r="B209" s="850" t="s">
        <v>169</v>
      </c>
      <c r="C209" s="1099">
        <v>0.13700000000000001</v>
      </c>
      <c r="D209" s="1099">
        <v>0.13700000000000001</v>
      </c>
      <c r="E209" s="1099">
        <v>0.14000000000000001</v>
      </c>
      <c r="F209" s="1100">
        <v>0.11700000000000001</v>
      </c>
    </row>
    <row r="210" spans="1:6" ht="14.25" thickBot="1">
      <c r="A210" s="856" t="s">
        <v>485</v>
      </c>
      <c r="B210" s="850" t="s">
        <v>861</v>
      </c>
      <c r="C210" s="1099">
        <v>0.15</v>
      </c>
      <c r="D210" s="1099">
        <v>0.15</v>
      </c>
      <c r="E210" s="1099">
        <v>0.15</v>
      </c>
      <c r="F210" s="1100">
        <v>0.13800000000000001</v>
      </c>
    </row>
    <row r="211" spans="1:6" ht="14.25" thickBot="1">
      <c r="A211" s="856" t="s">
        <v>485</v>
      </c>
      <c r="B211" s="850" t="s">
        <v>862</v>
      </c>
      <c r="C211" s="1099">
        <v>0.13700000000000001</v>
      </c>
      <c r="D211" s="1099">
        <v>0.13500000000000001</v>
      </c>
      <c r="E211" s="1099">
        <v>0.13600000000000001</v>
      </c>
      <c r="F211" s="1100">
        <v>0.1</v>
      </c>
    </row>
    <row r="212" spans="1:6" ht="14.25" thickBot="1">
      <c r="A212" s="856" t="s">
        <v>485</v>
      </c>
      <c r="B212" s="850" t="s">
        <v>863</v>
      </c>
      <c r="C212" s="1099">
        <v>0.15</v>
      </c>
      <c r="D212" s="1099">
        <v>0.15</v>
      </c>
      <c r="E212" s="1099">
        <v>0.14799999999999999</v>
      </c>
      <c r="F212" s="1100">
        <v>0.13600000000000001</v>
      </c>
    </row>
    <row r="213" spans="1:6" ht="14.25" thickBot="1">
      <c r="A213" s="856" t="s">
        <v>485</v>
      </c>
      <c r="B213" s="850" t="s">
        <v>217</v>
      </c>
      <c r="C213" s="1099">
        <v>0.15</v>
      </c>
      <c r="D213" s="1099">
        <v>0.15</v>
      </c>
      <c r="E213" s="1099">
        <v>0.15</v>
      </c>
      <c r="F213" s="1100">
        <v>0.13800000000000001</v>
      </c>
    </row>
    <row r="214" spans="1:6" ht="14.25" thickBot="1">
      <c r="A214" s="856" t="s">
        <v>485</v>
      </c>
      <c r="B214" s="850" t="s">
        <v>230</v>
      </c>
      <c r="C214" s="1099">
        <v>9.0999999999999998E-2</v>
      </c>
      <c r="D214" s="1099">
        <v>0.09</v>
      </c>
      <c r="E214" s="1099">
        <v>9.1999999999999998E-2</v>
      </c>
      <c r="F214" s="1104"/>
    </row>
    <row r="215" spans="1:6" ht="14.25" thickBot="1">
      <c r="A215" s="856" t="s">
        <v>485</v>
      </c>
      <c r="B215" s="850" t="s">
        <v>864</v>
      </c>
      <c r="C215" s="1099">
        <v>0.15</v>
      </c>
      <c r="D215" s="1099">
        <v>0.15</v>
      </c>
      <c r="E215" s="1099">
        <v>0.15</v>
      </c>
      <c r="F215" s="1100">
        <v>0.15</v>
      </c>
    </row>
    <row r="216" spans="1:6" ht="14.25" thickBot="1">
      <c r="A216" s="856" t="s">
        <v>485</v>
      </c>
      <c r="B216" s="850" t="s">
        <v>252</v>
      </c>
      <c r="C216" s="1099">
        <v>0.14699999999999999</v>
      </c>
      <c r="D216" s="1099">
        <v>0.14699999999999999</v>
      </c>
      <c r="E216" s="1099">
        <v>0.15</v>
      </c>
      <c r="F216" s="1100">
        <v>0.14000000000000001</v>
      </c>
    </row>
    <row r="217" spans="1:6" ht="14.25" thickBot="1">
      <c r="A217" s="856" t="s">
        <v>485</v>
      </c>
      <c r="B217" s="850" t="s">
        <v>263</v>
      </c>
      <c r="C217" s="1099">
        <v>0.15</v>
      </c>
      <c r="D217" s="1099">
        <v>0.15</v>
      </c>
      <c r="E217" s="1099">
        <v>0.15</v>
      </c>
      <c r="F217" s="1100">
        <v>0.15</v>
      </c>
    </row>
    <row r="218" spans="1:6" ht="14.25" thickBot="1">
      <c r="A218" s="856" t="s">
        <v>485</v>
      </c>
      <c r="B218" s="850" t="s">
        <v>865</v>
      </c>
      <c r="C218" s="1099">
        <v>0.15</v>
      </c>
      <c r="D218" s="1099">
        <v>0.15</v>
      </c>
      <c r="E218" s="1099">
        <v>0.15</v>
      </c>
      <c r="F218" s="1100">
        <v>0.15</v>
      </c>
    </row>
    <row r="219" spans="1:6" ht="14.25" thickBot="1">
      <c r="A219" s="856" t="s">
        <v>485</v>
      </c>
      <c r="B219" s="850" t="s">
        <v>285</v>
      </c>
      <c r="C219" s="1099">
        <v>0.15</v>
      </c>
      <c r="D219" s="1099">
        <v>0.15</v>
      </c>
      <c r="E219" s="1099">
        <v>0.15</v>
      </c>
      <c r="F219" s="1100">
        <v>0.14799999999999999</v>
      </c>
    </row>
    <row r="220" spans="1:6" ht="14.25" thickBot="1">
      <c r="A220" s="856" t="s">
        <v>485</v>
      </c>
      <c r="B220" s="850" t="s">
        <v>866</v>
      </c>
      <c r="C220" s="1099">
        <v>0.15</v>
      </c>
      <c r="D220" s="1099">
        <v>0.15</v>
      </c>
      <c r="E220" s="1099">
        <v>0.15</v>
      </c>
      <c r="F220" s="1100">
        <v>0.15</v>
      </c>
    </row>
    <row r="221" spans="1:6" ht="14.25" thickBot="1">
      <c r="A221" s="856" t="s">
        <v>485</v>
      </c>
      <c r="B221" s="850" t="s">
        <v>306</v>
      </c>
      <c r="C221" s="1099"/>
      <c r="D221" s="1105"/>
      <c r="E221" s="1105"/>
      <c r="F221" s="1100">
        <v>0.14799999999999999</v>
      </c>
    </row>
    <row r="222" spans="1:6" ht="14.25" thickBot="1">
      <c r="A222" s="856" t="s">
        <v>485</v>
      </c>
      <c r="B222" s="850" t="s">
        <v>316</v>
      </c>
      <c r="C222" s="1099"/>
      <c r="D222" s="1105"/>
      <c r="E222" s="1105"/>
      <c r="F222" s="1100">
        <v>0.1</v>
      </c>
    </row>
    <row r="223" spans="1:6" ht="14.25" thickBot="1">
      <c r="A223" s="856" t="s">
        <v>485</v>
      </c>
      <c r="B223" s="850" t="s">
        <v>326</v>
      </c>
      <c r="C223" s="1099"/>
      <c r="D223" s="1105"/>
      <c r="E223" s="1105"/>
      <c r="F223" s="1100">
        <v>0.15</v>
      </c>
    </row>
    <row r="224" spans="1:6" ht="14.25" thickBot="1">
      <c r="A224" s="856" t="s">
        <v>485</v>
      </c>
      <c r="B224" s="850" t="s">
        <v>336</v>
      </c>
      <c r="C224" s="1099"/>
      <c r="D224" s="1105"/>
      <c r="E224" s="1105"/>
      <c r="F224" s="1100">
        <v>0.15</v>
      </c>
    </row>
    <row r="225" spans="1:6" ht="14.25" thickBot="1">
      <c r="A225" s="856" t="s">
        <v>485</v>
      </c>
      <c r="B225" s="850" t="s">
        <v>867</v>
      </c>
      <c r="C225" s="1099">
        <v>0.15</v>
      </c>
      <c r="D225" s="1099">
        <v>0.15</v>
      </c>
      <c r="E225" s="1099">
        <v>0.15</v>
      </c>
      <c r="F225" s="1100">
        <v>0.15</v>
      </c>
    </row>
    <row r="226" spans="1:6" ht="14.25" thickBot="1">
      <c r="A226" s="856" t="s">
        <v>485</v>
      </c>
      <c r="B226" s="850" t="s">
        <v>354</v>
      </c>
      <c r="C226" s="1099">
        <v>0.15</v>
      </c>
      <c r="D226" s="1099">
        <v>0.15</v>
      </c>
      <c r="E226" s="1099">
        <v>0.15</v>
      </c>
      <c r="F226" s="1100">
        <v>0.14799999999999999</v>
      </c>
    </row>
    <row r="227" spans="1:6" ht="14.25" thickBot="1">
      <c r="A227" s="856" t="s">
        <v>485</v>
      </c>
      <c r="B227" s="850" t="s">
        <v>868</v>
      </c>
      <c r="C227" s="1099">
        <v>0.15</v>
      </c>
      <c r="D227" s="1099">
        <v>0.15</v>
      </c>
      <c r="E227" s="1099">
        <v>0.15</v>
      </c>
      <c r="F227" s="1100">
        <v>0.15</v>
      </c>
    </row>
    <row r="228" spans="1:6" ht="14.25" thickBot="1">
      <c r="A228" s="856" t="s">
        <v>485</v>
      </c>
      <c r="B228" s="850" t="s">
        <v>369</v>
      </c>
      <c r="C228" s="1099">
        <v>0.15</v>
      </c>
      <c r="D228" s="1099">
        <v>0.15</v>
      </c>
      <c r="E228" s="1099">
        <v>0.15</v>
      </c>
      <c r="F228" s="1100">
        <v>0.15</v>
      </c>
    </row>
    <row r="229" spans="1:6" ht="14.25" thickBot="1">
      <c r="A229" s="856" t="s">
        <v>485</v>
      </c>
      <c r="B229" s="850" t="s">
        <v>376</v>
      </c>
      <c r="C229" s="1099">
        <v>0.15</v>
      </c>
      <c r="D229" s="1099">
        <v>0.15</v>
      </c>
      <c r="E229" s="1099">
        <v>0.15</v>
      </c>
      <c r="F229" s="1104"/>
    </row>
    <row r="230" spans="1:6" ht="14.25" thickBot="1">
      <c r="A230" s="856" t="s">
        <v>485</v>
      </c>
      <c r="B230" s="850" t="s">
        <v>383</v>
      </c>
      <c r="C230" s="1099">
        <v>0.14499999999999999</v>
      </c>
      <c r="D230" s="1099">
        <v>0.14499999999999999</v>
      </c>
      <c r="E230" s="1099">
        <v>0.14399999999999999</v>
      </c>
      <c r="F230" s="1104"/>
    </row>
    <row r="231" spans="1:6" ht="14.25" thickBot="1">
      <c r="A231" s="856" t="s">
        <v>485</v>
      </c>
      <c r="B231" s="850" t="s">
        <v>869</v>
      </c>
      <c r="C231" s="1099">
        <v>0.128</v>
      </c>
      <c r="D231" s="1099">
        <v>0.125</v>
      </c>
      <c r="E231" s="1099">
        <v>0.13200000000000001</v>
      </c>
      <c r="F231" s="1104"/>
    </row>
    <row r="232" spans="1:6" ht="14.25" thickBot="1">
      <c r="A232" s="856" t="s">
        <v>485</v>
      </c>
      <c r="B232" s="850" t="s">
        <v>870</v>
      </c>
      <c r="C232" s="1099">
        <v>0.14499999999999999</v>
      </c>
      <c r="D232" s="1099">
        <v>0.14399999999999999</v>
      </c>
      <c r="E232" s="1099">
        <v>0.14599999999999999</v>
      </c>
      <c r="F232" s="1100">
        <v>0.13800000000000001</v>
      </c>
    </row>
    <row r="233" spans="1:6" ht="14.25" thickBot="1">
      <c r="A233" s="856" t="s">
        <v>485</v>
      </c>
      <c r="B233" s="850" t="s">
        <v>871</v>
      </c>
      <c r="C233" s="1099">
        <v>0.14499999999999999</v>
      </c>
      <c r="D233" s="1099">
        <v>0.14299999999999999</v>
      </c>
      <c r="E233" s="1099">
        <v>0.14199999999999999</v>
      </c>
      <c r="F233" s="1104"/>
    </row>
    <row r="234" spans="1:6" ht="14.25" thickBot="1">
      <c r="A234" s="856" t="s">
        <v>485</v>
      </c>
      <c r="B234" s="850" t="s">
        <v>872</v>
      </c>
      <c r="C234" s="1099">
        <v>0.14000000000000001</v>
      </c>
      <c r="D234" s="1099">
        <v>0.14000000000000001</v>
      </c>
      <c r="E234" s="1099">
        <v>0.14399999999999999</v>
      </c>
      <c r="F234" s="1104"/>
    </row>
    <row r="235" spans="1:6" ht="14.25" thickBot="1">
      <c r="A235" s="856" t="s">
        <v>485</v>
      </c>
      <c r="B235" s="850" t="s">
        <v>873</v>
      </c>
      <c r="C235" s="1099">
        <v>0.14099999999999999</v>
      </c>
      <c r="D235" s="1099">
        <v>0.14199999999999999</v>
      </c>
      <c r="E235" s="1099">
        <v>0.14499999999999999</v>
      </c>
      <c r="F235" s="1100">
        <v>0.15</v>
      </c>
    </row>
    <row r="236" spans="1:6" ht="14.25" thickBot="1">
      <c r="A236" s="856" t="s">
        <v>485</v>
      </c>
      <c r="B236" s="850" t="s">
        <v>418</v>
      </c>
      <c r="C236" s="1105"/>
      <c r="D236" s="1105"/>
      <c r="E236" s="1105"/>
      <c r="F236" s="1100">
        <v>0.14299999999999999</v>
      </c>
    </row>
    <row r="237" spans="1:6" ht="24.75" thickBot="1">
      <c r="A237" s="856" t="s">
        <v>485</v>
      </c>
      <c r="B237" s="850" t="s">
        <v>874</v>
      </c>
      <c r="C237" s="1105"/>
      <c r="D237" s="1105"/>
      <c r="E237" s="1105"/>
      <c r="F237" s="1100">
        <v>0.05</v>
      </c>
    </row>
    <row r="238" spans="1:6" ht="24.75" thickBot="1">
      <c r="A238" s="856" t="s">
        <v>485</v>
      </c>
      <c r="B238" s="850" t="s">
        <v>875</v>
      </c>
      <c r="C238" s="1105"/>
      <c r="D238" s="1105"/>
      <c r="E238" s="1105"/>
      <c r="F238" s="1100">
        <v>0.05</v>
      </c>
    </row>
    <row r="239" spans="1:6" ht="24.75" thickBot="1">
      <c r="A239" s="856" t="s">
        <v>485</v>
      </c>
      <c r="B239" s="850" t="s">
        <v>876</v>
      </c>
      <c r="C239" s="1105"/>
      <c r="D239" s="1105"/>
      <c r="E239" s="1105"/>
      <c r="F239" s="1100">
        <v>0.05</v>
      </c>
    </row>
    <row r="240" spans="1:6" ht="24.75" thickBot="1">
      <c r="A240" s="856" t="s">
        <v>485</v>
      </c>
      <c r="B240" s="850" t="s">
        <v>877</v>
      </c>
      <c r="C240" s="1105"/>
      <c r="D240" s="1105"/>
      <c r="E240" s="1105"/>
      <c r="F240" s="1100">
        <v>0.05</v>
      </c>
    </row>
    <row r="241" spans="1:6" ht="24.75" thickBot="1">
      <c r="A241" s="856" t="s">
        <v>485</v>
      </c>
      <c r="B241" s="850" t="s">
        <v>878</v>
      </c>
      <c r="C241" s="1105"/>
      <c r="D241" s="1105"/>
      <c r="E241" s="1105"/>
      <c r="F241" s="1100">
        <v>0.05</v>
      </c>
    </row>
    <row r="242" spans="1:6" ht="24.75" thickBot="1">
      <c r="A242" s="856" t="s">
        <v>485</v>
      </c>
      <c r="B242" s="850" t="s">
        <v>879</v>
      </c>
      <c r="C242" s="1105"/>
      <c r="D242" s="1105"/>
      <c r="E242" s="1105"/>
      <c r="F242" s="1100">
        <v>0.05</v>
      </c>
    </row>
    <row r="243" spans="1:6" ht="24.75" thickBot="1">
      <c r="A243" s="856" t="s">
        <v>485</v>
      </c>
      <c r="B243" s="850" t="s">
        <v>880</v>
      </c>
      <c r="C243" s="1105"/>
      <c r="D243" s="1105"/>
      <c r="E243" s="1105"/>
      <c r="F243" s="1100">
        <v>0.05</v>
      </c>
    </row>
    <row r="244" spans="1:6" ht="24.75" thickBot="1">
      <c r="A244" s="873" t="s">
        <v>485</v>
      </c>
      <c r="B244" s="866" t="s">
        <v>881</v>
      </c>
      <c r="C244" s="1102"/>
      <c r="D244" s="1102"/>
      <c r="E244" s="1102"/>
      <c r="F244" s="1106">
        <v>0.05</v>
      </c>
    </row>
    <row r="245" spans="1:6" ht="14.25" thickBot="1">
      <c r="A245" s="856" t="s">
        <v>487</v>
      </c>
      <c r="B245" s="857" t="s">
        <v>882</v>
      </c>
      <c r="C245" s="1097">
        <v>0.15</v>
      </c>
      <c r="D245" s="1097">
        <v>0.15</v>
      </c>
      <c r="E245" s="1097">
        <v>0.15</v>
      </c>
      <c r="F245" s="1098">
        <v>0.14299999999999999</v>
      </c>
    </row>
    <row r="246" spans="1:6" ht="14.25" thickBot="1">
      <c r="A246" s="856" t="s">
        <v>487</v>
      </c>
      <c r="B246" s="850" t="s">
        <v>144</v>
      </c>
      <c r="C246" s="1099">
        <v>0.15</v>
      </c>
      <c r="D246" s="1099">
        <v>0.15</v>
      </c>
      <c r="E246" s="1099">
        <v>0.15</v>
      </c>
      <c r="F246" s="1100">
        <v>0.114</v>
      </c>
    </row>
    <row r="247" spans="1:6" ht="14.25" thickBot="1">
      <c r="A247" s="856" t="s">
        <v>487</v>
      </c>
      <c r="B247" s="850" t="s">
        <v>883</v>
      </c>
      <c r="C247" s="1099">
        <v>0.15</v>
      </c>
      <c r="D247" s="1099">
        <v>0.15</v>
      </c>
      <c r="E247" s="1099">
        <v>0.15</v>
      </c>
      <c r="F247" s="1100">
        <v>0.15</v>
      </c>
    </row>
    <row r="248" spans="1:6" ht="14.25" thickBot="1">
      <c r="A248" s="856" t="s">
        <v>487</v>
      </c>
      <c r="B248" s="850" t="s">
        <v>884</v>
      </c>
      <c r="C248" s="1099">
        <v>0.15</v>
      </c>
      <c r="D248" s="1099">
        <v>0.15</v>
      </c>
      <c r="E248" s="1099">
        <v>0.15</v>
      </c>
      <c r="F248" s="1100">
        <v>0.14000000000000001</v>
      </c>
    </row>
    <row r="249" spans="1:6" ht="14.25" thickBot="1">
      <c r="A249" s="856" t="s">
        <v>487</v>
      </c>
      <c r="B249" s="850" t="s">
        <v>885</v>
      </c>
      <c r="C249" s="1099">
        <v>0.15</v>
      </c>
      <c r="D249" s="1099">
        <v>0.14899999999999999</v>
      </c>
      <c r="E249" s="1099">
        <v>0.15</v>
      </c>
      <c r="F249" s="1100">
        <v>0.1</v>
      </c>
    </row>
    <row r="250" spans="1:6" ht="14.25" thickBot="1">
      <c r="A250" s="856" t="s">
        <v>487</v>
      </c>
      <c r="B250" s="850" t="s">
        <v>886</v>
      </c>
      <c r="C250" s="1099">
        <v>0.15</v>
      </c>
      <c r="D250" s="1099">
        <v>0.15</v>
      </c>
      <c r="E250" s="1099">
        <v>0.15</v>
      </c>
      <c r="F250" s="1100">
        <v>0.14399999999999999</v>
      </c>
    </row>
    <row r="251" spans="1:6" ht="14.25" thickBot="1">
      <c r="A251" s="856" t="s">
        <v>487</v>
      </c>
      <c r="B251" s="850" t="s">
        <v>206</v>
      </c>
      <c r="C251" s="1099">
        <v>0.15</v>
      </c>
      <c r="D251" s="1099">
        <v>0.15</v>
      </c>
      <c r="E251" s="1099">
        <v>0.15</v>
      </c>
      <c r="F251" s="1100">
        <v>0.14299999999999999</v>
      </c>
    </row>
    <row r="252" spans="1:6" ht="14.25" thickBot="1">
      <c r="A252" s="856" t="s">
        <v>487</v>
      </c>
      <c r="B252" s="850" t="s">
        <v>218</v>
      </c>
      <c r="C252" s="1099">
        <v>0.15</v>
      </c>
      <c r="D252" s="1099">
        <v>0.15</v>
      </c>
      <c r="E252" s="1099">
        <v>0.15</v>
      </c>
      <c r="F252" s="1100">
        <v>0.1</v>
      </c>
    </row>
    <row r="253" spans="1:6" ht="14.25" thickBot="1">
      <c r="A253" s="856" t="s">
        <v>487</v>
      </c>
      <c r="B253" s="850" t="s">
        <v>231</v>
      </c>
      <c r="C253" s="1099">
        <v>0.15</v>
      </c>
      <c r="D253" s="1099">
        <v>0.15</v>
      </c>
      <c r="E253" s="1099">
        <v>0.15</v>
      </c>
      <c r="F253" s="1100">
        <v>0.1</v>
      </c>
    </row>
    <row r="254" spans="1:6" ht="14.25" thickBot="1">
      <c r="A254" s="856" t="s">
        <v>487</v>
      </c>
      <c r="B254" s="850" t="s">
        <v>242</v>
      </c>
      <c r="C254" s="1105"/>
      <c r="D254" s="1105"/>
      <c r="E254" s="1105"/>
      <c r="F254" s="1100">
        <v>0.15</v>
      </c>
    </row>
    <row r="255" spans="1:6" ht="14.25" thickBot="1">
      <c r="A255" s="856" t="s">
        <v>487</v>
      </c>
      <c r="B255" s="850" t="s">
        <v>253</v>
      </c>
      <c r="C255" s="1105"/>
      <c r="D255" s="1105"/>
      <c r="E255" s="1105"/>
      <c r="F255" s="1100">
        <v>0.14299999999999999</v>
      </c>
    </row>
    <row r="256" spans="1:6" ht="14.25" thickBot="1">
      <c r="A256" s="856" t="s">
        <v>487</v>
      </c>
      <c r="B256" s="850" t="s">
        <v>887</v>
      </c>
      <c r="C256" s="1099">
        <v>0.14599999999999999</v>
      </c>
      <c r="D256" s="1099">
        <v>0.14699999999999999</v>
      </c>
      <c r="E256" s="1099">
        <v>0.15</v>
      </c>
      <c r="F256" s="1100">
        <v>0.13200000000000001</v>
      </c>
    </row>
    <row r="257" spans="1:6" ht="14.25" thickBot="1">
      <c r="A257" s="856" t="s">
        <v>487</v>
      </c>
      <c r="B257" s="850" t="s">
        <v>275</v>
      </c>
      <c r="C257" s="1099">
        <v>0.15</v>
      </c>
      <c r="D257" s="1099">
        <v>0.15</v>
      </c>
      <c r="E257" s="1099">
        <v>0.15</v>
      </c>
      <c r="F257" s="1100">
        <v>0.13900000000000001</v>
      </c>
    </row>
    <row r="258" spans="1:6" ht="14.25" thickBot="1">
      <c r="A258" s="856" t="s">
        <v>487</v>
      </c>
      <c r="B258" s="850" t="s">
        <v>286</v>
      </c>
      <c r="C258" s="1099">
        <v>0.15</v>
      </c>
      <c r="D258" s="1099">
        <v>0.15</v>
      </c>
      <c r="E258" s="1099">
        <v>0.15</v>
      </c>
      <c r="F258" s="1100">
        <v>0.13</v>
      </c>
    </row>
    <row r="259" spans="1:6" ht="14.25" thickBot="1">
      <c r="A259" s="856" t="s">
        <v>487</v>
      </c>
      <c r="B259" s="850" t="s">
        <v>888</v>
      </c>
      <c r="C259" s="1099">
        <v>0.14799999999999999</v>
      </c>
      <c r="D259" s="1099">
        <v>0.14899999999999999</v>
      </c>
      <c r="E259" s="1099">
        <v>0.15</v>
      </c>
      <c r="F259" s="1100">
        <v>0.13700000000000001</v>
      </c>
    </row>
    <row r="260" spans="1:6" ht="14.25" thickBot="1">
      <c r="A260" s="856" t="s">
        <v>487</v>
      </c>
      <c r="B260" s="850" t="s">
        <v>307</v>
      </c>
      <c r="C260" s="1099">
        <v>0.15</v>
      </c>
      <c r="D260" s="1099">
        <v>0.15</v>
      </c>
      <c r="E260" s="1099">
        <v>0.15</v>
      </c>
      <c r="F260" s="1100">
        <v>0.14199999999999999</v>
      </c>
    </row>
    <row r="261" spans="1:6" ht="14.25" thickBot="1">
      <c r="A261" s="856" t="s">
        <v>487</v>
      </c>
      <c r="B261" s="850" t="s">
        <v>317</v>
      </c>
      <c r="C261" s="1099">
        <v>0.15</v>
      </c>
      <c r="D261" s="1099">
        <v>0.15</v>
      </c>
      <c r="E261" s="1099">
        <v>0.14899999999999999</v>
      </c>
      <c r="F261" s="1100">
        <v>0.14799999999999999</v>
      </c>
    </row>
    <row r="262" spans="1:6" ht="14.25" thickBot="1">
      <c r="A262" s="856" t="s">
        <v>487</v>
      </c>
      <c r="B262" s="850" t="s">
        <v>327</v>
      </c>
      <c r="C262" s="1099">
        <v>0.15</v>
      </c>
      <c r="D262" s="1099">
        <v>0.15</v>
      </c>
      <c r="E262" s="1099">
        <v>0.15</v>
      </c>
      <c r="F262" s="1104"/>
    </row>
    <row r="263" spans="1:6" ht="14.25" thickBot="1">
      <c r="A263" s="856" t="s">
        <v>487</v>
      </c>
      <c r="B263" s="850" t="s">
        <v>889</v>
      </c>
      <c r="C263" s="1099">
        <v>0.14899999999999999</v>
      </c>
      <c r="D263" s="1099">
        <v>0.14899999999999999</v>
      </c>
      <c r="E263" s="1099">
        <v>0.15</v>
      </c>
      <c r="F263" s="1100">
        <v>0.13</v>
      </c>
    </row>
    <row r="264" spans="1:6" ht="14.25" thickBot="1">
      <c r="A264" s="856" t="s">
        <v>487</v>
      </c>
      <c r="B264" s="850" t="s">
        <v>346</v>
      </c>
      <c r="C264" s="1099">
        <v>0.14799999999999999</v>
      </c>
      <c r="D264" s="1099">
        <v>0.14699999999999999</v>
      </c>
      <c r="E264" s="1099">
        <v>0.15</v>
      </c>
      <c r="F264" s="1100">
        <v>7.8E-2</v>
      </c>
    </row>
    <row r="265" spans="1:6" ht="14.25" thickBot="1">
      <c r="A265" s="856" t="s">
        <v>487</v>
      </c>
      <c r="B265" s="850" t="s">
        <v>355</v>
      </c>
      <c r="C265" s="1099">
        <v>0.15</v>
      </c>
      <c r="D265" s="1099">
        <v>0.15</v>
      </c>
      <c r="E265" s="1099">
        <v>0.15</v>
      </c>
      <c r="F265" s="1100">
        <v>7.3999999999999996E-2</v>
      </c>
    </row>
    <row r="266" spans="1:6" ht="14.25" thickBot="1">
      <c r="A266" s="856" t="s">
        <v>487</v>
      </c>
      <c r="B266" s="850" t="s">
        <v>363</v>
      </c>
      <c r="C266" s="1099">
        <v>0.14699999999999999</v>
      </c>
      <c r="D266" s="1099">
        <v>0.14699999999999999</v>
      </c>
      <c r="E266" s="1099">
        <v>0.15</v>
      </c>
      <c r="F266" s="1100">
        <v>0.14299999999999999</v>
      </c>
    </row>
    <row r="267" spans="1:6" ht="14.25" thickBot="1">
      <c r="A267" s="856" t="s">
        <v>487</v>
      </c>
      <c r="B267" s="850" t="s">
        <v>370</v>
      </c>
      <c r="C267" s="1099">
        <v>0.14199999999999999</v>
      </c>
      <c r="D267" s="1099">
        <v>0.14299999999999999</v>
      </c>
      <c r="E267" s="1099">
        <v>0.15</v>
      </c>
      <c r="F267" s="1104"/>
    </row>
    <row r="268" spans="1:6" ht="14.25" thickBot="1">
      <c r="A268" s="856" t="s">
        <v>487</v>
      </c>
      <c r="B268" s="850" t="s">
        <v>890</v>
      </c>
      <c r="C268" s="1099">
        <v>0.15</v>
      </c>
      <c r="D268" s="1099">
        <v>0.15</v>
      </c>
      <c r="E268" s="1099">
        <v>0.15</v>
      </c>
      <c r="F268" s="1100">
        <v>0.13</v>
      </c>
    </row>
    <row r="269" spans="1:6" ht="14.25" thickBot="1">
      <c r="A269" s="856" t="s">
        <v>487</v>
      </c>
      <c r="B269" s="850" t="s">
        <v>384</v>
      </c>
      <c r="C269" s="1099">
        <v>0.15</v>
      </c>
      <c r="D269" s="1099">
        <v>0.15</v>
      </c>
      <c r="E269" s="1099">
        <v>0.15</v>
      </c>
      <c r="F269" s="1100">
        <v>0.14299999999999999</v>
      </c>
    </row>
    <row r="270" spans="1:6" ht="14.25" thickBot="1">
      <c r="A270" s="856" t="s">
        <v>487</v>
      </c>
      <c r="B270" s="850" t="s">
        <v>391</v>
      </c>
      <c r="C270" s="1099">
        <v>0.14499999999999999</v>
      </c>
      <c r="D270" s="1099">
        <v>0.14499999999999999</v>
      </c>
      <c r="E270" s="1099">
        <v>0.15</v>
      </c>
      <c r="F270" s="1100">
        <v>0.14699999999999999</v>
      </c>
    </row>
    <row r="271" spans="1:6" ht="14.25" thickBot="1">
      <c r="A271" s="856" t="s">
        <v>487</v>
      </c>
      <c r="B271" s="850" t="s">
        <v>398</v>
      </c>
      <c r="C271" s="1099">
        <v>0.15</v>
      </c>
      <c r="D271" s="1099">
        <v>0.15</v>
      </c>
      <c r="E271" s="1099">
        <v>0.15</v>
      </c>
      <c r="F271" s="1100">
        <v>0.13800000000000001</v>
      </c>
    </row>
    <row r="272" spans="1:6" ht="14.25" thickBot="1">
      <c r="A272" s="856" t="s">
        <v>487</v>
      </c>
      <c r="B272" s="850" t="s">
        <v>405</v>
      </c>
      <c r="C272" s="1105"/>
      <c r="D272" s="1105"/>
      <c r="E272" s="1105"/>
      <c r="F272" s="1100">
        <v>0.14000000000000001</v>
      </c>
    </row>
    <row r="273" spans="1:6" ht="14.25" thickBot="1">
      <c r="A273" s="856" t="s">
        <v>487</v>
      </c>
      <c r="B273" s="850" t="s">
        <v>891</v>
      </c>
      <c r="C273" s="1099">
        <v>0.14199999999999999</v>
      </c>
      <c r="D273" s="1099">
        <v>0.14299999999999999</v>
      </c>
      <c r="E273" s="1099">
        <v>0.15</v>
      </c>
      <c r="F273" s="1100">
        <v>0.1</v>
      </c>
    </row>
    <row r="274" spans="1:6" ht="14.25" thickBot="1">
      <c r="A274" s="856" t="s">
        <v>487</v>
      </c>
      <c r="B274" s="850" t="s">
        <v>892</v>
      </c>
      <c r="C274" s="1099">
        <v>0.14799999999999999</v>
      </c>
      <c r="D274" s="1099">
        <v>0.14799999999999999</v>
      </c>
      <c r="E274" s="1099">
        <v>0.15</v>
      </c>
      <c r="F274" s="1100">
        <v>6.7000000000000004E-2</v>
      </c>
    </row>
    <row r="275" spans="1:6" ht="14.25" thickBot="1">
      <c r="A275" s="856" t="s">
        <v>487</v>
      </c>
      <c r="B275" s="850" t="s">
        <v>893</v>
      </c>
      <c r="C275" s="1099">
        <v>0.15</v>
      </c>
      <c r="D275" s="1099">
        <v>0.15</v>
      </c>
      <c r="E275" s="1099">
        <v>0.15</v>
      </c>
      <c r="F275" s="1100">
        <v>0.15</v>
      </c>
    </row>
    <row r="276" spans="1:6" ht="14.25" thickBot="1">
      <c r="A276" s="856" t="s">
        <v>487</v>
      </c>
      <c r="B276" s="850" t="s">
        <v>894</v>
      </c>
      <c r="C276" s="1099">
        <v>0.14499999999999999</v>
      </c>
      <c r="D276" s="1099">
        <v>0.14299999999999999</v>
      </c>
      <c r="E276" s="1099">
        <v>0.15</v>
      </c>
      <c r="F276" s="1100">
        <v>5.8999999999999997E-2</v>
      </c>
    </row>
    <row r="277" spans="1:6" ht="14.25" thickBot="1">
      <c r="A277" s="856" t="s">
        <v>487</v>
      </c>
      <c r="B277" s="850" t="s">
        <v>895</v>
      </c>
      <c r="C277" s="1099">
        <v>0.15</v>
      </c>
      <c r="D277" s="1099">
        <v>0.15</v>
      </c>
      <c r="E277" s="1099">
        <v>0.15</v>
      </c>
      <c r="F277" s="1100">
        <v>0.121</v>
      </c>
    </row>
    <row r="278" spans="1:6" ht="14.25" thickBot="1">
      <c r="A278" s="856" t="s">
        <v>487</v>
      </c>
      <c r="B278" s="850" t="s">
        <v>896</v>
      </c>
      <c r="C278" s="1099">
        <v>0.15</v>
      </c>
      <c r="D278" s="1099">
        <v>0.15</v>
      </c>
      <c r="E278" s="1099">
        <v>0.15</v>
      </c>
      <c r="F278" s="1100">
        <v>0.13800000000000001</v>
      </c>
    </row>
    <row r="279" spans="1:6" ht="24.75" thickBot="1">
      <c r="A279" s="856" t="s">
        <v>487</v>
      </c>
      <c r="B279" s="850" t="s">
        <v>897</v>
      </c>
      <c r="C279" s="1105"/>
      <c r="D279" s="1105"/>
      <c r="E279" s="1105"/>
      <c r="F279" s="1100">
        <v>0.05</v>
      </c>
    </row>
    <row r="280" spans="1:6" ht="24.75" thickBot="1">
      <c r="A280" s="856" t="s">
        <v>487</v>
      </c>
      <c r="B280" s="850" t="s">
        <v>898</v>
      </c>
      <c r="C280" s="1105"/>
      <c r="D280" s="1105"/>
      <c r="E280" s="1105"/>
      <c r="F280" s="1100">
        <v>0.05</v>
      </c>
    </row>
    <row r="281" spans="1:6" ht="24.75" thickBot="1">
      <c r="A281" s="856" t="s">
        <v>487</v>
      </c>
      <c r="B281" s="850" t="s">
        <v>899</v>
      </c>
      <c r="C281" s="1105"/>
      <c r="D281" s="1105"/>
      <c r="E281" s="1105"/>
      <c r="F281" s="1100">
        <v>0.05</v>
      </c>
    </row>
    <row r="282" spans="1:6" ht="24.75" thickBot="1">
      <c r="A282" s="856" t="s">
        <v>487</v>
      </c>
      <c r="B282" s="850" t="s">
        <v>900</v>
      </c>
      <c r="C282" s="1105"/>
      <c r="D282" s="1105"/>
      <c r="E282" s="1105"/>
      <c r="F282" s="1100">
        <v>0.05</v>
      </c>
    </row>
    <row r="283" spans="1:6" ht="24.75" thickBot="1">
      <c r="A283" s="856" t="s">
        <v>487</v>
      </c>
      <c r="B283" s="850" t="s">
        <v>901</v>
      </c>
      <c r="C283" s="1105"/>
      <c r="D283" s="1105"/>
      <c r="E283" s="1105"/>
      <c r="F283" s="1100">
        <v>0.05</v>
      </c>
    </row>
    <row r="284" spans="1:6" ht="24.75" thickBot="1">
      <c r="A284" s="856" t="s">
        <v>487</v>
      </c>
      <c r="B284" s="850" t="s">
        <v>902</v>
      </c>
      <c r="C284" s="1105"/>
      <c r="D284" s="1105"/>
      <c r="E284" s="1105"/>
      <c r="F284" s="1100">
        <v>0.05</v>
      </c>
    </row>
    <row r="285" spans="1:6" ht="24.75" thickBot="1">
      <c r="A285" s="856" t="s">
        <v>487</v>
      </c>
      <c r="B285" s="850" t="s">
        <v>903</v>
      </c>
      <c r="C285" s="1105"/>
      <c r="D285" s="1105"/>
      <c r="E285" s="1105"/>
      <c r="F285" s="1100">
        <v>0.05</v>
      </c>
    </row>
    <row r="286" spans="1:6" ht="24.75" thickBot="1">
      <c r="A286" s="856" t="s">
        <v>487</v>
      </c>
      <c r="B286" s="850" t="s">
        <v>904</v>
      </c>
      <c r="C286" s="1105"/>
      <c r="D286" s="1105"/>
      <c r="E286" s="1105"/>
      <c r="F286" s="1100">
        <v>0.05</v>
      </c>
    </row>
    <row r="287" spans="1:6" ht="24.75" thickBot="1">
      <c r="A287" s="856" t="s">
        <v>487</v>
      </c>
      <c r="B287" s="850" t="s">
        <v>905</v>
      </c>
      <c r="C287" s="1105"/>
      <c r="D287" s="1105"/>
      <c r="E287" s="1105"/>
      <c r="F287" s="1100">
        <v>0.05</v>
      </c>
    </row>
    <row r="288" spans="1:6" ht="24.75" thickBot="1">
      <c r="A288" s="856" t="s">
        <v>487</v>
      </c>
      <c r="B288" s="850" t="s">
        <v>906</v>
      </c>
      <c r="C288" s="1105"/>
      <c r="D288" s="1105"/>
      <c r="E288" s="1105"/>
      <c r="F288" s="1100">
        <v>0.05</v>
      </c>
    </row>
    <row r="289" spans="1:6" ht="24.75" thickBot="1">
      <c r="A289" s="873" t="s">
        <v>487</v>
      </c>
      <c r="B289" s="866" t="s">
        <v>907</v>
      </c>
      <c r="C289" s="1102"/>
      <c r="D289" s="1102"/>
      <c r="E289" s="1102"/>
      <c r="F289" s="1106">
        <v>0.05</v>
      </c>
    </row>
    <row r="290" spans="1:6" ht="14.25" thickBot="1">
      <c r="A290" s="856" t="s">
        <v>491</v>
      </c>
      <c r="B290" s="857" t="s">
        <v>908</v>
      </c>
      <c r="C290" s="1097">
        <v>0.15</v>
      </c>
      <c r="D290" s="1097">
        <v>0.15</v>
      </c>
      <c r="E290" s="1097">
        <v>0.15</v>
      </c>
      <c r="F290" s="1114"/>
    </row>
    <row r="291" spans="1:6" ht="14.25" thickBot="1">
      <c r="A291" s="856" t="s">
        <v>491</v>
      </c>
      <c r="B291" s="850" t="s">
        <v>145</v>
      </c>
      <c r="C291" s="1099">
        <v>0.15</v>
      </c>
      <c r="D291" s="1099">
        <v>0.15</v>
      </c>
      <c r="E291" s="1099">
        <v>0.15</v>
      </c>
      <c r="F291" s="1104"/>
    </row>
    <row r="292" spans="1:6" ht="14.25" thickBot="1">
      <c r="A292" s="856" t="s">
        <v>491</v>
      </c>
      <c r="B292" s="850" t="s">
        <v>909</v>
      </c>
      <c r="C292" s="1099">
        <v>0.15</v>
      </c>
      <c r="D292" s="1099">
        <v>0.15</v>
      </c>
      <c r="E292" s="1099">
        <v>0.15</v>
      </c>
      <c r="F292" s="1100">
        <v>0.14699999999999999</v>
      </c>
    </row>
    <row r="293" spans="1:6" ht="14.25" thickBot="1">
      <c r="A293" s="856" t="s">
        <v>491</v>
      </c>
      <c r="B293" s="850" t="s">
        <v>910</v>
      </c>
      <c r="C293" s="1105"/>
      <c r="D293" s="1105"/>
      <c r="E293" s="1105"/>
      <c r="F293" s="1100">
        <v>0.1</v>
      </c>
    </row>
    <row r="294" spans="1:6" ht="14.25" thickBot="1">
      <c r="A294" s="856" t="s">
        <v>491</v>
      </c>
      <c r="B294" s="850" t="s">
        <v>911</v>
      </c>
      <c r="C294" s="1099">
        <v>0.15</v>
      </c>
      <c r="D294" s="1099">
        <v>0.15</v>
      </c>
      <c r="E294" s="1099">
        <v>0.15</v>
      </c>
      <c r="F294" s="1100">
        <v>0.15</v>
      </c>
    </row>
    <row r="295" spans="1:6" ht="14.25" thickBot="1">
      <c r="A295" s="856" t="s">
        <v>491</v>
      </c>
      <c r="B295" s="850" t="s">
        <v>183</v>
      </c>
      <c r="C295" s="1099">
        <v>0.15</v>
      </c>
      <c r="D295" s="1099">
        <v>0.15</v>
      </c>
      <c r="E295" s="1099">
        <v>0.15</v>
      </c>
      <c r="F295" s="1100">
        <v>0.15</v>
      </c>
    </row>
    <row r="296" spans="1:6" ht="14.25" thickBot="1">
      <c r="A296" s="856" t="s">
        <v>491</v>
      </c>
      <c r="B296" s="850" t="s">
        <v>912</v>
      </c>
      <c r="C296" s="1099">
        <v>0.15</v>
      </c>
      <c r="D296" s="1099">
        <v>0.15</v>
      </c>
      <c r="E296" s="1099">
        <v>0.15</v>
      </c>
      <c r="F296" s="1100">
        <v>0.15</v>
      </c>
    </row>
    <row r="297" spans="1:6" ht="14.25" thickBot="1">
      <c r="A297" s="856" t="s">
        <v>491</v>
      </c>
      <c r="B297" s="850" t="s">
        <v>913</v>
      </c>
      <c r="C297" s="1099">
        <v>0.14799999999999999</v>
      </c>
      <c r="D297" s="1099">
        <v>0.14899999999999999</v>
      </c>
      <c r="E297" s="1099">
        <v>0.15</v>
      </c>
      <c r="F297" s="1100">
        <v>0.13700000000000001</v>
      </c>
    </row>
    <row r="298" spans="1:6" ht="14.25" thickBot="1">
      <c r="A298" s="856" t="s">
        <v>491</v>
      </c>
      <c r="B298" s="850" t="s">
        <v>219</v>
      </c>
      <c r="C298" s="1099">
        <v>0.13400000000000001</v>
      </c>
      <c r="D298" s="1099">
        <v>0.13400000000000001</v>
      </c>
      <c r="E298" s="1099">
        <v>0.14499999999999999</v>
      </c>
      <c r="F298" s="1100">
        <v>0.14799999999999999</v>
      </c>
    </row>
    <row r="299" spans="1:6" ht="14.25" thickBot="1">
      <c r="A299" s="856" t="s">
        <v>491</v>
      </c>
      <c r="B299" s="850" t="s">
        <v>232</v>
      </c>
      <c r="C299" s="1099">
        <v>0.15</v>
      </c>
      <c r="D299" s="1099">
        <v>0.15</v>
      </c>
      <c r="E299" s="1099">
        <v>0.15</v>
      </c>
      <c r="F299" s="1104"/>
    </row>
    <row r="300" spans="1:6" ht="14.25" thickBot="1">
      <c r="A300" s="856" t="s">
        <v>491</v>
      </c>
      <c r="B300" s="850" t="s">
        <v>914</v>
      </c>
      <c r="C300" s="1099">
        <v>0.15</v>
      </c>
      <c r="D300" s="1099">
        <v>0.15</v>
      </c>
      <c r="E300" s="1099">
        <v>0.15</v>
      </c>
      <c r="F300" s="1100">
        <v>0.15</v>
      </c>
    </row>
    <row r="301" spans="1:6" ht="14.25" thickBot="1">
      <c r="A301" s="856" t="s">
        <v>491</v>
      </c>
      <c r="B301" s="850" t="s">
        <v>254</v>
      </c>
      <c r="C301" s="1099">
        <v>0.15</v>
      </c>
      <c r="D301" s="1099">
        <v>0.15</v>
      </c>
      <c r="E301" s="1099">
        <v>0.15</v>
      </c>
      <c r="F301" s="1104"/>
    </row>
    <row r="302" spans="1:6" ht="14.25" thickBot="1">
      <c r="A302" s="856" t="s">
        <v>491</v>
      </c>
      <c r="B302" s="850" t="s">
        <v>915</v>
      </c>
      <c r="C302" s="1099">
        <v>0.15</v>
      </c>
      <c r="D302" s="1099">
        <v>0.15</v>
      </c>
      <c r="E302" s="1099">
        <v>0.15</v>
      </c>
      <c r="F302" s="1100">
        <v>0.15</v>
      </c>
    </row>
    <row r="303" spans="1:6" ht="14.25" thickBot="1">
      <c r="A303" s="856" t="s">
        <v>491</v>
      </c>
      <c r="B303" s="850" t="s">
        <v>276</v>
      </c>
      <c r="C303" s="1099">
        <v>0.15</v>
      </c>
      <c r="D303" s="1099">
        <v>0.15</v>
      </c>
      <c r="E303" s="1099">
        <v>0.15</v>
      </c>
      <c r="F303" s="1100">
        <v>0.15</v>
      </c>
    </row>
    <row r="304" spans="1:6" ht="14.25" thickBot="1">
      <c r="A304" s="856" t="s">
        <v>491</v>
      </c>
      <c r="B304" s="850" t="s">
        <v>287</v>
      </c>
      <c r="C304" s="1099">
        <v>0.15</v>
      </c>
      <c r="D304" s="1099">
        <v>0.15</v>
      </c>
      <c r="E304" s="1099">
        <v>0.15</v>
      </c>
      <c r="F304" s="1104"/>
    </row>
    <row r="305" spans="1:6" ht="14.25" thickBot="1">
      <c r="A305" s="856" t="s">
        <v>491</v>
      </c>
      <c r="B305" s="850" t="s">
        <v>916</v>
      </c>
      <c r="C305" s="1099">
        <v>0.15</v>
      </c>
      <c r="D305" s="1099">
        <v>0.15</v>
      </c>
      <c r="E305" s="1099">
        <v>0.15</v>
      </c>
      <c r="F305" s="1100">
        <v>0.14000000000000001</v>
      </c>
    </row>
    <row r="306" spans="1:6" ht="14.25" thickBot="1">
      <c r="A306" s="856" t="s">
        <v>491</v>
      </c>
      <c r="B306" s="850" t="s">
        <v>308</v>
      </c>
      <c r="C306" s="1099">
        <v>0.15</v>
      </c>
      <c r="D306" s="1099">
        <v>0.15</v>
      </c>
      <c r="E306" s="1099">
        <v>0.15</v>
      </c>
      <c r="F306" s="1104"/>
    </row>
    <row r="307" spans="1:6" ht="14.25" thickBot="1">
      <c r="A307" s="856" t="s">
        <v>491</v>
      </c>
      <c r="B307" s="850" t="s">
        <v>917</v>
      </c>
      <c r="C307" s="1099">
        <v>0.15</v>
      </c>
      <c r="D307" s="1099">
        <v>0.15</v>
      </c>
      <c r="E307" s="1099">
        <v>0.15</v>
      </c>
      <c r="F307" s="1100">
        <v>0.14299999999999999</v>
      </c>
    </row>
    <row r="308" spans="1:6" ht="14.25" thickBot="1">
      <c r="A308" s="856" t="s">
        <v>491</v>
      </c>
      <c r="B308" s="850" t="s">
        <v>328</v>
      </c>
      <c r="C308" s="1099">
        <v>0.15</v>
      </c>
      <c r="D308" s="1099">
        <v>0.15</v>
      </c>
      <c r="E308" s="1099">
        <v>0.15</v>
      </c>
      <c r="F308" s="1100">
        <v>0.15</v>
      </c>
    </row>
    <row r="309" spans="1:6" ht="14.25" thickBot="1">
      <c r="A309" s="856" t="s">
        <v>491</v>
      </c>
      <c r="B309" s="850" t="s">
        <v>338</v>
      </c>
      <c r="C309" s="1099">
        <v>0.15</v>
      </c>
      <c r="D309" s="1099">
        <v>0.15</v>
      </c>
      <c r="E309" s="1099">
        <v>0.15</v>
      </c>
      <c r="F309" s="1104"/>
    </row>
    <row r="310" spans="1:6" ht="14.25" thickBot="1">
      <c r="A310" s="856" t="s">
        <v>491</v>
      </c>
      <c r="B310" s="850" t="s">
        <v>918</v>
      </c>
      <c r="C310" s="1099">
        <v>0.15</v>
      </c>
      <c r="D310" s="1099">
        <v>0.15</v>
      </c>
      <c r="E310" s="1099">
        <v>0.15</v>
      </c>
      <c r="F310" s="1100">
        <v>0.13700000000000001</v>
      </c>
    </row>
    <row r="311" spans="1:6" ht="14.25" thickBot="1">
      <c r="A311" s="856" t="s">
        <v>491</v>
      </c>
      <c r="B311" s="850" t="s">
        <v>919</v>
      </c>
      <c r="C311" s="1099">
        <v>0.15</v>
      </c>
      <c r="D311" s="1099">
        <v>0.15</v>
      </c>
      <c r="E311" s="1099">
        <v>0.15</v>
      </c>
      <c r="F311" s="1100">
        <v>0.15</v>
      </c>
    </row>
    <row r="312" spans="1:6" ht="14.25" thickBot="1">
      <c r="A312" s="856" t="s">
        <v>491</v>
      </c>
      <c r="B312" s="850" t="s">
        <v>364</v>
      </c>
      <c r="C312" s="1099">
        <v>0.15</v>
      </c>
      <c r="D312" s="1099">
        <v>0.15</v>
      </c>
      <c r="E312" s="1099">
        <v>0.15</v>
      </c>
      <c r="F312" s="1100">
        <v>0.1</v>
      </c>
    </row>
    <row r="313" spans="1:6" ht="14.25" thickBot="1">
      <c r="A313" s="856" t="s">
        <v>491</v>
      </c>
      <c r="B313" s="850" t="s">
        <v>920</v>
      </c>
      <c r="C313" s="1099">
        <v>0.15</v>
      </c>
      <c r="D313" s="1099">
        <v>0.15</v>
      </c>
      <c r="E313" s="1099">
        <v>0.15</v>
      </c>
      <c r="F313" s="1100">
        <v>0.15</v>
      </c>
    </row>
    <row r="314" spans="1:6" ht="24.75" thickBot="1">
      <c r="A314" s="856" t="s">
        <v>491</v>
      </c>
      <c r="B314" s="850" t="s">
        <v>921</v>
      </c>
      <c r="C314" s="1105"/>
      <c r="D314" s="1105"/>
      <c r="E314" s="1105"/>
      <c r="F314" s="1100">
        <v>0.05</v>
      </c>
    </row>
    <row r="315" spans="1:6" ht="24.75" thickBot="1">
      <c r="A315" s="856" t="s">
        <v>491</v>
      </c>
      <c r="B315" s="850" t="s">
        <v>922</v>
      </c>
      <c r="C315" s="1105"/>
      <c r="D315" s="1105"/>
      <c r="E315" s="1105"/>
      <c r="F315" s="1100">
        <v>0.05</v>
      </c>
    </row>
    <row r="316" spans="1:6" ht="24.75" thickBot="1">
      <c r="A316" s="873" t="s">
        <v>491</v>
      </c>
      <c r="B316" s="866" t="s">
        <v>923</v>
      </c>
      <c r="C316" s="1102"/>
      <c r="D316" s="1102"/>
      <c r="E316" s="1102"/>
      <c r="F316" s="1106">
        <v>0.05</v>
      </c>
    </row>
    <row r="317" spans="1:6" ht="14.25" thickBot="1">
      <c r="A317" s="856" t="s">
        <v>924</v>
      </c>
      <c r="B317" s="857" t="s">
        <v>925</v>
      </c>
      <c r="C317" s="1097">
        <v>0.15</v>
      </c>
      <c r="D317" s="1097">
        <v>0.15</v>
      </c>
      <c r="E317" s="1097">
        <v>0.15</v>
      </c>
      <c r="F317" s="1098">
        <v>0.15</v>
      </c>
    </row>
    <row r="318" spans="1:6" ht="14.25" thickBot="1">
      <c r="A318" s="856" t="s">
        <v>924</v>
      </c>
      <c r="B318" s="850" t="s">
        <v>926</v>
      </c>
      <c r="C318" s="1099">
        <v>0.107</v>
      </c>
      <c r="D318" s="1099">
        <v>0.11</v>
      </c>
      <c r="E318" s="1099">
        <v>0.112</v>
      </c>
      <c r="F318" s="1104"/>
    </row>
    <row r="319" spans="1:6" ht="14.25" thickBot="1">
      <c r="A319" s="856" t="s">
        <v>924</v>
      </c>
      <c r="B319" s="850" t="s">
        <v>927</v>
      </c>
      <c r="C319" s="1099">
        <v>0.15</v>
      </c>
      <c r="D319" s="1099">
        <v>0.15</v>
      </c>
      <c r="E319" s="1099">
        <v>0.15</v>
      </c>
      <c r="F319" s="1100">
        <v>0.15</v>
      </c>
    </row>
    <row r="320" spans="1:6" ht="14.25" thickBot="1">
      <c r="A320" s="856" t="s">
        <v>924</v>
      </c>
      <c r="B320" s="850" t="s">
        <v>172</v>
      </c>
      <c r="C320" s="1099">
        <v>0.15</v>
      </c>
      <c r="D320" s="1099">
        <v>0.15</v>
      </c>
      <c r="E320" s="1099">
        <v>0.15</v>
      </c>
      <c r="F320" s="1104"/>
    </row>
    <row r="321" spans="1:6" ht="14.25" thickBot="1">
      <c r="A321" s="856" t="s">
        <v>924</v>
      </c>
      <c r="B321" s="850" t="s">
        <v>928</v>
      </c>
      <c r="C321" s="1099">
        <v>0.15</v>
      </c>
      <c r="D321" s="1099">
        <v>0.15</v>
      </c>
      <c r="E321" s="1099">
        <v>0.15</v>
      </c>
      <c r="F321" s="1104"/>
    </row>
    <row r="322" spans="1:6" ht="14.25" thickBot="1">
      <c r="A322" s="856" t="s">
        <v>924</v>
      </c>
      <c r="B322" s="850" t="s">
        <v>929</v>
      </c>
      <c r="C322" s="1099">
        <v>0.15</v>
      </c>
      <c r="D322" s="1099">
        <v>0.15</v>
      </c>
      <c r="E322" s="1099">
        <v>0.15</v>
      </c>
      <c r="F322" s="1100">
        <v>0.15</v>
      </c>
    </row>
    <row r="323" spans="1:6" ht="14.25" thickBot="1">
      <c r="A323" s="856" t="s">
        <v>924</v>
      </c>
      <c r="B323" s="850" t="s">
        <v>930</v>
      </c>
      <c r="C323" s="1099">
        <v>0.15</v>
      </c>
      <c r="D323" s="1099">
        <v>0.15</v>
      </c>
      <c r="E323" s="1099">
        <v>0.15</v>
      </c>
      <c r="F323" s="1104"/>
    </row>
    <row r="324" spans="1:6" ht="14.25" thickBot="1">
      <c r="A324" s="856" t="s">
        <v>924</v>
      </c>
      <c r="B324" s="850" t="s">
        <v>931</v>
      </c>
      <c r="C324" s="1099">
        <v>0.15</v>
      </c>
      <c r="D324" s="1099">
        <v>0.15</v>
      </c>
      <c r="E324" s="1099">
        <v>0.15</v>
      </c>
      <c r="F324" s="1104"/>
    </row>
    <row r="325" spans="1:6" ht="14.25" thickBot="1">
      <c r="A325" s="856" t="s">
        <v>924</v>
      </c>
      <c r="B325" s="850" t="s">
        <v>932</v>
      </c>
      <c r="C325" s="1099">
        <v>0.15</v>
      </c>
      <c r="D325" s="1099">
        <v>0.15</v>
      </c>
      <c r="E325" s="1099">
        <v>0.15</v>
      </c>
      <c r="F325" s="1100">
        <v>0.14699999999999999</v>
      </c>
    </row>
    <row r="326" spans="1:6" ht="14.25" thickBot="1">
      <c r="A326" s="856" t="s">
        <v>924</v>
      </c>
      <c r="B326" s="850" t="s">
        <v>244</v>
      </c>
      <c r="C326" s="1099">
        <v>0.15</v>
      </c>
      <c r="D326" s="1099">
        <v>0.15</v>
      </c>
      <c r="E326" s="1099">
        <v>0.15</v>
      </c>
      <c r="F326" s="1104"/>
    </row>
    <row r="327" spans="1:6" ht="14.25" thickBot="1">
      <c r="A327" s="856" t="s">
        <v>924</v>
      </c>
      <c r="B327" s="850" t="s">
        <v>933</v>
      </c>
      <c r="C327" s="1099">
        <v>0.15</v>
      </c>
      <c r="D327" s="1099">
        <v>0.15</v>
      </c>
      <c r="E327" s="1099">
        <v>0.15</v>
      </c>
      <c r="F327" s="1100">
        <v>0.15</v>
      </c>
    </row>
    <row r="328" spans="1:6" ht="14.25" thickBot="1">
      <c r="A328" s="856" t="s">
        <v>924</v>
      </c>
      <c r="B328" s="850" t="s">
        <v>266</v>
      </c>
      <c r="C328" s="1099">
        <v>0.15</v>
      </c>
      <c r="D328" s="1099">
        <v>0.15</v>
      </c>
      <c r="E328" s="1099">
        <v>0.15</v>
      </c>
      <c r="F328" s="1100">
        <v>0.14099999999999999</v>
      </c>
    </row>
    <row r="329" spans="1:6" ht="14.25" thickBot="1">
      <c r="A329" s="856" t="s">
        <v>924</v>
      </c>
      <c r="B329" s="850" t="s">
        <v>277</v>
      </c>
      <c r="C329" s="1099">
        <v>0.15</v>
      </c>
      <c r="D329" s="1099">
        <v>0.15</v>
      </c>
      <c r="E329" s="1099">
        <v>0.15</v>
      </c>
      <c r="F329" s="1100">
        <v>0.15</v>
      </c>
    </row>
    <row r="330" spans="1:6" ht="14.25" thickBot="1">
      <c r="A330" s="856" t="s">
        <v>924</v>
      </c>
      <c r="B330" s="850" t="s">
        <v>288</v>
      </c>
      <c r="C330" s="1099">
        <v>0.15</v>
      </c>
      <c r="D330" s="1099">
        <v>0.15</v>
      </c>
      <c r="E330" s="1099">
        <v>0.15</v>
      </c>
      <c r="F330" s="1104"/>
    </row>
    <row r="331" spans="1:6" ht="14.25" thickBot="1">
      <c r="A331" s="856" t="s">
        <v>924</v>
      </c>
      <c r="B331" s="850" t="s">
        <v>934</v>
      </c>
      <c r="C331" s="1099">
        <v>0.15</v>
      </c>
      <c r="D331" s="1099">
        <v>0.15</v>
      </c>
      <c r="E331" s="1099">
        <v>0.15</v>
      </c>
      <c r="F331" s="1100">
        <v>0.15</v>
      </c>
    </row>
    <row r="332" spans="1:6" ht="14.25" thickBot="1">
      <c r="A332" s="856" t="s">
        <v>924</v>
      </c>
      <c r="B332" s="850" t="s">
        <v>309</v>
      </c>
      <c r="C332" s="1099">
        <v>0.15</v>
      </c>
      <c r="D332" s="1099">
        <v>0.15</v>
      </c>
      <c r="E332" s="1099">
        <v>0.15</v>
      </c>
      <c r="F332" s="1100">
        <v>0.15</v>
      </c>
    </row>
    <row r="333" spans="1:6" ht="14.25" thickBot="1">
      <c r="A333" s="856" t="s">
        <v>924</v>
      </c>
      <c r="B333" s="850" t="s">
        <v>935</v>
      </c>
      <c r="C333" s="1099">
        <v>0.15</v>
      </c>
      <c r="D333" s="1099">
        <v>0.15</v>
      </c>
      <c r="E333" s="1099">
        <v>0.15</v>
      </c>
      <c r="F333" s="1100">
        <v>0.14099999999999999</v>
      </c>
    </row>
    <row r="334" spans="1:6" ht="14.25" thickBot="1">
      <c r="A334" s="856" t="s">
        <v>924</v>
      </c>
      <c r="B334" s="850" t="s">
        <v>329</v>
      </c>
      <c r="C334" s="1099">
        <v>0.15</v>
      </c>
      <c r="D334" s="1099">
        <v>0.15</v>
      </c>
      <c r="E334" s="1099">
        <v>0.15</v>
      </c>
      <c r="F334" s="1100">
        <v>0.15</v>
      </c>
    </row>
    <row r="335" spans="1:6" ht="14.25" thickBot="1">
      <c r="A335" s="856" t="s">
        <v>924</v>
      </c>
      <c r="B335" s="850" t="s">
        <v>339</v>
      </c>
      <c r="C335" s="1099">
        <v>0.15</v>
      </c>
      <c r="D335" s="1099">
        <v>0.15</v>
      </c>
      <c r="E335" s="1099">
        <v>0.15</v>
      </c>
      <c r="F335" s="1104"/>
    </row>
    <row r="336" spans="1:6" ht="14.25" thickBot="1">
      <c r="A336" s="856" t="s">
        <v>924</v>
      </c>
      <c r="B336" s="850" t="s">
        <v>936</v>
      </c>
      <c r="C336" s="1099">
        <v>0.15</v>
      </c>
      <c r="D336" s="1099">
        <v>0.15</v>
      </c>
      <c r="E336" s="1099">
        <v>0.15</v>
      </c>
      <c r="F336" s="1100">
        <v>0.11799999999999999</v>
      </c>
    </row>
    <row r="337" spans="1:6" ht="14.25" thickBot="1">
      <c r="A337" s="873" t="s">
        <v>924</v>
      </c>
      <c r="B337" s="866" t="s">
        <v>357</v>
      </c>
      <c r="C337" s="1102"/>
      <c r="D337" s="1102"/>
      <c r="E337" s="1102"/>
      <c r="F337" s="1106">
        <v>0.14299999999999999</v>
      </c>
    </row>
    <row r="338" spans="1:6" ht="14.25" thickBot="1">
      <c r="A338" s="856" t="s">
        <v>937</v>
      </c>
      <c r="B338" s="857" t="s">
        <v>938</v>
      </c>
      <c r="C338" s="1097">
        <v>0.15</v>
      </c>
      <c r="D338" s="1097">
        <v>0.15</v>
      </c>
      <c r="E338" s="1097">
        <v>0.15</v>
      </c>
      <c r="F338" s="1114"/>
    </row>
    <row r="339" spans="1:6" ht="14.25" thickBot="1">
      <c r="A339" s="856" t="s">
        <v>937</v>
      </c>
      <c r="B339" s="850" t="s">
        <v>939</v>
      </c>
      <c r="C339" s="1099">
        <v>0.15</v>
      </c>
      <c r="D339" s="1099">
        <v>0.15</v>
      </c>
      <c r="E339" s="1099">
        <v>0.15</v>
      </c>
      <c r="F339" s="1104"/>
    </row>
    <row r="340" spans="1:6" ht="14.25" thickBot="1">
      <c r="A340" s="856" t="s">
        <v>937</v>
      </c>
      <c r="B340" s="850" t="s">
        <v>940</v>
      </c>
      <c r="C340" s="1099">
        <v>0.15</v>
      </c>
      <c r="D340" s="1099">
        <v>0.15</v>
      </c>
      <c r="E340" s="1099">
        <v>0.15</v>
      </c>
      <c r="F340" s="1104"/>
    </row>
    <row r="341" spans="1:6" ht="14.25" thickBot="1">
      <c r="A341" s="856" t="s">
        <v>937</v>
      </c>
      <c r="B341" s="850" t="s">
        <v>941</v>
      </c>
      <c r="C341" s="1099">
        <v>0.15</v>
      </c>
      <c r="D341" s="1099">
        <v>0.15</v>
      </c>
      <c r="E341" s="1099">
        <v>0.15</v>
      </c>
      <c r="F341" s="1100">
        <v>0.15</v>
      </c>
    </row>
    <row r="342" spans="1:6" ht="14.25" thickBot="1">
      <c r="A342" s="856" t="s">
        <v>937</v>
      </c>
      <c r="B342" s="850" t="s">
        <v>942</v>
      </c>
      <c r="C342" s="1099">
        <v>0.15</v>
      </c>
      <c r="D342" s="1099">
        <v>0.15</v>
      </c>
      <c r="E342" s="1099">
        <v>0.15</v>
      </c>
      <c r="F342" s="1100">
        <v>0.15</v>
      </c>
    </row>
    <row r="343" spans="1:6" ht="14.25" thickBot="1">
      <c r="A343" s="856" t="s">
        <v>937</v>
      </c>
      <c r="B343" s="850" t="s">
        <v>943</v>
      </c>
      <c r="C343" s="1099">
        <v>0.15</v>
      </c>
      <c r="D343" s="1099">
        <v>0.15</v>
      </c>
      <c r="E343" s="1099">
        <v>0.15</v>
      </c>
      <c r="F343" s="1100">
        <v>0.15</v>
      </c>
    </row>
    <row r="344" spans="1:6" ht="14.25" thickBot="1">
      <c r="A344" s="873" t="s">
        <v>937</v>
      </c>
      <c r="B344" s="866" t="s">
        <v>944</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5" customWidth="1"/>
    <col min="2" max="2" width="40.625" style="1284" customWidth="1"/>
    <col min="3" max="3" width="9" style="1285"/>
    <col min="4" max="5" width="9" style="1286"/>
    <col min="6" max="6" width="9" style="1287"/>
    <col min="7" max="7" width="1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t="str">
        <f>估价对象房地状况!C4</f>
        <v>——</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估价对象周边道路状况为临近金榆路、通8路、快专55路公交线路经过、停车便捷程度较好，综合评价交通便捷度一般</v>
      </c>
      <c r="C5" s="807" t="s">
        <v>31</v>
      </c>
      <c r="D5" s="827">
        <f t="shared" ref="D5:D12" si="1">SUMIF($I$3:$M$3,C5,I5:M5)</f>
        <v>0</v>
      </c>
      <c r="E5" s="828">
        <v>0.25</v>
      </c>
      <c r="F5" s="832"/>
      <c r="G5" s="1278"/>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8"/>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城市次干道——温榆河西路</v>
      </c>
      <c r="C8" s="807" t="s">
        <v>713</v>
      </c>
      <c r="D8" s="827">
        <f t="shared" si="1"/>
        <v>0.02</v>
      </c>
      <c r="E8" s="828">
        <v>0.08</v>
      </c>
      <c r="F8" s="832"/>
      <c r="G8" s="1278"/>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8"/>
      <c r="H9" s="969">
        <v>0.01</v>
      </c>
      <c r="I9" s="806">
        <f t="shared" si="2"/>
        <v>0.02</v>
      </c>
      <c r="J9" s="806">
        <f t="shared" si="3"/>
        <v>0.01</v>
      </c>
      <c r="K9" s="805">
        <v>0</v>
      </c>
      <c r="L9" s="806">
        <f t="shared" si="0"/>
        <v>-0.01</v>
      </c>
      <c r="M9" s="806">
        <f t="shared" si="0"/>
        <v>-0.02</v>
      </c>
    </row>
    <row r="10" spans="1:20" ht="14.25">
      <c r="A10" s="833" t="s">
        <v>719</v>
      </c>
      <c r="B10" s="1203" t="str">
        <f>估价对象房地状况!C7</f>
        <v>估价对象所在区域公共配套设施齐备情况一般</v>
      </c>
      <c r="C10" s="807" t="s">
        <v>29</v>
      </c>
      <c r="D10" s="827">
        <f t="shared" si="1"/>
        <v>0.04</v>
      </c>
      <c r="E10" s="828">
        <v>0.05</v>
      </c>
      <c r="F10" s="832"/>
      <c r="G10" s="1278"/>
      <c r="H10" s="969">
        <v>0.02</v>
      </c>
      <c r="I10" s="806">
        <f t="shared" si="2"/>
        <v>0.04</v>
      </c>
      <c r="J10" s="806">
        <f t="shared" si="3"/>
        <v>0.02</v>
      </c>
      <c r="K10" s="805">
        <v>0</v>
      </c>
      <c r="L10" s="806">
        <f t="shared" si="0"/>
        <v>-0.02</v>
      </c>
      <c r="M10" s="806">
        <f t="shared" si="0"/>
        <v>-0.04</v>
      </c>
    </row>
    <row r="11" spans="1:20" ht="14.25">
      <c r="A11" s="833" t="s">
        <v>720</v>
      </c>
      <c r="B11" s="1204"/>
      <c r="C11" s="807" t="s">
        <v>31</v>
      </c>
      <c r="D11" s="827">
        <f t="shared" si="1"/>
        <v>0</v>
      </c>
      <c r="E11" s="828">
        <v>0.1</v>
      </c>
      <c r="F11" s="832"/>
      <c r="G11" s="1278"/>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区域2公里内有自然环境：温榆河；人文环境：北京物资学院；综合评价环境状况较好</v>
      </c>
      <c r="C12" s="807" t="s">
        <v>29</v>
      </c>
      <c r="D12" s="827">
        <f t="shared" si="1"/>
        <v>0.04</v>
      </c>
      <c r="E12" s="837">
        <v>0.06</v>
      </c>
      <c r="F12" s="838"/>
      <c r="G12" s="1278"/>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估价对象位于北京市副中心西北部，周边办公楼项目较少，入驻率一般，办公集聚程度较差</v>
      </c>
      <c r="C15" s="807" t="s">
        <v>713</v>
      </c>
      <c r="D15" s="827">
        <f t="shared" ref="D15:D23" si="4">SUMIF($I$3:$M$3,C15,I15:M15)</f>
        <v>0.02</v>
      </c>
      <c r="E15" s="828">
        <v>0.24</v>
      </c>
      <c r="F15" s="829">
        <f>D15*E15+D16*E16+D17*E17+D18*E18+D19*E19+D20*E20+D21*E21+D22*E22+D23*E23</f>
        <v>1.49E-2</v>
      </c>
      <c r="G15" s="830">
        <f>IF(基准地价修正!E2="办公",SUMIF(基准地价修正!L1:L12,基准地价修正!G2,基准地价修正!N1:N12),"——")</f>
        <v>0.13</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估价对象周边道路状况为临近金榆路、通8路、快专55路公交线路经过、停车便捷程度较好，综合评价交通便捷度一般</v>
      </c>
      <c r="C16" s="807" t="s">
        <v>713</v>
      </c>
      <c r="D16" s="827">
        <f t="shared" si="4"/>
        <v>0.01</v>
      </c>
      <c r="E16" s="828">
        <v>0.3</v>
      </c>
      <c r="F16" s="832"/>
      <c r="G16" s="1278"/>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8"/>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城市次干道——温榆河西路</v>
      </c>
      <c r="C19" s="807" t="s">
        <v>713</v>
      </c>
      <c r="D19" s="827">
        <f t="shared" si="4"/>
        <v>0.02</v>
      </c>
      <c r="E19" s="828">
        <v>0.05</v>
      </c>
      <c r="F19" s="832"/>
      <c r="G19" s="1278"/>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8"/>
      <c r="H20" s="969">
        <v>0.01</v>
      </c>
      <c r="I20" s="806">
        <f t="shared" si="6"/>
        <v>0.02</v>
      </c>
      <c r="J20" s="806">
        <f t="shared" si="7"/>
        <v>0.01</v>
      </c>
      <c r="K20" s="805">
        <v>0</v>
      </c>
      <c r="L20" s="806">
        <f t="shared" si="5"/>
        <v>-0.01</v>
      </c>
      <c r="M20" s="806">
        <f t="shared" si="5"/>
        <v>-0.02</v>
      </c>
    </row>
    <row r="21" spans="1:20" ht="14.25">
      <c r="A21" s="820" t="s">
        <v>719</v>
      </c>
      <c r="B21" s="1203" t="str">
        <f>估价对象房地状况!C7</f>
        <v>估价对象所在区域公共配套设施齐备情况一般</v>
      </c>
      <c r="C21" s="807" t="s">
        <v>713</v>
      </c>
      <c r="D21" s="827">
        <f t="shared" si="4"/>
        <v>0.02</v>
      </c>
      <c r="E21" s="828">
        <v>0.06</v>
      </c>
      <c r="F21" s="832"/>
      <c r="G21" s="1278"/>
      <c r="H21" s="969">
        <v>0.02</v>
      </c>
      <c r="I21" s="806">
        <f t="shared" si="6"/>
        <v>0.04</v>
      </c>
      <c r="J21" s="806">
        <f t="shared" si="7"/>
        <v>0.02</v>
      </c>
      <c r="K21" s="805">
        <v>0</v>
      </c>
      <c r="L21" s="806">
        <f t="shared" si="5"/>
        <v>-0.02</v>
      </c>
      <c r="M21" s="806">
        <f t="shared" si="5"/>
        <v>-0.04</v>
      </c>
    </row>
    <row r="22" spans="1:20" ht="14.25">
      <c r="A22" s="820" t="s">
        <v>720</v>
      </c>
      <c r="B22" s="1204"/>
      <c r="C22" s="807" t="s">
        <v>713</v>
      </c>
      <c r="D22" s="827">
        <f t="shared" si="4"/>
        <v>0.01</v>
      </c>
      <c r="E22" s="828">
        <v>0.12</v>
      </c>
      <c r="F22" s="832"/>
      <c r="G22" s="1278"/>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区域2公里内有自然环境：温榆河；人文环境：北京物资学院；综合评价环境状况较好</v>
      </c>
      <c r="C23" s="807" t="s">
        <v>713</v>
      </c>
      <c r="D23" s="827">
        <f t="shared" si="4"/>
        <v>0.02</v>
      </c>
      <c r="E23" s="837">
        <v>0.06</v>
      </c>
      <c r="F23" s="838"/>
      <c r="G23" s="1278"/>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14.25">
      <c r="A26" s="820" t="s">
        <v>723</v>
      </c>
      <c r="B26" s="826" t="str">
        <f>估价对象房地状况!C3</f>
        <v>——</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估价对象周边道路状况为临近金榆路、通8路、快专55路公交线路经过、停车便捷程度较好，综合评价交通便捷度一般</v>
      </c>
      <c r="C27" s="807" t="s">
        <v>713</v>
      </c>
      <c r="D27" s="827">
        <f t="shared" si="8"/>
        <v>0.08</v>
      </c>
      <c r="E27" s="828">
        <v>0.3</v>
      </c>
      <c r="F27" s="840"/>
      <c r="G27" s="1280"/>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0"/>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城市次干道——温榆河西路</v>
      </c>
      <c r="C29" s="807" t="s">
        <v>29</v>
      </c>
      <c r="D29" s="827">
        <f t="shared" si="8"/>
        <v>0.05</v>
      </c>
      <c r="E29" s="828">
        <v>0.04</v>
      </c>
      <c r="F29" s="840"/>
      <c r="G29" s="1280"/>
      <c r="H29" s="969">
        <v>2.5000000000000001E-2</v>
      </c>
      <c r="I29" s="806">
        <f t="shared" si="10"/>
        <v>0.05</v>
      </c>
      <c r="J29" s="806">
        <f t="shared" si="11"/>
        <v>2.5000000000000001E-2</v>
      </c>
      <c r="K29" s="805">
        <v>0</v>
      </c>
      <c r="L29" s="806">
        <f t="shared" si="9"/>
        <v>-2.5000000000000001E-2</v>
      </c>
      <c r="M29" s="806">
        <f t="shared" si="9"/>
        <v>-0.05</v>
      </c>
    </row>
    <row r="30" spans="1:20" s="1276" customFormat="1" ht="14.25">
      <c r="A30" s="820" t="s">
        <v>719</v>
      </c>
      <c r="B30" s="1203" t="str">
        <f>估价对象房地状况!C7</f>
        <v>估价对象所在区域公共配套设施齐备情况一般</v>
      </c>
      <c r="C30" s="807" t="s">
        <v>713</v>
      </c>
      <c r="D30" s="827">
        <f t="shared" si="8"/>
        <v>0.03</v>
      </c>
      <c r="E30" s="828">
        <v>0.08</v>
      </c>
      <c r="F30" s="840"/>
      <c r="G30" s="1280"/>
      <c r="H30" s="969">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25">
      <c r="A31" s="820" t="s">
        <v>720</v>
      </c>
      <c r="B31" s="1204"/>
      <c r="C31" s="807" t="s">
        <v>29</v>
      </c>
      <c r="D31" s="827">
        <f t="shared" si="8"/>
        <v>0.06</v>
      </c>
      <c r="E31" s="828">
        <v>0.12</v>
      </c>
      <c r="F31" s="840"/>
      <c r="G31" s="1280"/>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0"/>
      <c r="H32" s="969">
        <v>0.03</v>
      </c>
      <c r="I32" s="806">
        <f t="shared" si="10"/>
        <v>0.06</v>
      </c>
      <c r="J32" s="806">
        <f t="shared" si="11"/>
        <v>0.03</v>
      </c>
      <c r="K32" s="805">
        <v>0</v>
      </c>
      <c r="L32" s="806">
        <f t="shared" si="9"/>
        <v>-0.03</v>
      </c>
      <c r="M32" s="806">
        <f t="shared" si="9"/>
        <v>-0.06</v>
      </c>
    </row>
    <row r="33" spans="1:13" ht="24">
      <c r="A33" s="820" t="s">
        <v>721</v>
      </c>
      <c r="B33" s="826" t="str">
        <f>估价对象房地状况!C9</f>
        <v>区域2公里内有自然环境：温榆河；人文环境：北京物资学院；综合评价环境状况较好</v>
      </c>
      <c r="C33" s="807" t="s">
        <v>713</v>
      </c>
      <c r="D33" s="827">
        <f t="shared" si="8"/>
        <v>0.06</v>
      </c>
      <c r="E33" s="828">
        <v>0.15</v>
      </c>
      <c r="F33" s="840"/>
      <c r="G33" s="1280"/>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0"/>
      <c r="H34" s="969">
        <v>0.03</v>
      </c>
      <c r="I34" s="806">
        <f t="shared" si="10"/>
        <v>0.06</v>
      </c>
      <c r="J34" s="806">
        <f t="shared" si="11"/>
        <v>0.03</v>
      </c>
      <c r="K34" s="805">
        <v>0</v>
      </c>
      <c r="L34" s="806">
        <f t="shared" si="9"/>
        <v>-0.03</v>
      </c>
      <c r="M34" s="806">
        <f t="shared" si="9"/>
        <v>-0.06</v>
      </c>
    </row>
    <row r="35" spans="1:13" ht="15">
      <c r="A35" s="814" t="s">
        <v>135</v>
      </c>
      <c r="B35" s="815">
        <f>1+F37</f>
        <v>1.0127999999999999</v>
      </c>
      <c r="C35" s="1279"/>
      <c r="D35" s="817"/>
      <c r="E35" s="817"/>
      <c r="F35" s="818"/>
      <c r="G35" s="1277"/>
      <c r="H35" s="1273"/>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0"/>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0"/>
      <c r="H40" s="969">
        <v>0.01</v>
      </c>
      <c r="I40" s="806">
        <f t="shared" si="14"/>
        <v>0.02</v>
      </c>
      <c r="J40" s="806">
        <f t="shared" si="15"/>
        <v>0.01</v>
      </c>
      <c r="K40" s="805">
        <v>0</v>
      </c>
      <c r="L40" s="806">
        <f t="shared" si="13"/>
        <v>-0.01</v>
      </c>
      <c r="M40" s="806">
        <f t="shared" si="13"/>
        <v>-0.02</v>
      </c>
    </row>
    <row r="41" spans="1:13" ht="14.25">
      <c r="A41" s="820" t="s">
        <v>719</v>
      </c>
      <c r="B41" s="1203" t="str">
        <f>估价对象房地状况!G19</f>
        <v>估价对象所在区域公共配套设施齐备情况</v>
      </c>
      <c r="C41" s="807" t="s">
        <v>713</v>
      </c>
      <c r="D41" s="827">
        <f t="shared" si="12"/>
        <v>0.02</v>
      </c>
      <c r="E41" s="828">
        <v>0.06</v>
      </c>
      <c r="F41" s="840"/>
      <c r="G41" s="1280"/>
      <c r="H41" s="969">
        <v>0.02</v>
      </c>
      <c r="I41" s="806">
        <f t="shared" si="14"/>
        <v>0.04</v>
      </c>
      <c r="J41" s="806">
        <f t="shared" si="15"/>
        <v>0.02</v>
      </c>
      <c r="K41" s="805">
        <v>0</v>
      </c>
      <c r="L41" s="806">
        <f t="shared" si="13"/>
        <v>-0.02</v>
      </c>
      <c r="M41" s="806">
        <f t="shared" si="13"/>
        <v>-0.04</v>
      </c>
    </row>
    <row r="42" spans="1:13" ht="14.25">
      <c r="A42" s="820" t="s">
        <v>720</v>
      </c>
      <c r="B42" s="1204"/>
      <c r="C42" s="807" t="s">
        <v>713</v>
      </c>
      <c r="D42" s="827">
        <f t="shared" si="12"/>
        <v>0.01</v>
      </c>
      <c r="E42" s="828">
        <v>0.15</v>
      </c>
      <c r="F42" s="840"/>
      <c r="G42" s="1280"/>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0"/>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9">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4" t="s">
        <v>105</v>
      </c>
      <c r="B1" s="3084"/>
      <c r="C1" s="3084"/>
      <c r="D1" s="3084"/>
      <c r="E1" s="3084"/>
      <c r="F1" s="3084"/>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5" t="s">
        <v>118</v>
      </c>
      <c r="B2" s="3085"/>
      <c r="C2" s="3085"/>
      <c r="D2" s="3085"/>
      <c r="E2" s="3085"/>
      <c r="F2" s="3085"/>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6"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7"/>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7090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88" t="s">
        <v>132</v>
      </c>
      <c r="B18" s="907" t="s">
        <v>517</v>
      </c>
      <c r="C18" s="908" t="s">
        <v>518</v>
      </c>
      <c r="D18" s="909"/>
      <c r="E18" s="907">
        <v>1</v>
      </c>
      <c r="F18" s="910" t="s">
        <v>519</v>
      </c>
      <c r="G18" s="911"/>
      <c r="H18" s="903"/>
      <c r="I18" s="903"/>
    </row>
    <row r="19" spans="1:9" s="912" customFormat="1" ht="19.5" customHeight="1">
      <c r="A19" s="3088"/>
      <c r="B19" s="3088" t="s">
        <v>520</v>
      </c>
      <c r="C19" s="908" t="s">
        <v>521</v>
      </c>
      <c r="D19" s="909"/>
      <c r="E19" s="907">
        <v>0.9</v>
      </c>
      <c r="F19" s="910" t="s">
        <v>522</v>
      </c>
      <c r="G19" s="911"/>
      <c r="H19" s="903"/>
      <c r="I19" s="903"/>
    </row>
    <row r="20" spans="1:9" s="912" customFormat="1" ht="19.5" customHeight="1">
      <c r="A20" s="3088"/>
      <c r="B20" s="3088"/>
      <c r="C20" s="908" t="s">
        <v>523</v>
      </c>
      <c r="D20" s="909"/>
      <c r="E20" s="907">
        <v>1.1000000000000001</v>
      </c>
      <c r="F20" s="910" t="s">
        <v>524</v>
      </c>
      <c r="G20" s="911"/>
      <c r="H20" s="903"/>
      <c r="I20" s="903"/>
    </row>
    <row r="21" spans="1:9" s="912" customFormat="1" ht="19.5" customHeight="1">
      <c r="A21" s="3088"/>
      <c r="B21" s="3088"/>
      <c r="C21" s="908" t="s">
        <v>525</v>
      </c>
      <c r="D21" s="909"/>
      <c r="E21" s="907">
        <v>0.8</v>
      </c>
      <c r="F21" s="910" t="s">
        <v>526</v>
      </c>
      <c r="G21" s="911"/>
      <c r="H21" s="903"/>
      <c r="I21" s="903"/>
    </row>
    <row r="22" spans="1:9" s="912" customFormat="1" ht="19.5" customHeight="1">
      <c r="A22" s="3088"/>
      <c r="B22" s="3088"/>
      <c r="C22" s="908" t="s">
        <v>527</v>
      </c>
      <c r="D22" s="909"/>
      <c r="E22" s="907">
        <v>0.5</v>
      </c>
      <c r="F22" s="910"/>
      <c r="G22" s="911"/>
      <c r="H22" s="903"/>
      <c r="I22" s="903"/>
    </row>
    <row r="23" spans="1:9" s="912" customFormat="1" ht="19.5" customHeight="1">
      <c r="A23" s="3088" t="s">
        <v>133</v>
      </c>
      <c r="B23" s="907" t="s">
        <v>517</v>
      </c>
      <c r="C23" s="908" t="s">
        <v>528</v>
      </c>
      <c r="D23" s="909"/>
      <c r="E23" s="907">
        <v>1</v>
      </c>
      <c r="F23" s="910" t="s">
        <v>529</v>
      </c>
      <c r="G23" s="911"/>
      <c r="H23" s="903"/>
      <c r="I23" s="903"/>
    </row>
    <row r="24" spans="1:9" s="912" customFormat="1" ht="19.5" customHeight="1">
      <c r="A24" s="3088"/>
      <c r="B24" s="3088" t="s">
        <v>520</v>
      </c>
      <c r="C24" s="908" t="s">
        <v>530</v>
      </c>
      <c r="D24" s="909"/>
      <c r="E24" s="907">
        <v>0.5</v>
      </c>
      <c r="F24" s="910"/>
      <c r="G24" s="911"/>
      <c r="H24" s="903"/>
      <c r="I24" s="903"/>
    </row>
    <row r="25" spans="1:9" s="912" customFormat="1" ht="19.5" customHeight="1">
      <c r="A25" s="3088"/>
      <c r="B25" s="3088"/>
      <c r="C25" s="908" t="s">
        <v>531</v>
      </c>
      <c r="D25" s="909"/>
      <c r="E25" s="907">
        <v>1.1000000000000001</v>
      </c>
      <c r="F25" s="910"/>
      <c r="G25" s="911"/>
      <c r="H25" s="903"/>
      <c r="I25" s="903"/>
    </row>
    <row r="26" spans="1:9" s="912" customFormat="1" ht="19.5" customHeight="1">
      <c r="A26" s="3088"/>
      <c r="B26" s="3088"/>
      <c r="C26" s="908" t="s">
        <v>532</v>
      </c>
      <c r="D26" s="909"/>
      <c r="E26" s="907">
        <v>1.1000000000000001</v>
      </c>
      <c r="F26" s="910"/>
      <c r="G26" s="911"/>
      <c r="H26" s="903"/>
      <c r="I26" s="903"/>
    </row>
    <row r="27" spans="1:9" s="912" customFormat="1" ht="19.5" customHeight="1">
      <c r="A27" s="3088"/>
      <c r="B27" s="3088"/>
      <c r="C27" s="908" t="s">
        <v>533</v>
      </c>
      <c r="D27" s="909"/>
      <c r="E27" s="907">
        <v>0.9</v>
      </c>
      <c r="F27" s="910" t="s">
        <v>534</v>
      </c>
      <c r="G27" s="911"/>
      <c r="H27" s="903"/>
      <c r="I27" s="903"/>
    </row>
    <row r="28" spans="1:9" s="912" customFormat="1" ht="19.5" customHeight="1">
      <c r="A28" s="3088"/>
      <c r="B28" s="3088"/>
      <c r="C28" s="908" t="s">
        <v>535</v>
      </c>
      <c r="D28" s="909"/>
      <c r="E28" s="907">
        <v>0.9</v>
      </c>
      <c r="F28" s="910" t="s">
        <v>536</v>
      </c>
      <c r="G28" s="911"/>
      <c r="H28" s="903"/>
      <c r="I28" s="903"/>
    </row>
    <row r="29" spans="1:9" s="912" customFormat="1" ht="19.5" customHeight="1">
      <c r="A29" s="3088"/>
      <c r="B29" s="3088"/>
      <c r="C29" s="908" t="s">
        <v>537</v>
      </c>
      <c r="D29" s="909"/>
      <c r="E29" s="907">
        <v>0.9</v>
      </c>
      <c r="F29" s="910" t="s">
        <v>538</v>
      </c>
      <c r="G29" s="911"/>
      <c r="H29" s="903"/>
      <c r="I29" s="903"/>
    </row>
    <row r="30" spans="1:9" s="912" customFormat="1" ht="19.5" customHeight="1">
      <c r="A30" s="3088"/>
      <c r="B30" s="3088"/>
      <c r="C30" s="908" t="s">
        <v>539</v>
      </c>
      <c r="D30" s="909"/>
      <c r="E30" s="907">
        <v>0.9</v>
      </c>
      <c r="F30" s="910" t="s">
        <v>540</v>
      </c>
      <c r="G30" s="911"/>
      <c r="H30" s="903"/>
      <c r="I30" s="903"/>
    </row>
    <row r="31" spans="1:9" s="912" customFormat="1" ht="19.5" customHeight="1">
      <c r="A31" s="3088"/>
      <c r="B31" s="3088"/>
      <c r="C31" s="908" t="s">
        <v>541</v>
      </c>
      <c r="D31" s="909"/>
      <c r="E31" s="907">
        <v>0.8</v>
      </c>
      <c r="F31" s="910" t="s">
        <v>542</v>
      </c>
      <c r="G31" s="911"/>
      <c r="H31" s="903"/>
      <c r="I31" s="903"/>
    </row>
    <row r="32" spans="1:9" s="912" customFormat="1" ht="19.5" customHeight="1">
      <c r="A32" s="3088"/>
      <c r="B32" s="3088"/>
      <c r="C32" s="908" t="s">
        <v>543</v>
      </c>
      <c r="D32" s="909"/>
      <c r="E32" s="907">
        <v>0.8</v>
      </c>
      <c r="F32" s="910" t="s">
        <v>544</v>
      </c>
      <c r="G32" s="911"/>
      <c r="H32" s="903"/>
      <c r="I32" s="903"/>
    </row>
    <row r="33" spans="1:9" s="912" customFormat="1" ht="19.5" customHeight="1">
      <c r="A33" s="3088" t="s">
        <v>134</v>
      </c>
      <c r="B33" s="907" t="s">
        <v>517</v>
      </c>
      <c r="C33" s="908" t="s">
        <v>545</v>
      </c>
      <c r="D33" s="909"/>
      <c r="E33" s="907">
        <v>1</v>
      </c>
      <c r="F33" s="910" t="s">
        <v>546</v>
      </c>
      <c r="G33" s="911"/>
      <c r="H33" s="903"/>
      <c r="I33" s="903"/>
    </row>
    <row r="34" spans="1:9" s="912" customFormat="1" ht="19.5" customHeight="1">
      <c r="A34" s="3088"/>
      <c r="B34" s="907" t="s">
        <v>520</v>
      </c>
      <c r="C34" s="908" t="s">
        <v>547</v>
      </c>
      <c r="D34" s="909"/>
      <c r="E34" s="907">
        <v>1.5</v>
      </c>
      <c r="F34" s="910" t="s">
        <v>548</v>
      </c>
      <c r="G34" s="911"/>
      <c r="H34" s="903"/>
      <c r="I34" s="903"/>
    </row>
    <row r="35" spans="1:9" s="912" customFormat="1" ht="19.5" customHeight="1">
      <c r="A35" s="3088" t="s">
        <v>135</v>
      </c>
      <c r="B35" s="907" t="s">
        <v>517</v>
      </c>
      <c r="C35" s="908" t="s">
        <v>549</v>
      </c>
      <c r="D35" s="909"/>
      <c r="E35" s="907">
        <v>1</v>
      </c>
      <c r="F35" s="910" t="s">
        <v>550</v>
      </c>
      <c r="G35" s="911"/>
      <c r="H35" s="903"/>
      <c r="I35" s="903"/>
    </row>
    <row r="36" spans="1:9" s="912" customFormat="1" ht="19.5" customHeight="1">
      <c r="A36" s="3088"/>
      <c r="B36" s="3088" t="s">
        <v>520</v>
      </c>
      <c r="C36" s="908" t="s">
        <v>551</v>
      </c>
      <c r="D36" s="909"/>
      <c r="E36" s="907">
        <v>1</v>
      </c>
      <c r="F36" s="910" t="s">
        <v>552</v>
      </c>
      <c r="G36" s="911"/>
      <c r="H36" s="903"/>
      <c r="I36" s="903"/>
    </row>
    <row r="37" spans="1:9" s="912" customFormat="1" ht="19.5" customHeight="1">
      <c r="A37" s="3088"/>
      <c r="B37" s="3088"/>
      <c r="C37" s="908" t="s">
        <v>553</v>
      </c>
      <c r="D37" s="909"/>
      <c r="E37" s="907">
        <v>1.5</v>
      </c>
      <c r="F37" s="910" t="s">
        <v>554</v>
      </c>
      <c r="G37" s="911"/>
      <c r="H37" s="903"/>
      <c r="I37" s="903"/>
    </row>
    <row r="38" spans="1:9" s="912" customFormat="1" ht="19.5" customHeight="1">
      <c r="A38" s="3088"/>
      <c r="B38" s="3088"/>
      <c r="C38" s="908" t="s">
        <v>555</v>
      </c>
      <c r="D38" s="909"/>
      <c r="E38" s="907">
        <v>1</v>
      </c>
      <c r="F38" s="910" t="s">
        <v>556</v>
      </c>
      <c r="G38" s="911"/>
      <c r="H38" s="903"/>
      <c r="I38" s="903"/>
    </row>
    <row r="39" spans="1:9" s="912" customFormat="1" ht="19.5" customHeight="1">
      <c r="A39" s="3088"/>
      <c r="B39" s="3088"/>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88" t="s">
        <v>571</v>
      </c>
      <c r="C61" s="821" t="s">
        <v>572</v>
      </c>
      <c r="D61" s="821" t="s">
        <v>573</v>
      </c>
      <c r="E61" s="920">
        <v>0.5</v>
      </c>
      <c r="F61" s="907">
        <v>80</v>
      </c>
    </row>
    <row r="62" spans="1:8" s="903" customFormat="1" ht="24">
      <c r="A62" s="907">
        <v>2</v>
      </c>
      <c r="B62" s="3088"/>
      <c r="C62" s="821" t="s">
        <v>574</v>
      </c>
      <c r="D62" s="821" t="s">
        <v>575</v>
      </c>
      <c r="E62" s="920">
        <v>0.5</v>
      </c>
      <c r="F62" s="907">
        <v>80</v>
      </c>
    </row>
    <row r="63" spans="1:8" s="903" customFormat="1" ht="36">
      <c r="A63" s="907">
        <v>3</v>
      </c>
      <c r="B63" s="3088"/>
      <c r="C63" s="821" t="s">
        <v>576</v>
      </c>
      <c r="D63" s="821" t="s">
        <v>577</v>
      </c>
      <c r="E63" s="920">
        <v>0.5</v>
      </c>
      <c r="F63" s="907">
        <v>80</v>
      </c>
    </row>
    <row r="64" spans="1:8" s="903" customFormat="1" ht="36">
      <c r="A64" s="907">
        <v>4</v>
      </c>
      <c r="B64" s="3088"/>
      <c r="C64" s="821" t="s">
        <v>578</v>
      </c>
      <c r="D64" s="821" t="s">
        <v>579</v>
      </c>
      <c r="E64" s="920">
        <v>0.4</v>
      </c>
      <c r="F64" s="907">
        <v>60</v>
      </c>
    </row>
    <row r="65" spans="1:6" s="903" customFormat="1" ht="36">
      <c r="A65" s="907">
        <v>5</v>
      </c>
      <c r="B65" s="3088"/>
      <c r="C65" s="821" t="s">
        <v>580</v>
      </c>
      <c r="D65" s="821" t="s">
        <v>581</v>
      </c>
      <c r="E65" s="920">
        <v>0.2</v>
      </c>
      <c r="F65" s="907">
        <v>30</v>
      </c>
    </row>
    <row r="66" spans="1:6" s="903" customFormat="1" ht="36">
      <c r="A66" s="907">
        <v>6</v>
      </c>
      <c r="B66" s="3088"/>
      <c r="C66" s="821" t="s">
        <v>582</v>
      </c>
      <c r="D66" s="821" t="s">
        <v>583</v>
      </c>
      <c r="E66" s="920">
        <v>0.3</v>
      </c>
      <c r="F66" s="907">
        <v>50</v>
      </c>
    </row>
    <row r="67" spans="1:6" s="903" customFormat="1" ht="36">
      <c r="A67" s="907">
        <v>7</v>
      </c>
      <c r="B67" s="3088"/>
      <c r="C67" s="821" t="s">
        <v>584</v>
      </c>
      <c r="D67" s="821" t="s">
        <v>585</v>
      </c>
      <c r="E67" s="920">
        <v>0.2</v>
      </c>
      <c r="F67" s="907">
        <v>30</v>
      </c>
    </row>
    <row r="68" spans="1:6" s="903" customFormat="1" ht="36">
      <c r="A68" s="907">
        <v>8</v>
      </c>
      <c r="B68" s="3088"/>
      <c r="C68" s="821" t="s">
        <v>586</v>
      </c>
      <c r="D68" s="821" t="s">
        <v>587</v>
      </c>
      <c r="E68" s="920">
        <v>0.2</v>
      </c>
      <c r="F68" s="907">
        <v>30</v>
      </c>
    </row>
    <row r="69" spans="1:6" s="903" customFormat="1" ht="36">
      <c r="A69" s="907">
        <v>9</v>
      </c>
      <c r="B69" s="3088"/>
      <c r="C69" s="821" t="s">
        <v>588</v>
      </c>
      <c r="D69" s="821" t="s">
        <v>589</v>
      </c>
      <c r="E69" s="920">
        <v>0.2</v>
      </c>
      <c r="F69" s="907">
        <v>30</v>
      </c>
    </row>
    <row r="70" spans="1:6" s="903" customFormat="1" ht="48">
      <c r="A70" s="907">
        <v>10</v>
      </c>
      <c r="B70" s="3088"/>
      <c r="C70" s="821" t="s">
        <v>590</v>
      </c>
      <c r="D70" s="821" t="s">
        <v>591</v>
      </c>
      <c r="E70" s="920">
        <v>0.2</v>
      </c>
      <c r="F70" s="907">
        <v>30</v>
      </c>
    </row>
    <row r="71" spans="1:6" s="903" customFormat="1" ht="48">
      <c r="A71" s="907">
        <v>11</v>
      </c>
      <c r="B71" s="3088"/>
      <c r="C71" s="821" t="s">
        <v>592</v>
      </c>
      <c r="D71" s="821" t="s">
        <v>593</v>
      </c>
      <c r="E71" s="920">
        <v>0.2</v>
      </c>
      <c r="F71" s="907">
        <v>30</v>
      </c>
    </row>
    <row r="72" spans="1:6" s="903" customFormat="1" ht="36">
      <c r="A72" s="907">
        <v>12</v>
      </c>
      <c r="B72" s="3088"/>
      <c r="C72" s="821" t="s">
        <v>594</v>
      </c>
      <c r="D72" s="821" t="s">
        <v>595</v>
      </c>
      <c r="E72" s="920">
        <v>0.5</v>
      </c>
      <c r="F72" s="907">
        <v>80</v>
      </c>
    </row>
    <row r="73" spans="1:6" s="903" customFormat="1" ht="24">
      <c r="A73" s="907">
        <v>13</v>
      </c>
      <c r="B73" s="3088"/>
      <c r="C73" s="821" t="s">
        <v>596</v>
      </c>
      <c r="D73" s="821" t="s">
        <v>597</v>
      </c>
      <c r="E73" s="920">
        <v>0.4</v>
      </c>
      <c r="F73" s="907">
        <v>60</v>
      </c>
    </row>
    <row r="74" spans="1:6" s="903" customFormat="1" ht="24">
      <c r="A74" s="907">
        <v>14</v>
      </c>
      <c r="B74" s="3088"/>
      <c r="C74" s="821" t="s">
        <v>598</v>
      </c>
      <c r="D74" s="821" t="s">
        <v>599</v>
      </c>
      <c r="E74" s="920">
        <v>0.2</v>
      </c>
      <c r="F74" s="907">
        <v>30</v>
      </c>
    </row>
    <row r="75" spans="1:6" s="903" customFormat="1" ht="24">
      <c r="A75" s="907">
        <v>15</v>
      </c>
      <c r="B75" s="3088"/>
      <c r="C75" s="821" t="s">
        <v>600</v>
      </c>
      <c r="D75" s="821" t="s">
        <v>601</v>
      </c>
      <c r="E75" s="920">
        <v>0.2</v>
      </c>
      <c r="F75" s="907">
        <v>30</v>
      </c>
    </row>
    <row r="76" spans="1:6" s="903" customFormat="1" ht="24">
      <c r="A76" s="907">
        <v>16</v>
      </c>
      <c r="B76" s="3088" t="s">
        <v>602</v>
      </c>
      <c r="C76" s="821" t="s">
        <v>603</v>
      </c>
      <c r="D76" s="821" t="s">
        <v>604</v>
      </c>
      <c r="E76" s="920">
        <v>0.5</v>
      </c>
      <c r="F76" s="907">
        <v>80</v>
      </c>
    </row>
    <row r="77" spans="1:6" s="903" customFormat="1" ht="24">
      <c r="A77" s="907">
        <v>17</v>
      </c>
      <c r="B77" s="3088"/>
      <c r="C77" s="821" t="s">
        <v>605</v>
      </c>
      <c r="D77" s="821" t="s">
        <v>606</v>
      </c>
      <c r="E77" s="920">
        <v>0.5</v>
      </c>
      <c r="F77" s="907">
        <v>80</v>
      </c>
    </row>
    <row r="78" spans="1:6" s="903" customFormat="1" ht="24">
      <c r="A78" s="907">
        <v>18</v>
      </c>
      <c r="B78" s="3088"/>
      <c r="C78" s="821" t="s">
        <v>607</v>
      </c>
      <c r="D78" s="821" t="s">
        <v>608</v>
      </c>
      <c r="E78" s="920">
        <v>0.2</v>
      </c>
      <c r="F78" s="907">
        <v>30</v>
      </c>
    </row>
    <row r="79" spans="1:6" s="903" customFormat="1" ht="24">
      <c r="A79" s="907">
        <v>19</v>
      </c>
      <c r="B79" s="3088"/>
      <c r="C79" s="821" t="s">
        <v>609</v>
      </c>
      <c r="D79" s="821" t="s">
        <v>610</v>
      </c>
      <c r="E79" s="920">
        <v>0.5</v>
      </c>
      <c r="F79" s="907">
        <v>80</v>
      </c>
    </row>
    <row r="80" spans="1:6" s="903" customFormat="1" ht="36">
      <c r="A80" s="907">
        <v>20</v>
      </c>
      <c r="B80" s="3088"/>
      <c r="C80" s="821" t="s">
        <v>611</v>
      </c>
      <c r="D80" s="821" t="s">
        <v>612</v>
      </c>
      <c r="E80" s="920">
        <v>0.2</v>
      </c>
      <c r="F80" s="907">
        <v>30</v>
      </c>
    </row>
    <row r="81" spans="1:6" s="903" customFormat="1" ht="36">
      <c r="A81" s="907">
        <v>21</v>
      </c>
      <c r="B81" s="3088"/>
      <c r="C81" s="821" t="s">
        <v>613</v>
      </c>
      <c r="D81" s="821" t="s">
        <v>614</v>
      </c>
      <c r="E81" s="920">
        <v>0.2</v>
      </c>
      <c r="F81" s="907">
        <v>30</v>
      </c>
    </row>
    <row r="82" spans="1:6" s="903" customFormat="1" ht="48">
      <c r="A82" s="907">
        <v>22</v>
      </c>
      <c r="B82" s="3088"/>
      <c r="C82" s="821" t="s">
        <v>615</v>
      </c>
      <c r="D82" s="821" t="s">
        <v>616</v>
      </c>
      <c r="E82" s="920">
        <v>0.2</v>
      </c>
      <c r="F82" s="907">
        <v>30</v>
      </c>
    </row>
    <row r="83" spans="1:6" s="903" customFormat="1" ht="48">
      <c r="A83" s="907">
        <v>23</v>
      </c>
      <c r="B83" s="3088"/>
      <c r="C83" s="821" t="s">
        <v>617</v>
      </c>
      <c r="D83" s="821" t="s">
        <v>618</v>
      </c>
      <c r="E83" s="920">
        <v>0.2</v>
      </c>
      <c r="F83" s="907">
        <v>30</v>
      </c>
    </row>
    <row r="84" spans="1:6" s="903" customFormat="1" ht="36">
      <c r="A84" s="907">
        <v>24</v>
      </c>
      <c r="B84" s="3088"/>
      <c r="C84" s="821" t="s">
        <v>619</v>
      </c>
      <c r="D84" s="821" t="s">
        <v>620</v>
      </c>
      <c r="E84" s="920">
        <v>0.2</v>
      </c>
      <c r="F84" s="907">
        <v>30</v>
      </c>
    </row>
    <row r="85" spans="1:6" s="903" customFormat="1" ht="36">
      <c r="A85" s="907">
        <v>25</v>
      </c>
      <c r="B85" s="3088"/>
      <c r="C85" s="821" t="s">
        <v>621</v>
      </c>
      <c r="D85" s="821" t="s">
        <v>622</v>
      </c>
      <c r="E85" s="920">
        <v>0.5</v>
      </c>
      <c r="F85" s="907">
        <v>80</v>
      </c>
    </row>
    <row r="86" spans="1:6" s="903" customFormat="1" ht="36">
      <c r="A86" s="907">
        <v>26</v>
      </c>
      <c r="B86" s="3088"/>
      <c r="C86" s="821" t="s">
        <v>623</v>
      </c>
      <c r="D86" s="821" t="s">
        <v>624</v>
      </c>
      <c r="E86" s="920">
        <v>0.2</v>
      </c>
      <c r="F86" s="907">
        <v>30</v>
      </c>
    </row>
    <row r="87" spans="1:6" s="903" customFormat="1" ht="36">
      <c r="A87" s="907">
        <v>27</v>
      </c>
      <c r="B87" s="3088"/>
      <c r="C87" s="821" t="s">
        <v>625</v>
      </c>
      <c r="D87" s="821" t="s">
        <v>626</v>
      </c>
      <c r="E87" s="920">
        <v>0.2</v>
      </c>
      <c r="F87" s="907">
        <v>30</v>
      </c>
    </row>
    <row r="88" spans="1:6" s="903" customFormat="1" ht="36">
      <c r="A88" s="907">
        <v>28</v>
      </c>
      <c r="B88" s="3088"/>
      <c r="C88" s="821" t="s">
        <v>627</v>
      </c>
      <c r="D88" s="821" t="s">
        <v>628</v>
      </c>
      <c r="E88" s="920">
        <v>0.2</v>
      </c>
      <c r="F88" s="907">
        <v>30</v>
      </c>
    </row>
    <row r="89" spans="1:6" s="903" customFormat="1" ht="24">
      <c r="A89" s="907">
        <v>29</v>
      </c>
      <c r="B89" s="3088"/>
      <c r="C89" s="821" t="s">
        <v>629</v>
      </c>
      <c r="D89" s="821" t="s">
        <v>630</v>
      </c>
      <c r="E89" s="920">
        <v>0.2</v>
      </c>
      <c r="F89" s="907">
        <v>30</v>
      </c>
    </row>
    <row r="90" spans="1:6" s="903" customFormat="1" ht="24">
      <c r="A90" s="907">
        <v>30</v>
      </c>
      <c r="B90" s="3088"/>
      <c r="C90" s="821" t="s">
        <v>631</v>
      </c>
      <c r="D90" s="821" t="s">
        <v>632</v>
      </c>
      <c r="E90" s="920">
        <v>0.2</v>
      </c>
      <c r="F90" s="907">
        <v>30</v>
      </c>
    </row>
    <row r="91" spans="1:6" s="903" customFormat="1" ht="36">
      <c r="A91" s="907">
        <v>31</v>
      </c>
      <c r="B91" s="3088"/>
      <c r="C91" s="821" t="s">
        <v>633</v>
      </c>
      <c r="D91" s="821" t="s">
        <v>634</v>
      </c>
      <c r="E91" s="920">
        <v>0.2</v>
      </c>
      <c r="F91" s="907">
        <v>30</v>
      </c>
    </row>
    <row r="92" spans="1:6" s="903" customFormat="1" ht="24">
      <c r="A92" s="907">
        <v>32</v>
      </c>
      <c r="B92" s="3088" t="s">
        <v>635</v>
      </c>
      <c r="C92" s="907" t="s">
        <v>636</v>
      </c>
      <c r="D92" s="821" t="s">
        <v>637</v>
      </c>
      <c r="E92" s="920">
        <v>0.2</v>
      </c>
      <c r="F92" s="907">
        <v>30</v>
      </c>
    </row>
    <row r="93" spans="1:6" s="903" customFormat="1" ht="36">
      <c r="A93" s="907">
        <v>33</v>
      </c>
      <c r="B93" s="3088"/>
      <c r="C93" s="907" t="s">
        <v>638</v>
      </c>
      <c r="D93" s="821" t="s">
        <v>639</v>
      </c>
      <c r="E93" s="920">
        <v>0.2</v>
      </c>
      <c r="F93" s="907">
        <v>30</v>
      </c>
    </row>
    <row r="94" spans="1:6" s="903" customFormat="1" ht="48">
      <c r="A94" s="907">
        <v>34</v>
      </c>
      <c r="B94" s="3088"/>
      <c r="C94" s="907" t="s">
        <v>640</v>
      </c>
      <c r="D94" s="821" t="s">
        <v>641</v>
      </c>
      <c r="E94" s="920">
        <v>0.2</v>
      </c>
      <c r="F94" s="907">
        <v>30</v>
      </c>
    </row>
    <row r="95" spans="1:6" s="903" customFormat="1" ht="36">
      <c r="A95" s="907">
        <v>35</v>
      </c>
      <c r="B95" s="3088"/>
      <c r="C95" s="907" t="s">
        <v>642</v>
      </c>
      <c r="D95" s="821" t="s">
        <v>643</v>
      </c>
      <c r="E95" s="920">
        <v>0.2</v>
      </c>
      <c r="F95" s="907">
        <v>30</v>
      </c>
    </row>
    <row r="96" spans="1:6" s="903" customFormat="1" ht="48">
      <c r="A96" s="907">
        <v>36</v>
      </c>
      <c r="B96" s="3088"/>
      <c r="C96" s="821" t="s">
        <v>644</v>
      </c>
      <c r="D96" s="821" t="s">
        <v>645</v>
      </c>
      <c r="E96" s="920">
        <v>0.2</v>
      </c>
      <c r="F96" s="907">
        <v>30</v>
      </c>
    </row>
    <row r="97" spans="1:6" s="903" customFormat="1" ht="36">
      <c r="A97" s="907">
        <v>37</v>
      </c>
      <c r="B97" s="3088"/>
      <c r="C97" s="907" t="s">
        <v>646</v>
      </c>
      <c r="D97" s="821" t="s">
        <v>647</v>
      </c>
      <c r="E97" s="920">
        <v>0.2</v>
      </c>
      <c r="F97" s="907">
        <v>30</v>
      </c>
    </row>
    <row r="98" spans="1:6" s="903" customFormat="1" ht="36">
      <c r="A98" s="907">
        <v>38</v>
      </c>
      <c r="B98" s="3088"/>
      <c r="C98" s="907" t="s">
        <v>648</v>
      </c>
      <c r="D98" s="821" t="s">
        <v>649</v>
      </c>
      <c r="E98" s="920">
        <v>0.2</v>
      </c>
      <c r="F98" s="907">
        <v>30</v>
      </c>
    </row>
    <row r="99" spans="1:6" s="903" customFormat="1" ht="36">
      <c r="A99" s="907">
        <v>39</v>
      </c>
      <c r="B99" s="3088" t="s">
        <v>650</v>
      </c>
      <c r="C99" s="907" t="s">
        <v>651</v>
      </c>
      <c r="D99" s="821" t="s">
        <v>652</v>
      </c>
      <c r="E99" s="920">
        <v>0.3</v>
      </c>
      <c r="F99" s="907">
        <v>50</v>
      </c>
    </row>
    <row r="100" spans="1:6" s="903" customFormat="1" ht="24">
      <c r="A100" s="907">
        <v>40</v>
      </c>
      <c r="B100" s="3088"/>
      <c r="C100" s="907" t="s">
        <v>653</v>
      </c>
      <c r="D100" s="821" t="s">
        <v>654</v>
      </c>
      <c r="E100" s="920">
        <v>0.2</v>
      </c>
      <c r="F100" s="907">
        <v>30</v>
      </c>
    </row>
    <row r="101" spans="1:6" s="903" customFormat="1" ht="36">
      <c r="A101" s="907">
        <v>41</v>
      </c>
      <c r="B101" s="3088"/>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8" t="s">
        <v>665</v>
      </c>
      <c r="C105" s="907" t="s">
        <v>666</v>
      </c>
      <c r="D105" s="821" t="s">
        <v>667</v>
      </c>
      <c r="E105" s="920">
        <v>0.2</v>
      </c>
      <c r="F105" s="907">
        <v>30</v>
      </c>
    </row>
    <row r="106" spans="1:6" s="903" customFormat="1" ht="36">
      <c r="A106" s="907">
        <v>46</v>
      </c>
      <c r="B106" s="3088"/>
      <c r="C106" s="907" t="s">
        <v>668</v>
      </c>
      <c r="D106" s="821" t="s">
        <v>669</v>
      </c>
      <c r="E106" s="920">
        <v>0.2</v>
      </c>
      <c r="F106" s="907">
        <v>30</v>
      </c>
    </row>
    <row r="107" spans="1:6" s="903" customFormat="1" ht="36">
      <c r="A107" s="907">
        <v>47</v>
      </c>
      <c r="B107" s="3088" t="s">
        <v>670</v>
      </c>
      <c r="C107" s="907" t="s">
        <v>671</v>
      </c>
      <c r="D107" s="821" t="s">
        <v>672</v>
      </c>
      <c r="E107" s="920">
        <v>0.3</v>
      </c>
      <c r="F107" s="907">
        <v>50</v>
      </c>
    </row>
    <row r="108" spans="1:6" s="903" customFormat="1" ht="36">
      <c r="A108" s="907">
        <v>48</v>
      </c>
      <c r="B108" s="3088"/>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8" t="s">
        <v>681</v>
      </c>
      <c r="C111" s="907" t="s">
        <v>682</v>
      </c>
      <c r="D111" s="821" t="s">
        <v>683</v>
      </c>
      <c r="E111" s="920">
        <v>0.2</v>
      </c>
      <c r="F111" s="907">
        <v>30</v>
      </c>
    </row>
    <row r="112" spans="1:6" s="903" customFormat="1" ht="24">
      <c r="A112" s="907">
        <v>52</v>
      </c>
      <c r="B112" s="3088"/>
      <c r="C112" s="907" t="s">
        <v>684</v>
      </c>
      <c r="D112" s="821" t="s">
        <v>685</v>
      </c>
      <c r="E112" s="920">
        <v>0.2</v>
      </c>
      <c r="F112" s="907">
        <v>30</v>
      </c>
    </row>
    <row r="113" spans="1:6" s="903" customFormat="1" ht="24">
      <c r="A113" s="907">
        <v>53</v>
      </c>
      <c r="B113" s="3088"/>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8" t="s">
        <v>694</v>
      </c>
      <c r="C116" s="907" t="s">
        <v>695</v>
      </c>
      <c r="D116" s="821" t="s">
        <v>696</v>
      </c>
      <c r="E116" s="920">
        <v>0.2</v>
      </c>
      <c r="F116" s="907">
        <v>30</v>
      </c>
    </row>
    <row r="117" spans="1:6" ht="36">
      <c r="A117" s="907">
        <v>57</v>
      </c>
      <c r="B117" s="3088"/>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sqref="A1:XFD1048576"/>
    </sheetView>
  </sheetViews>
  <sheetFormatPr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094" t="s">
        <v>1033</v>
      </c>
      <c r="C1" s="3094"/>
      <c r="D1" s="3094"/>
      <c r="E1" s="3094"/>
      <c r="F1" s="3094"/>
      <c r="G1" s="3093" t="s">
        <v>1034</v>
      </c>
      <c r="H1" s="3093"/>
      <c r="I1" s="3093"/>
      <c r="J1" s="3093"/>
      <c r="K1" s="3093"/>
      <c r="L1" s="3093"/>
      <c r="N1" s="3093" t="s">
        <v>1035</v>
      </c>
      <c r="O1" s="3093"/>
      <c r="P1" s="3093"/>
      <c r="Q1" s="3093"/>
      <c r="R1" s="1544"/>
      <c r="S1" s="3093" t="s">
        <v>1036</v>
      </c>
      <c r="T1" s="3093"/>
      <c r="U1" s="3093"/>
      <c r="V1" s="3093"/>
      <c r="X1" s="3092" t="s">
        <v>1037</v>
      </c>
      <c r="Y1" s="3093"/>
      <c r="Z1" s="3093"/>
      <c r="AA1" s="3093"/>
      <c r="AB1" s="3093"/>
      <c r="AD1" s="3092" t="s">
        <v>1038</v>
      </c>
      <c r="AE1" s="3093"/>
      <c r="AF1" s="3093"/>
      <c r="AG1" s="3093"/>
      <c r="AH1" s="3093"/>
    </row>
    <row r="2" spans="1:34" s="1545" customFormat="1" ht="14.25" thickBot="1">
      <c r="B2" s="1546" t="s">
        <v>1039</v>
      </c>
      <c r="C2" s="1546" t="s">
        <v>1040</v>
      </c>
      <c r="D2" s="1547" t="s">
        <v>1041</v>
      </c>
      <c r="E2" s="1547" t="s">
        <v>1042</v>
      </c>
      <c r="F2" s="1546" t="s">
        <v>1043</v>
      </c>
      <c r="G2" s="1548"/>
      <c r="H2" s="1549"/>
      <c r="I2" s="1546" t="s">
        <v>1260</v>
      </c>
      <c r="J2" s="1547" t="s">
        <v>1261</v>
      </c>
      <c r="K2" s="1547" t="s">
        <v>1262</v>
      </c>
      <c r="L2" s="1546" t="s">
        <v>1263</v>
      </c>
      <c r="N2" s="1546" t="s">
        <v>1039</v>
      </c>
      <c r="O2" s="1547" t="s">
        <v>1264</v>
      </c>
      <c r="P2" s="1547" t="s">
        <v>728</v>
      </c>
      <c r="Q2" s="1546" t="s">
        <v>1043</v>
      </c>
      <c r="R2" s="1550"/>
      <c r="S2" s="1546" t="s">
        <v>1039</v>
      </c>
      <c r="T2" s="1547" t="s">
        <v>1264</v>
      </c>
      <c r="U2" s="1547" t="s">
        <v>728</v>
      </c>
      <c r="V2" s="1546" t="s">
        <v>1043</v>
      </c>
      <c r="X2" s="1546" t="s">
        <v>1044</v>
      </c>
      <c r="Y2" s="1546" t="s">
        <v>1045</v>
      </c>
      <c r="Z2" s="1547" t="s">
        <v>1046</v>
      </c>
      <c r="AA2" s="1547" t="s">
        <v>1047</v>
      </c>
      <c r="AB2" s="1546" t="s">
        <v>1048</v>
      </c>
      <c r="AD2" s="1546" t="s">
        <v>1044</v>
      </c>
      <c r="AE2" s="1546" t="s">
        <v>1045</v>
      </c>
      <c r="AF2" s="1547" t="s">
        <v>1046</v>
      </c>
      <c r="AG2" s="1547" t="s">
        <v>1047</v>
      </c>
      <c r="AH2" s="1546" t="s">
        <v>1048</v>
      </c>
    </row>
    <row r="3" spans="1:34" s="2713" customFormat="1" ht="14.25">
      <c r="A3" s="2724" t="s">
        <v>2809</v>
      </c>
      <c r="B3" s="2714"/>
      <c r="C3" s="2714"/>
      <c r="D3" s="2715"/>
      <c r="E3" s="2715"/>
      <c r="F3" s="2714"/>
      <c r="G3" s="2716"/>
      <c r="H3" s="2717"/>
      <c r="I3" s="2718">
        <f>ROUND(AVERAGE(I4:I19),2)</f>
        <v>2.31</v>
      </c>
      <c r="J3" s="2718">
        <f>ROUND(AVERAGE(J4:J19),2)</f>
        <v>1.5</v>
      </c>
      <c r="K3" s="2718">
        <f>ROUND(AVERAGE(K4:K19),2)</f>
        <v>2.57</v>
      </c>
      <c r="L3" s="2719">
        <f>ROUND(AVERAGE(L4:L19),2)</f>
        <v>1.38</v>
      </c>
      <c r="N3" s="2716"/>
      <c r="O3" s="2720"/>
      <c r="P3" s="2720"/>
      <c r="Q3" s="2720"/>
      <c r="R3" s="2720"/>
      <c r="S3" s="2716"/>
      <c r="T3" s="2720"/>
      <c r="U3" s="2720"/>
      <c r="V3" s="2720"/>
      <c r="W3" s="2723"/>
      <c r="X3" s="2721">
        <f>ROUND(SUMPRODUCT(PRODUCT(1+N3:N$21)),4)</f>
        <v>1.4517</v>
      </c>
      <c r="Y3" s="2721">
        <f>ROUND(SUMPRODUCT(PRODUCT(1+O3:O$21)),4)</f>
        <v>1.2928999999999999</v>
      </c>
      <c r="Z3" s="2721">
        <f t="shared" ref="Z3:Z19" si="0">Y3</f>
        <v>1.2928999999999999</v>
      </c>
      <c r="AA3" s="2721">
        <f>ROUND(SUMPRODUCT(PRODUCT(1+P3:P$21)),4)</f>
        <v>1.5068999999999999</v>
      </c>
      <c r="AB3" s="2721">
        <f>ROUND(SUMPRODUCT(PRODUCT(1+Q3:Q$21)),4)</f>
        <v>1.2557</v>
      </c>
      <c r="AD3" s="2722">
        <f>ROUND(AVERAGE(I3:I$22)/100,4)</f>
        <v>2.2700000000000001E-2</v>
      </c>
      <c r="AE3" s="2722">
        <f>ROUND(AVERAGE(J3:J$22)/100,4)</f>
        <v>1.5699999999999999E-2</v>
      </c>
      <c r="AF3" s="2722">
        <f t="shared" ref="AF3:AF10" si="1">AE3</f>
        <v>1.5699999999999999E-2</v>
      </c>
      <c r="AG3" s="2722">
        <f>ROUND(AVERAGE(K3:K$22)/100,4)</f>
        <v>2.5100000000000001E-2</v>
      </c>
      <c r="AH3" s="2722">
        <f>ROUND(AVERAGE(L3:L$22)/100,4)</f>
        <v>1.35E-2</v>
      </c>
    </row>
    <row r="4" spans="1:34" s="1551" customFormat="1" ht="14.25">
      <c r="B4" s="1552"/>
      <c r="C4" s="1552"/>
      <c r="D4" s="1553"/>
      <c r="E4" s="1553"/>
      <c r="F4" s="1552"/>
      <c r="G4" s="1554"/>
      <c r="H4" s="1555"/>
      <c r="I4" s="2705"/>
      <c r="J4" s="2705"/>
      <c r="K4" s="2705"/>
      <c r="L4" s="2705"/>
      <c r="N4" s="1554"/>
      <c r="O4" s="1556"/>
      <c r="P4" s="1556"/>
      <c r="Q4" s="1556"/>
      <c r="R4" s="1556"/>
      <c r="S4" s="1554"/>
      <c r="T4" s="1556"/>
      <c r="U4" s="1556"/>
      <c r="V4" s="1556"/>
      <c r="X4" s="1557"/>
      <c r="Y4" s="1557"/>
      <c r="Z4" s="1557"/>
      <c r="AA4" s="1557"/>
      <c r="AB4" s="1557"/>
      <c r="AD4" s="1558"/>
      <c r="AE4" s="1558"/>
      <c r="AF4" s="1558"/>
      <c r="AG4" s="1558"/>
      <c r="AH4" s="1558"/>
    </row>
    <row r="5" spans="1:34" s="1818" customFormat="1">
      <c r="A5" s="1816" t="s">
        <v>2813</v>
      </c>
      <c r="B5" s="1564">
        <f t="shared" ref="B5:B10" si="2">B6*(1+N5)</f>
        <v>446.46299999999997</v>
      </c>
      <c r="C5" s="1564">
        <f t="shared" ref="C5" si="3">C6*(1+O5)</f>
        <v>333.27840000000003</v>
      </c>
      <c r="D5" s="1813">
        <f t="shared" ref="D5" si="4">C5</f>
        <v>333.27840000000003</v>
      </c>
      <c r="E5" s="1564">
        <f t="shared" ref="E5" si="5">E6*(1+P5)</f>
        <v>637.28279999999995</v>
      </c>
      <c r="F5" s="1564">
        <f t="shared" ref="F5" si="6">F6*(1+Q5)</f>
        <v>288.68830000000003</v>
      </c>
      <c r="G5" s="2725">
        <v>2018</v>
      </c>
      <c r="H5" s="1817">
        <v>2</v>
      </c>
      <c r="I5" s="2706">
        <v>0</v>
      </c>
      <c r="J5" s="2706">
        <v>0</v>
      </c>
      <c r="K5" s="2706">
        <v>0</v>
      </c>
      <c r="L5" s="2707">
        <v>0</v>
      </c>
      <c r="N5" s="1566">
        <f t="shared" ref="N5" si="7">I5/100</f>
        <v>0</v>
      </c>
      <c r="O5" s="1566">
        <f t="shared" ref="O5" si="8">J5/100</f>
        <v>0</v>
      </c>
      <c r="P5" s="1566">
        <f t="shared" ref="P5" si="9">K5/100</f>
        <v>0</v>
      </c>
      <c r="Q5" s="1566">
        <f t="shared" ref="Q5" si="10">L5/100</f>
        <v>0</v>
      </c>
      <c r="R5" s="1819"/>
      <c r="S5" s="1820"/>
      <c r="T5" s="1819"/>
      <c r="U5" s="1819"/>
      <c r="V5" s="1819"/>
      <c r="W5" s="2712" t="s">
        <v>2808</v>
      </c>
      <c r="X5" s="1812">
        <f>ROUND(SUMPRODUCT(PRODUCT(1+N5:N$21)),4)</f>
        <v>1.4517</v>
      </c>
      <c r="Y5" s="1812">
        <f>ROUND(SUMPRODUCT(PRODUCT(1+O5:O$21)),4)</f>
        <v>1.2928999999999999</v>
      </c>
      <c r="Z5" s="1812">
        <f t="shared" ref="Z5" si="11">Y5</f>
        <v>1.2928999999999999</v>
      </c>
      <c r="AA5" s="1812">
        <f>ROUND(SUMPRODUCT(PRODUCT(1+P5:P$21)),4)</f>
        <v>1.5068999999999999</v>
      </c>
      <c r="AB5" s="1812">
        <f>ROUND(SUMPRODUCT(PRODUCT(1+Q5:Q$21)),4)</f>
        <v>1.2557</v>
      </c>
      <c r="AD5" s="1567">
        <f>ROUND(AVERAGE(I5:I$22)/100,4)</f>
        <v>2.2700000000000001E-2</v>
      </c>
      <c r="AE5" s="1567">
        <f>ROUND(AVERAGE(J5:J$22)/100,4)</f>
        <v>1.5699999999999999E-2</v>
      </c>
      <c r="AF5" s="1567">
        <f t="shared" ref="AF5" si="12">AE5</f>
        <v>1.5699999999999999E-2</v>
      </c>
      <c r="AG5" s="1567">
        <f>ROUND(AVERAGE(K5:K$22)/100,4)</f>
        <v>2.5000000000000001E-2</v>
      </c>
      <c r="AH5" s="1567">
        <f>ROUND(AVERAGE(L5:L$22)/100,4)</f>
        <v>1.35E-2</v>
      </c>
    </row>
    <row r="6" spans="1:34" s="1565" customFormat="1" ht="13.5" thickBot="1">
      <c r="A6" s="1559" t="s">
        <v>2814</v>
      </c>
      <c r="B6" s="1576">
        <f t="shared" si="2"/>
        <v>446.46299999999997</v>
      </c>
      <c r="C6" s="1576">
        <f t="shared" ref="C6" si="13">C7*(1+O6)</f>
        <v>333.27840000000003</v>
      </c>
      <c r="D6" s="1576">
        <f t="shared" ref="D6:D11" si="14">C6</f>
        <v>333.27840000000003</v>
      </c>
      <c r="E6" s="1576">
        <f t="shared" ref="E6" si="15">E7*(1+P6)</f>
        <v>637.28279999999995</v>
      </c>
      <c r="F6" s="1576">
        <f t="shared" ref="F6" si="16">F7*(1+Q6)</f>
        <v>288.68830000000003</v>
      </c>
      <c r="G6" s="2704">
        <v>2018</v>
      </c>
      <c r="H6" s="1562">
        <v>1</v>
      </c>
      <c r="I6" s="1562">
        <v>1.7</v>
      </c>
      <c r="J6" s="1562">
        <v>1.92</v>
      </c>
      <c r="K6" s="1562">
        <v>1.64</v>
      </c>
      <c r="L6" s="1577">
        <v>2.0099999999999998</v>
      </c>
      <c r="M6" s="1570"/>
      <c r="N6" s="1571">
        <f t="shared" ref="N6:N11" si="17">I6/100</f>
        <v>1.7000000000000001E-2</v>
      </c>
      <c r="O6" s="1572">
        <f t="shared" ref="O6" si="18">J6/100</f>
        <v>1.9199999999999998E-2</v>
      </c>
      <c r="P6" s="1572">
        <f t="shared" ref="P6" si="19">K6/100</f>
        <v>1.6399999999999998E-2</v>
      </c>
      <c r="Q6" s="1572">
        <f t="shared" ref="Q6" si="20">L6/100</f>
        <v>2.0099999999999996E-2</v>
      </c>
      <c r="R6" s="1570"/>
      <c r="S6" s="1579">
        <f>B6/B7-1</f>
        <v>1.6999999999999904E-2</v>
      </c>
      <c r="T6" s="1580">
        <f>C6/C7-1</f>
        <v>1.9200000000000106E-2</v>
      </c>
      <c r="U6" s="1580">
        <f>E6/E7-1</f>
        <v>1.639999999999997E-2</v>
      </c>
      <c r="V6" s="1580">
        <f>F6/F7-1</f>
        <v>2.0100000000000007E-2</v>
      </c>
      <c r="W6" s="1570"/>
      <c r="X6" s="1557">
        <f>ROUND(SUMPRODUCT(PRODUCT(1+N6:N$21)),4)</f>
        <v>1.4517</v>
      </c>
      <c r="Y6" s="1557">
        <f>ROUND(SUMPRODUCT(PRODUCT(1+O6:O$21)),4)</f>
        <v>1.2928999999999999</v>
      </c>
      <c r="Z6" s="1557">
        <f t="shared" ref="Z6" si="21">Y6</f>
        <v>1.2928999999999999</v>
      </c>
      <c r="AA6" s="1557">
        <f>ROUND(SUMPRODUCT(PRODUCT(1+P6:P$21)),4)</f>
        <v>1.5068999999999999</v>
      </c>
      <c r="AB6" s="1557">
        <f>ROUND(SUMPRODUCT(PRODUCT(1+Q6:Q$21)),4)</f>
        <v>1.2557</v>
      </c>
      <c r="AC6" s="1570"/>
      <c r="AD6" s="1558">
        <f>ROUND(AVERAGE(I6:I$22)/100,4)</f>
        <v>2.4E-2</v>
      </c>
      <c r="AE6" s="1558">
        <f>ROUND(AVERAGE(J6:J$22)/100,4)</f>
        <v>1.66E-2</v>
      </c>
      <c r="AF6" s="1558">
        <f t="shared" ref="AF6" si="22">AE6</f>
        <v>1.66E-2</v>
      </c>
      <c r="AG6" s="1558">
        <f>ROUND(AVERAGE(K6:K$22)/100,4)</f>
        <v>2.6499999999999999E-2</v>
      </c>
      <c r="AH6" s="1558">
        <f>ROUND(AVERAGE(L6:L$22)/100,4)</f>
        <v>1.43E-2</v>
      </c>
    </row>
    <row r="7" spans="1:34">
      <c r="A7" s="1559" t="s">
        <v>2810</v>
      </c>
      <c r="B7" s="1568">
        <v>439</v>
      </c>
      <c r="C7" s="1568">
        <v>327</v>
      </c>
      <c r="D7" s="1568">
        <f t="shared" si="14"/>
        <v>327</v>
      </c>
      <c r="E7" s="1568">
        <v>627</v>
      </c>
      <c r="F7" s="1569">
        <v>283</v>
      </c>
      <c r="G7" s="2711">
        <v>2017</v>
      </c>
      <c r="H7" s="1560">
        <v>4</v>
      </c>
      <c r="I7" s="1560">
        <v>1.71</v>
      </c>
      <c r="J7" s="1560">
        <v>1.78</v>
      </c>
      <c r="K7" s="1560">
        <v>1.71</v>
      </c>
      <c r="L7" s="1561">
        <v>1.43</v>
      </c>
      <c r="N7" s="1571">
        <f t="shared" si="17"/>
        <v>1.7100000000000001E-2</v>
      </c>
      <c r="O7" s="1572">
        <f t="shared" ref="O7" si="23">J7/100</f>
        <v>1.78E-2</v>
      </c>
      <c r="P7" s="1572">
        <f t="shared" ref="P7" si="24">K7/100</f>
        <v>1.7100000000000001E-2</v>
      </c>
      <c r="Q7" s="1572">
        <f t="shared" ref="Q7" si="25">L7/100</f>
        <v>1.43E-2</v>
      </c>
      <c r="R7" s="1573"/>
      <c r="S7" s="1574"/>
      <c r="T7" s="1575"/>
      <c r="U7" s="1575"/>
      <c r="V7" s="1575"/>
      <c r="X7" s="1557">
        <f>ROUND(SUMPRODUCT(PRODUCT(1+N7:N$21)),4)</f>
        <v>1.4274</v>
      </c>
      <c r="Y7" s="1557">
        <f>ROUND(SUMPRODUCT(PRODUCT(1+O7:O$21)),4)</f>
        <v>1.2685</v>
      </c>
      <c r="Z7" s="1557">
        <f t="shared" si="0"/>
        <v>1.2685</v>
      </c>
      <c r="AA7" s="1557">
        <f>ROUND(SUMPRODUCT(PRODUCT(1+P7:P$21)),4)</f>
        <v>1.4825999999999999</v>
      </c>
      <c r="AB7" s="1557">
        <f>ROUND(SUMPRODUCT(PRODUCT(1+Q7:Q$21)),4)</f>
        <v>1.2309000000000001</v>
      </c>
      <c r="AD7" s="1558">
        <f>ROUND(AVERAGE(I7:I$22)/100,4)</f>
        <v>2.4500000000000001E-2</v>
      </c>
      <c r="AE7" s="1558">
        <f>ROUND(AVERAGE(J7:J$22)/100,4)</f>
        <v>1.6500000000000001E-2</v>
      </c>
      <c r="AF7" s="1558">
        <f t="shared" si="1"/>
        <v>1.6500000000000001E-2</v>
      </c>
      <c r="AG7" s="1558">
        <f>ROUND(AVERAGE(K7:K$22)/100,4)</f>
        <v>2.7099999999999999E-2</v>
      </c>
      <c r="AH7" s="1558">
        <f>ROUND(AVERAGE(L7:L$22)/100,4)</f>
        <v>1.3899999999999999E-2</v>
      </c>
    </row>
    <row r="8" spans="1:34" s="1565" customFormat="1" ht="13.5" thickBot="1">
      <c r="A8" s="1559" t="s">
        <v>2805</v>
      </c>
      <c r="B8" s="1576">
        <f t="shared" si="2"/>
        <v>431.80730811680002</v>
      </c>
      <c r="C8" s="1576">
        <f t="shared" ref="C8" si="26">C9*(1+O8)</f>
        <v>320.57880516480003</v>
      </c>
      <c r="D8" s="1576">
        <f t="shared" si="14"/>
        <v>320.57880516480003</v>
      </c>
      <c r="E8" s="1576">
        <f t="shared" ref="E8:F10" si="27">E9*(1+P8)</f>
        <v>615.96110553196797</v>
      </c>
      <c r="F8" s="1576">
        <f t="shared" si="27"/>
        <v>279.46777300108801</v>
      </c>
      <c r="G8" s="2704"/>
      <c r="H8" s="1562">
        <v>3</v>
      </c>
      <c r="I8" s="1562">
        <v>2.98</v>
      </c>
      <c r="J8" s="1562">
        <v>2.11</v>
      </c>
      <c r="K8" s="1562">
        <v>3.24</v>
      </c>
      <c r="L8" s="1577">
        <v>1.72</v>
      </c>
      <c r="M8" s="1570"/>
      <c r="N8" s="1571">
        <f t="shared" si="17"/>
        <v>2.98E-2</v>
      </c>
      <c r="O8" s="1572">
        <f t="shared" ref="O8" si="28">J8/100</f>
        <v>2.1099999999999997E-2</v>
      </c>
      <c r="P8" s="1572">
        <f t="shared" ref="P8" si="29">K8/100</f>
        <v>3.2400000000000005E-2</v>
      </c>
      <c r="Q8" s="1572">
        <f t="shared" ref="Q8" si="30">L8/100</f>
        <v>1.72E-2</v>
      </c>
      <c r="R8" s="1570"/>
      <c r="S8" s="1579"/>
      <c r="T8" s="1580"/>
      <c r="U8" s="1580"/>
      <c r="V8" s="1580"/>
      <c r="X8" s="1557">
        <f>ROUND(SUMPRODUCT(PRODUCT(1+N8:N$21)),4)</f>
        <v>1.4034</v>
      </c>
      <c r="Y8" s="1557">
        <f>ROUND(SUMPRODUCT(PRODUCT(1+O8:O$21)),4)</f>
        <v>1.2463</v>
      </c>
      <c r="Z8" s="1557">
        <f t="shared" si="0"/>
        <v>1.2463</v>
      </c>
      <c r="AA8" s="1557">
        <f>ROUND(SUMPRODUCT(PRODUCT(1+P8:P$21)),4)</f>
        <v>1.4577</v>
      </c>
      <c r="AB8" s="1557">
        <f>ROUND(SUMPRODUCT(PRODUCT(1+Q8:Q$21)),4)</f>
        <v>1.2136</v>
      </c>
      <c r="AC8" s="1570"/>
      <c r="AD8" s="1558">
        <f>ROUND(AVERAGE(I8:I$22)/100,4)</f>
        <v>2.4899999999999999E-2</v>
      </c>
      <c r="AE8" s="1558">
        <f>ROUND(AVERAGE(J8:J$22)/100,4)</f>
        <v>1.6400000000000001E-2</v>
      </c>
      <c r="AF8" s="1558">
        <f t="shared" si="1"/>
        <v>1.6400000000000001E-2</v>
      </c>
      <c r="AG8" s="1558">
        <f>ROUND(AVERAGE(K8:K$22)/100,4)</f>
        <v>2.7799999999999998E-2</v>
      </c>
      <c r="AH8" s="1558">
        <f>ROUND(AVERAGE(L8:L$22)/100,4)</f>
        <v>1.3899999999999999E-2</v>
      </c>
    </row>
    <row r="9" spans="1:34" s="1818" customFormat="1">
      <c r="A9" s="1559" t="s">
        <v>1259</v>
      </c>
      <c r="B9" s="1576">
        <f t="shared" si="2"/>
        <v>419.31181600000002</v>
      </c>
      <c r="C9" s="1576">
        <f t="shared" ref="C9" si="31">C10*(1+O9)</f>
        <v>313.95436800000004</v>
      </c>
      <c r="D9" s="1576">
        <f t="shared" si="14"/>
        <v>313.95436800000004</v>
      </c>
      <c r="E9" s="1576">
        <f t="shared" si="27"/>
        <v>596.63028431999999</v>
      </c>
      <c r="F9" s="1576">
        <f t="shared" si="27"/>
        <v>274.74220703999998</v>
      </c>
      <c r="G9" s="2703"/>
      <c r="H9" s="1563">
        <v>2</v>
      </c>
      <c r="I9" s="1563">
        <v>3.4</v>
      </c>
      <c r="J9" s="1563">
        <v>2</v>
      </c>
      <c r="K9" s="1563">
        <v>3.82</v>
      </c>
      <c r="L9" s="1578">
        <v>1.68</v>
      </c>
      <c r="M9" s="1570"/>
      <c r="N9" s="1571">
        <f t="shared" si="17"/>
        <v>3.4000000000000002E-2</v>
      </c>
      <c r="O9" s="1572">
        <f t="shared" ref="O9" si="32">J9/100</f>
        <v>0.02</v>
      </c>
      <c r="P9" s="1572">
        <f t="shared" ref="P9" si="33">K9/100</f>
        <v>3.8199999999999998E-2</v>
      </c>
      <c r="Q9" s="1572">
        <f t="shared" ref="Q9" si="34">L9/100</f>
        <v>1.6799999999999999E-2</v>
      </c>
      <c r="R9" s="1570"/>
      <c r="S9" s="1554"/>
      <c r="T9" s="1556"/>
      <c r="U9" s="1556"/>
      <c r="V9" s="1556"/>
      <c r="W9" s="1551"/>
      <c r="X9" s="1871">
        <f>ROUND(SUMPRODUCT(PRODUCT(1+N9:N$21)),4)</f>
        <v>1.3628</v>
      </c>
      <c r="Y9" s="1871">
        <f>ROUND(SUMPRODUCT(PRODUCT(1+O9:O$21)),4)</f>
        <v>1.2205999999999999</v>
      </c>
      <c r="Z9" s="1871">
        <f t="shared" si="0"/>
        <v>1.2205999999999999</v>
      </c>
      <c r="AA9" s="1871">
        <f>ROUND(SUMPRODUCT(PRODUCT(1+P9:P$21)),4)</f>
        <v>1.4118999999999999</v>
      </c>
      <c r="AB9" s="1871">
        <f>ROUND(SUMPRODUCT(PRODUCT(1+Q9:Q$21)),4)</f>
        <v>1.1930000000000001</v>
      </c>
      <c r="AC9" s="1551"/>
      <c r="AD9" s="1872">
        <f>ROUND(AVERAGE(I9:I$22)/100,4)</f>
        <v>2.46E-2</v>
      </c>
      <c r="AE9" s="1872">
        <f>ROUND(AVERAGE(J9:J$22)/100,4)</f>
        <v>1.6E-2</v>
      </c>
      <c r="AF9" s="1872">
        <f t="shared" si="1"/>
        <v>1.6E-2</v>
      </c>
      <c r="AG9" s="1872">
        <f>ROUND(AVERAGE(K9:K$22)/100,4)</f>
        <v>2.75E-2</v>
      </c>
      <c r="AH9" s="1872">
        <f>ROUND(AVERAGE(L9:L$22)/100,4)</f>
        <v>1.37E-2</v>
      </c>
    </row>
    <row r="10" spans="1:34" s="1565" customFormat="1" ht="13.5" thickBot="1">
      <c r="A10" s="1559" t="s">
        <v>1049</v>
      </c>
      <c r="B10" s="1576">
        <f t="shared" si="2"/>
        <v>405.524</v>
      </c>
      <c r="C10" s="1576">
        <f t="shared" ref="C10" si="35">C11*(1+O10)</f>
        <v>307.79840000000002</v>
      </c>
      <c r="D10" s="1576">
        <f t="shared" si="14"/>
        <v>307.79840000000002</v>
      </c>
      <c r="E10" s="1576">
        <f t="shared" si="27"/>
        <v>574.67759999999998</v>
      </c>
      <c r="F10" s="1576">
        <f t="shared" si="27"/>
        <v>270.20280000000002</v>
      </c>
      <c r="G10" s="2704"/>
      <c r="H10" s="1562">
        <v>1</v>
      </c>
      <c r="I10" s="1562">
        <v>3.45</v>
      </c>
      <c r="J10" s="1562">
        <v>1.92</v>
      </c>
      <c r="K10" s="1562">
        <v>3.92</v>
      </c>
      <c r="L10" s="1577">
        <v>1.58</v>
      </c>
      <c r="M10" s="1570"/>
      <c r="N10" s="1571">
        <f t="shared" si="17"/>
        <v>3.4500000000000003E-2</v>
      </c>
      <c r="O10" s="1572">
        <f t="shared" ref="O10:Q25" si="36">J10/100</f>
        <v>1.9199999999999998E-2</v>
      </c>
      <c r="P10" s="1572">
        <f t="shared" si="36"/>
        <v>3.9199999999999999E-2</v>
      </c>
      <c r="Q10" s="1572">
        <f t="shared" si="36"/>
        <v>1.5800000000000002E-2</v>
      </c>
      <c r="R10" s="1570"/>
      <c r="S10" s="1579">
        <f>B10/B11-1</f>
        <v>3.4499999999999975E-2</v>
      </c>
      <c r="T10" s="1580">
        <f>C10/C11-1</f>
        <v>1.9200000000000106E-2</v>
      </c>
      <c r="U10" s="1580">
        <f>E10/E11-1</f>
        <v>3.9199999999999902E-2</v>
      </c>
      <c r="V10" s="1580">
        <f>F10/F11-1</f>
        <v>1.5800000000000036E-2</v>
      </c>
      <c r="W10" s="1570"/>
      <c r="X10" s="1557">
        <f>ROUND(SUMPRODUCT(PRODUCT(1+N10:N$21)),4)</f>
        <v>1.3180000000000001</v>
      </c>
      <c r="Y10" s="1557">
        <f>ROUND(SUMPRODUCT(PRODUCT(1+O10:O$21)),4)</f>
        <v>1.1966000000000001</v>
      </c>
      <c r="Z10" s="1557">
        <f t="shared" si="0"/>
        <v>1.1966000000000001</v>
      </c>
      <c r="AA10" s="1557">
        <f>ROUND(SUMPRODUCT(PRODUCT(1+P10:P$21)),4)</f>
        <v>1.36</v>
      </c>
      <c r="AB10" s="1557">
        <f>ROUND(SUMPRODUCT(PRODUCT(1+Q10:Q$21)),4)</f>
        <v>1.1733</v>
      </c>
      <c r="AC10" s="1570"/>
      <c r="AD10" s="1558">
        <f>ROUND(AVERAGE(I10:I$22)/100,4)</f>
        <v>2.3900000000000001E-2</v>
      </c>
      <c r="AE10" s="1558">
        <f>ROUND(AVERAGE(J10:J$22)/100,4)</f>
        <v>1.5699999999999999E-2</v>
      </c>
      <c r="AF10" s="1558">
        <f t="shared" si="1"/>
        <v>1.5699999999999999E-2</v>
      </c>
      <c r="AG10" s="1558">
        <f>ROUND(AVERAGE(K10:K$22)/100,4)</f>
        <v>2.6599999999999999E-2</v>
      </c>
      <c r="AH10" s="1558">
        <f>ROUND(AVERAGE(L10:L$22)/100,4)</f>
        <v>1.34E-2</v>
      </c>
    </row>
    <row r="11" spans="1:34">
      <c r="A11" s="1559" t="s">
        <v>1050</v>
      </c>
      <c r="B11" s="1568">
        <v>392</v>
      </c>
      <c r="C11" s="1568">
        <v>302</v>
      </c>
      <c r="D11" s="1568">
        <f t="shared" si="14"/>
        <v>302</v>
      </c>
      <c r="E11" s="1568">
        <v>553</v>
      </c>
      <c r="F11" s="1569">
        <v>266</v>
      </c>
      <c r="G11" s="3095">
        <v>2016</v>
      </c>
      <c r="H11" s="1560">
        <v>4</v>
      </c>
      <c r="I11" s="1560">
        <v>4.5599999999999996</v>
      </c>
      <c r="J11" s="1560">
        <v>2.15</v>
      </c>
      <c r="K11" s="1560">
        <v>5.32</v>
      </c>
      <c r="L11" s="1561">
        <v>1.57</v>
      </c>
      <c r="N11" s="1571">
        <f t="shared" si="17"/>
        <v>4.5599999999999995E-2</v>
      </c>
      <c r="O11" s="1572">
        <f t="shared" si="36"/>
        <v>2.1499999999999998E-2</v>
      </c>
      <c r="P11" s="1572">
        <f t="shared" si="36"/>
        <v>5.3200000000000004E-2</v>
      </c>
      <c r="Q11" s="1572">
        <f t="shared" si="36"/>
        <v>1.5700000000000002E-2</v>
      </c>
      <c r="R11" s="1573"/>
      <c r="S11" s="1574"/>
      <c r="T11" s="1575"/>
      <c r="U11" s="1575"/>
      <c r="V11" s="1575"/>
      <c r="X11" s="1557">
        <f>ROUND(SUMPRODUCT(PRODUCT(1+N11:N$21)),4)</f>
        <v>1.274</v>
      </c>
      <c r="Y11" s="1557">
        <f>ROUND(SUMPRODUCT(PRODUCT(1+O11:O$21)),4)</f>
        <v>1.1740999999999999</v>
      </c>
      <c r="Z11" s="1557">
        <f t="shared" si="0"/>
        <v>1.1740999999999999</v>
      </c>
      <c r="AA11" s="1557">
        <f>ROUND(SUMPRODUCT(PRODUCT(1+P11:P$21)),4)</f>
        <v>1.3087</v>
      </c>
      <c r="AB11" s="1557">
        <f>ROUND(SUMPRODUCT(PRODUCT(1+Q11:Q$21)),4)</f>
        <v>1.1551</v>
      </c>
      <c r="AD11" s="1558">
        <f>ROUND(AVERAGE(I11:I$22)/100,4)</f>
        <v>2.3E-2</v>
      </c>
      <c r="AE11" s="1558">
        <f>ROUND(AVERAGE(J11:J$22)/100,4)</f>
        <v>1.55E-2</v>
      </c>
      <c r="AF11" s="1558">
        <f t="shared" ref="AF11:AF20" si="37">AE11</f>
        <v>1.55E-2</v>
      </c>
      <c r="AG11" s="1558">
        <f>ROUND(AVERAGE(K11:K$22)/100,4)</f>
        <v>2.5600000000000001E-2</v>
      </c>
      <c r="AH11" s="1558">
        <f>ROUND(AVERAGE(L11:L$22)/100,4)</f>
        <v>1.32E-2</v>
      </c>
    </row>
    <row r="12" spans="1:34">
      <c r="A12" s="1559" t="s">
        <v>103</v>
      </c>
      <c r="B12" s="1576">
        <f t="shared" ref="B12:C14" si="38">B11/(1+N11)</f>
        <v>374.90436113236416</v>
      </c>
      <c r="C12" s="1576">
        <f t="shared" si="38"/>
        <v>295.64366128242779</v>
      </c>
      <c r="D12" s="1576">
        <f t="shared" ref="D12:D71" si="39">C12</f>
        <v>295.64366128242779</v>
      </c>
      <c r="E12" s="1576">
        <f t="shared" ref="E12:F14" si="40">E11/(1+P11)</f>
        <v>525.06646410938095</v>
      </c>
      <c r="F12" s="1576">
        <f t="shared" si="40"/>
        <v>261.88835286009646</v>
      </c>
      <c r="G12" s="3090"/>
      <c r="H12" s="1562">
        <v>3</v>
      </c>
      <c r="I12" s="1562">
        <v>4.12</v>
      </c>
      <c r="J12" s="1562">
        <v>2</v>
      </c>
      <c r="K12" s="1562">
        <v>4.79</v>
      </c>
      <c r="L12" s="1577">
        <v>1.97</v>
      </c>
      <c r="N12" s="1571">
        <f t="shared" ref="N12:Q46" si="41">I12/100</f>
        <v>4.1200000000000001E-2</v>
      </c>
      <c r="O12" s="1572">
        <f t="shared" si="36"/>
        <v>0.02</v>
      </c>
      <c r="P12" s="1572">
        <f t="shared" si="36"/>
        <v>4.7899999999999998E-2</v>
      </c>
      <c r="Q12" s="1572">
        <f t="shared" si="36"/>
        <v>1.9699999999999999E-2</v>
      </c>
      <c r="R12" s="1573"/>
      <c r="S12" s="1571"/>
      <c r="T12" s="1572"/>
      <c r="U12" s="1572"/>
      <c r="V12" s="1572"/>
      <c r="X12" s="1557">
        <f>ROUND(SUMPRODUCT(PRODUCT(1+N12:N$21)),4)</f>
        <v>1.2184999999999999</v>
      </c>
      <c r="Y12" s="1557">
        <f>ROUND(SUMPRODUCT(PRODUCT(1+O12:O$21)),4)</f>
        <v>1.1494</v>
      </c>
      <c r="Z12" s="1557">
        <f t="shared" si="0"/>
        <v>1.1494</v>
      </c>
      <c r="AA12" s="1557">
        <f>ROUND(SUMPRODUCT(PRODUCT(1+P12:P$21)),4)</f>
        <v>1.2425999999999999</v>
      </c>
      <c r="AB12" s="1557">
        <f>ROUND(SUMPRODUCT(PRODUCT(1+Q12:Q$21)),4)</f>
        <v>1.1372</v>
      </c>
      <c r="AD12" s="1558">
        <f>ROUND(AVERAGE(I12:I$22)/100,4)</f>
        <v>2.0899999999999998E-2</v>
      </c>
      <c r="AE12" s="1558">
        <f>ROUND(AVERAGE(J12:J$22)/100,4)</f>
        <v>1.49E-2</v>
      </c>
      <c r="AF12" s="1558">
        <f t="shared" si="37"/>
        <v>1.49E-2</v>
      </c>
      <c r="AG12" s="1558">
        <f>ROUND(AVERAGE(K12:K$22)/100,4)</f>
        <v>2.3099999999999999E-2</v>
      </c>
      <c r="AH12" s="1558">
        <f>ROUND(AVERAGE(L12:L$22)/100,4)</f>
        <v>1.2999999999999999E-2</v>
      </c>
    </row>
    <row r="13" spans="1:34">
      <c r="A13" s="1559" t="s">
        <v>93</v>
      </c>
      <c r="B13" s="1576">
        <f t="shared" si="38"/>
        <v>360.06949782209392</v>
      </c>
      <c r="C13" s="1576">
        <f t="shared" si="38"/>
        <v>289.84672674747821</v>
      </c>
      <c r="D13" s="1576">
        <f t="shared" si="39"/>
        <v>289.84672674747821</v>
      </c>
      <c r="E13" s="1576">
        <f t="shared" si="40"/>
        <v>501.06543001181495</v>
      </c>
      <c r="F13" s="1576">
        <f t="shared" si="40"/>
        <v>256.82882500744967</v>
      </c>
      <c r="G13" s="3090"/>
      <c r="H13" s="1563">
        <v>2</v>
      </c>
      <c r="I13" s="1563">
        <v>3.85</v>
      </c>
      <c r="J13" s="1563">
        <v>1.95</v>
      </c>
      <c r="K13" s="1563">
        <v>4.4800000000000004</v>
      </c>
      <c r="L13" s="1578">
        <v>1.41</v>
      </c>
      <c r="N13" s="1571">
        <f t="shared" si="41"/>
        <v>3.85E-2</v>
      </c>
      <c r="O13" s="1572">
        <f t="shared" si="36"/>
        <v>1.95E-2</v>
      </c>
      <c r="P13" s="1572">
        <f t="shared" si="36"/>
        <v>4.4800000000000006E-2</v>
      </c>
      <c r="Q13" s="1572">
        <f t="shared" si="36"/>
        <v>1.41E-2</v>
      </c>
      <c r="R13" s="1573"/>
      <c r="S13" s="1571"/>
      <c r="T13" s="1572"/>
      <c r="U13" s="1572"/>
      <c r="V13" s="1572"/>
      <c r="X13" s="1557">
        <f>ROUND(SUMPRODUCT(PRODUCT(1+N13:N$21)),4)</f>
        <v>1.1702999999999999</v>
      </c>
      <c r="Y13" s="1557">
        <f>ROUND(SUMPRODUCT(PRODUCT(1+O13:O$21)),4)</f>
        <v>1.1269</v>
      </c>
      <c r="Z13" s="1557">
        <f t="shared" si="0"/>
        <v>1.1269</v>
      </c>
      <c r="AA13" s="1557">
        <f>ROUND(SUMPRODUCT(PRODUCT(1+P13:P$21)),4)</f>
        <v>1.1858</v>
      </c>
      <c r="AB13" s="1557">
        <f>ROUND(SUMPRODUCT(PRODUCT(1+Q13:Q$21)),4)</f>
        <v>1.1152</v>
      </c>
      <c r="AD13" s="1558">
        <f>ROUND(AVERAGE(I13:I$22)/100,4)</f>
        <v>1.89E-2</v>
      </c>
      <c r="AE13" s="1558">
        <f>ROUND(AVERAGE(J13:J$22)/100,4)</f>
        <v>1.44E-2</v>
      </c>
      <c r="AF13" s="1558">
        <f t="shared" si="37"/>
        <v>1.44E-2</v>
      </c>
      <c r="AG13" s="1558">
        <f>ROUND(AVERAGE(K13:K$22)/100,4)</f>
        <v>2.06E-2</v>
      </c>
      <c r="AH13" s="1558">
        <f>ROUND(AVERAGE(L13:L$22)/100,4)</f>
        <v>1.23E-2</v>
      </c>
    </row>
    <row r="14" spans="1:34" ht="13.5" thickBot="1">
      <c r="A14" s="1559" t="s">
        <v>102</v>
      </c>
      <c r="B14" s="1576">
        <f t="shared" si="38"/>
        <v>346.720748986128</v>
      </c>
      <c r="C14" s="1576">
        <f t="shared" si="38"/>
        <v>284.30282172386285</v>
      </c>
      <c r="D14" s="1576">
        <f t="shared" si="39"/>
        <v>284.30282172386285</v>
      </c>
      <c r="E14" s="1576">
        <f t="shared" si="40"/>
        <v>479.58023546306947</v>
      </c>
      <c r="F14" s="1576">
        <f t="shared" si="40"/>
        <v>253.25788877571213</v>
      </c>
      <c r="G14" s="3091"/>
      <c r="H14" s="1562">
        <v>1</v>
      </c>
      <c r="I14" s="1562">
        <v>4.09</v>
      </c>
      <c r="J14" s="1562">
        <v>2.93</v>
      </c>
      <c r="K14" s="1562">
        <v>4.54</v>
      </c>
      <c r="L14" s="1577">
        <v>1.48</v>
      </c>
      <c r="N14" s="1571">
        <f t="shared" si="41"/>
        <v>4.0899999999999999E-2</v>
      </c>
      <c r="O14" s="1572">
        <f t="shared" si="36"/>
        <v>2.9300000000000003E-2</v>
      </c>
      <c r="P14" s="1572">
        <f t="shared" si="36"/>
        <v>4.5400000000000003E-2</v>
      </c>
      <c r="Q14" s="1572">
        <f t="shared" si="36"/>
        <v>1.4800000000000001E-2</v>
      </c>
      <c r="R14" s="1573"/>
      <c r="S14" s="1579">
        <f>B14/B15-1</f>
        <v>4.1203450408792808E-2</v>
      </c>
      <c r="T14" s="1580">
        <f>C14/C15-1</f>
        <v>2.6363977342465095E-2</v>
      </c>
      <c r="U14" s="1580">
        <f>E14/E15-1</f>
        <v>4.4837114298626357E-2</v>
      </c>
      <c r="V14" s="1580">
        <f>F14/F15-1</f>
        <v>1.7099954922538574E-2</v>
      </c>
      <c r="X14" s="1557">
        <f>ROUND(SUMPRODUCT(PRODUCT(1+N14:N$21)),4)</f>
        <v>1.1269</v>
      </c>
      <c r="Y14" s="1557">
        <f>ROUND(SUMPRODUCT(PRODUCT(1+O14:O$21)),4)</f>
        <v>1.1052999999999999</v>
      </c>
      <c r="Z14" s="1557">
        <f t="shared" si="0"/>
        <v>1.1052999999999999</v>
      </c>
      <c r="AA14" s="1557">
        <f>ROUND(SUMPRODUCT(PRODUCT(1+P14:P$21)),4)</f>
        <v>1.1349</v>
      </c>
      <c r="AB14" s="1557">
        <f>ROUND(SUMPRODUCT(PRODUCT(1+Q14:Q$21)),4)</f>
        <v>1.0996999999999999</v>
      </c>
      <c r="AD14" s="1558">
        <f>ROUND(AVERAGE(I14:I$22)/100,4)</f>
        <v>1.67E-2</v>
      </c>
      <c r="AE14" s="1558">
        <f>ROUND(AVERAGE(J14:J$22)/100,4)</f>
        <v>1.38E-2</v>
      </c>
      <c r="AF14" s="1558">
        <f t="shared" si="37"/>
        <v>1.38E-2</v>
      </c>
      <c r="AG14" s="1558">
        <f>ROUND(AVERAGE(K14:K$22)/100,4)</f>
        <v>1.7899999999999999E-2</v>
      </c>
      <c r="AH14" s="1558">
        <f>ROUND(AVERAGE(L14:L$22)/100,4)</f>
        <v>1.21E-2</v>
      </c>
    </row>
    <row r="15" spans="1:34" ht="13.5" thickBot="1">
      <c r="A15" s="1559" t="s">
        <v>101</v>
      </c>
      <c r="B15" s="1568">
        <v>333</v>
      </c>
      <c r="C15" s="1568">
        <v>277</v>
      </c>
      <c r="D15" s="1568">
        <f t="shared" si="39"/>
        <v>277</v>
      </c>
      <c r="E15" s="1568">
        <v>459</v>
      </c>
      <c r="F15" s="1569">
        <v>249</v>
      </c>
      <c r="G15" s="3089">
        <v>2015</v>
      </c>
      <c r="H15" s="1581">
        <v>4</v>
      </c>
      <c r="I15" s="1581">
        <v>1.63</v>
      </c>
      <c r="J15" s="1581">
        <v>1.1100000000000001</v>
      </c>
      <c r="K15" s="1581">
        <v>1.77</v>
      </c>
      <c r="L15" s="1582">
        <v>1.89</v>
      </c>
      <c r="N15" s="1583">
        <f t="shared" si="41"/>
        <v>1.6299999999999999E-2</v>
      </c>
      <c r="O15" s="1584">
        <f t="shared" si="36"/>
        <v>1.11E-2</v>
      </c>
      <c r="P15" s="1584">
        <f t="shared" si="36"/>
        <v>1.77E-2</v>
      </c>
      <c r="Q15" s="1584">
        <f t="shared" si="36"/>
        <v>1.89E-2</v>
      </c>
      <c r="R15" s="1573"/>
      <c r="X15" s="1557">
        <f>ROUND(SUMPRODUCT(PRODUCT(1+N15:N$21)),4)</f>
        <v>1.0826</v>
      </c>
      <c r="Y15" s="1557">
        <f>ROUND(SUMPRODUCT(PRODUCT(1+O15:O$21)),4)</f>
        <v>1.0738000000000001</v>
      </c>
      <c r="Z15" s="1557">
        <f t="shared" si="0"/>
        <v>1.0738000000000001</v>
      </c>
      <c r="AA15" s="1557">
        <f>ROUND(SUMPRODUCT(PRODUCT(1+P15:P$21)),4)</f>
        <v>1.0855999999999999</v>
      </c>
      <c r="AB15" s="1557">
        <f>ROUND(SUMPRODUCT(PRODUCT(1+Q15:Q$21)),4)</f>
        <v>1.0837000000000001</v>
      </c>
      <c r="AD15" s="1558">
        <f>ROUND(AVERAGE(I15:I$22)/100,4)</f>
        <v>1.37E-2</v>
      </c>
      <c r="AE15" s="1558">
        <f>ROUND(AVERAGE(J15:J$22)/100,4)</f>
        <v>1.1900000000000001E-2</v>
      </c>
      <c r="AF15" s="1558">
        <f t="shared" si="37"/>
        <v>1.1900000000000001E-2</v>
      </c>
      <c r="AG15" s="1558">
        <f>ROUND(AVERAGE(K15:K$22)/100,4)</f>
        <v>1.4500000000000001E-2</v>
      </c>
      <c r="AH15" s="1558">
        <f>ROUND(AVERAGE(L15:L$22)/100,4)</f>
        <v>1.18E-2</v>
      </c>
    </row>
    <row r="16" spans="1:34">
      <c r="A16" s="1559" t="s">
        <v>100</v>
      </c>
      <c r="B16" s="1576">
        <f t="shared" ref="B16:C18" si="42">B15/(1+N15)</f>
        <v>327.65915576109415</v>
      </c>
      <c r="C16" s="1576">
        <f t="shared" si="42"/>
        <v>273.95905449510434</v>
      </c>
      <c r="D16" s="1576">
        <f t="shared" si="39"/>
        <v>273.95905449510434</v>
      </c>
      <c r="E16" s="1576">
        <f t="shared" ref="E16:F18" si="43">E15/(1+P15)</f>
        <v>451.01699911565294</v>
      </c>
      <c r="F16" s="1576">
        <f t="shared" si="43"/>
        <v>244.38119540681129</v>
      </c>
      <c r="G16" s="3090"/>
      <c r="H16" s="1586">
        <v>3</v>
      </c>
      <c r="I16" s="1586">
        <v>1.65</v>
      </c>
      <c r="J16" s="1586">
        <v>0.92</v>
      </c>
      <c r="K16" s="1586">
        <v>1.88</v>
      </c>
      <c r="L16" s="1587">
        <v>1.26</v>
      </c>
      <c r="N16" s="1571">
        <f t="shared" si="41"/>
        <v>1.6500000000000001E-2</v>
      </c>
      <c r="O16" s="1588">
        <f t="shared" si="36"/>
        <v>9.1999999999999998E-3</v>
      </c>
      <c r="P16" s="1588">
        <f t="shared" si="36"/>
        <v>1.8799999999999997E-2</v>
      </c>
      <c r="Q16" s="1588">
        <f t="shared" si="36"/>
        <v>1.26E-2</v>
      </c>
      <c r="R16" s="1573"/>
      <c r="S16" s="1571"/>
      <c r="T16" s="1572"/>
      <c r="U16" s="1572"/>
      <c r="V16" s="1572"/>
      <c r="X16" s="1557">
        <f>ROUND(SUMPRODUCT(PRODUCT(1+N16:N$21)),4)</f>
        <v>1.0651999999999999</v>
      </c>
      <c r="Y16" s="1557">
        <f>ROUND(SUMPRODUCT(PRODUCT(1+O16:O$21)),4)</f>
        <v>1.0621</v>
      </c>
      <c r="Z16" s="1557">
        <f t="shared" si="0"/>
        <v>1.0621</v>
      </c>
      <c r="AA16" s="1557">
        <f>ROUND(SUMPRODUCT(PRODUCT(1+P16:P$21)),4)</f>
        <v>1.0668</v>
      </c>
      <c r="AB16" s="1557">
        <f>ROUND(SUMPRODUCT(PRODUCT(1+Q16:Q$21)),4)</f>
        <v>1.0636000000000001</v>
      </c>
      <c r="AD16" s="1558">
        <f>ROUND(AVERAGE(I16:I$22)/100,4)</f>
        <v>1.3299999999999999E-2</v>
      </c>
      <c r="AE16" s="1558">
        <f>ROUND(AVERAGE(J16:J$22)/100,4)</f>
        <v>1.2E-2</v>
      </c>
      <c r="AF16" s="1558">
        <f t="shared" si="37"/>
        <v>1.2E-2</v>
      </c>
      <c r="AG16" s="1558">
        <f>ROUND(AVERAGE(K16:K$22)/100,4)</f>
        <v>1.4E-2</v>
      </c>
      <c r="AH16" s="1558">
        <f>ROUND(AVERAGE(L16:L$22)/100,4)</f>
        <v>1.0800000000000001E-2</v>
      </c>
    </row>
    <row r="17" spans="1:34">
      <c r="A17" s="1559" t="s">
        <v>99</v>
      </c>
      <c r="B17" s="1576">
        <f t="shared" si="42"/>
        <v>322.34053690220776</v>
      </c>
      <c r="C17" s="1576">
        <f t="shared" si="42"/>
        <v>271.46160770422546</v>
      </c>
      <c r="D17" s="1576">
        <f t="shared" si="39"/>
        <v>271.46160770422546</v>
      </c>
      <c r="E17" s="1576">
        <f t="shared" si="43"/>
        <v>442.69434542172456</v>
      </c>
      <c r="F17" s="1576">
        <f t="shared" si="43"/>
        <v>241.34030753190925</v>
      </c>
      <c r="G17" s="3090"/>
      <c r="H17" s="1563">
        <v>2</v>
      </c>
      <c r="I17" s="1563">
        <v>0.77</v>
      </c>
      <c r="J17" s="1563">
        <v>0.69</v>
      </c>
      <c r="K17" s="1563">
        <v>0.8</v>
      </c>
      <c r="L17" s="1578">
        <v>0.88</v>
      </c>
      <c r="N17" s="1571">
        <f t="shared" si="41"/>
        <v>7.7000000000000002E-3</v>
      </c>
      <c r="O17" s="1588">
        <f t="shared" si="36"/>
        <v>6.8999999999999999E-3</v>
      </c>
      <c r="P17" s="1588">
        <f t="shared" si="36"/>
        <v>8.0000000000000002E-3</v>
      </c>
      <c r="Q17" s="1588">
        <f t="shared" si="36"/>
        <v>8.8000000000000005E-3</v>
      </c>
      <c r="R17" s="1573"/>
      <c r="S17" s="1571"/>
      <c r="T17" s="1572"/>
      <c r="U17" s="1572"/>
      <c r="V17" s="1572"/>
      <c r="X17" s="1557">
        <f>ROUND(SUMPRODUCT(PRODUCT(1+N17:N$21)),4)</f>
        <v>1.048</v>
      </c>
      <c r="Y17" s="1557">
        <f>ROUND(SUMPRODUCT(PRODUCT(1+O17:O$21)),4)</f>
        <v>1.0524</v>
      </c>
      <c r="Z17" s="1557">
        <f t="shared" si="0"/>
        <v>1.0524</v>
      </c>
      <c r="AA17" s="1557">
        <f>ROUND(SUMPRODUCT(PRODUCT(1+P17:P$21)),4)</f>
        <v>1.0470999999999999</v>
      </c>
      <c r="AB17" s="1557">
        <f>ROUND(SUMPRODUCT(PRODUCT(1+Q17:Q$21)),4)</f>
        <v>1.0504</v>
      </c>
      <c r="AD17" s="1558">
        <f>ROUND(AVERAGE(I17:I$22)/100,4)</f>
        <v>1.2800000000000001E-2</v>
      </c>
      <c r="AE17" s="1558">
        <f>ROUND(AVERAGE(J17:J$22)/100,4)</f>
        <v>1.2500000000000001E-2</v>
      </c>
      <c r="AF17" s="1558">
        <f t="shared" si="37"/>
        <v>1.2500000000000001E-2</v>
      </c>
      <c r="AG17" s="1558">
        <f>ROUND(AVERAGE(K17:K$22)/100,4)</f>
        <v>1.32E-2</v>
      </c>
      <c r="AH17" s="1558">
        <f>ROUND(AVERAGE(L17:L$22)/100,4)</f>
        <v>1.0500000000000001E-2</v>
      </c>
    </row>
    <row r="18" spans="1:34">
      <c r="A18" s="1559" t="s">
        <v>98</v>
      </c>
      <c r="B18" s="1576">
        <f t="shared" si="42"/>
        <v>319.87748030386797</v>
      </c>
      <c r="C18" s="1576">
        <f t="shared" si="42"/>
        <v>269.60135833173649</v>
      </c>
      <c r="D18" s="1576">
        <f t="shared" si="39"/>
        <v>269.60135833173649</v>
      </c>
      <c r="E18" s="1576">
        <f t="shared" si="43"/>
        <v>439.18089823583784</v>
      </c>
      <c r="F18" s="1576">
        <f t="shared" si="43"/>
        <v>239.23503918706311</v>
      </c>
      <c r="G18" s="3091"/>
      <c r="H18" s="1562">
        <v>1</v>
      </c>
      <c r="I18" s="1562">
        <v>0.51</v>
      </c>
      <c r="J18" s="1562">
        <v>0.54</v>
      </c>
      <c r="K18" s="1562">
        <v>0.48</v>
      </c>
      <c r="L18" s="1577">
        <v>0.93</v>
      </c>
      <c r="N18" s="1579">
        <f t="shared" si="41"/>
        <v>5.1000000000000004E-3</v>
      </c>
      <c r="O18" s="1580">
        <f t="shared" si="36"/>
        <v>5.4000000000000003E-3</v>
      </c>
      <c r="P18" s="1580">
        <f t="shared" si="36"/>
        <v>4.7999999999999996E-3</v>
      </c>
      <c r="Q18" s="1580">
        <f t="shared" si="36"/>
        <v>9.300000000000001E-3</v>
      </c>
      <c r="R18" s="1573"/>
      <c r="S18" s="1579">
        <f>B18/B19-1</f>
        <v>5.9040261127922822E-3</v>
      </c>
      <c r="T18" s="1580">
        <f>C18/C19-1</f>
        <v>5.9752176557332781E-3</v>
      </c>
      <c r="U18" s="1580">
        <f>E18/E19-1</f>
        <v>4.9906138119859556E-3</v>
      </c>
      <c r="V18" s="1580">
        <f>F18/F19-1</f>
        <v>9.4305450930933787E-3</v>
      </c>
      <c r="X18" s="1557">
        <f>ROUND(SUMPRODUCT(PRODUCT(1+N18:N$21)),4)</f>
        <v>1.0399</v>
      </c>
      <c r="Y18" s="1557">
        <f>ROUND(SUMPRODUCT(PRODUCT(1+O18:O$21)),4)</f>
        <v>1.0451999999999999</v>
      </c>
      <c r="Z18" s="1557">
        <f t="shared" si="0"/>
        <v>1.0451999999999999</v>
      </c>
      <c r="AA18" s="1557">
        <f>ROUND(SUMPRODUCT(PRODUCT(1+P18:P$21)),4)</f>
        <v>1.0387999999999999</v>
      </c>
      <c r="AB18" s="1557">
        <f>ROUND(SUMPRODUCT(PRODUCT(1+Q18:Q$21)),4)</f>
        <v>1.0411999999999999</v>
      </c>
      <c r="AD18" s="1558">
        <f>ROUND(AVERAGE(I18:I$22)/100,4)</f>
        <v>1.38E-2</v>
      </c>
      <c r="AE18" s="1558">
        <f>ROUND(AVERAGE(J18:J$22)/100,4)</f>
        <v>1.3599999999999999E-2</v>
      </c>
      <c r="AF18" s="1558">
        <f t="shared" si="37"/>
        <v>1.3599999999999999E-2</v>
      </c>
      <c r="AG18" s="1558">
        <f>ROUND(AVERAGE(K18:K$22)/100,4)</f>
        <v>1.4200000000000001E-2</v>
      </c>
      <c r="AH18" s="1558">
        <f>ROUND(AVERAGE(L18:L$22)/100,4)</f>
        <v>1.0800000000000001E-2</v>
      </c>
    </row>
    <row r="19" spans="1:34" ht="13.5" thickBot="1">
      <c r="A19" s="1559" t="s">
        <v>97</v>
      </c>
      <c r="B19" s="1589">
        <v>318</v>
      </c>
      <c r="C19" s="1589">
        <v>268</v>
      </c>
      <c r="D19" s="1589">
        <f t="shared" si="39"/>
        <v>268</v>
      </c>
      <c r="E19" s="1589">
        <v>437</v>
      </c>
      <c r="F19" s="1590">
        <v>237</v>
      </c>
      <c r="G19" s="3089">
        <v>2014</v>
      </c>
      <c r="H19" s="1581">
        <v>4</v>
      </c>
      <c r="I19" s="1581">
        <v>0.21</v>
      </c>
      <c r="J19" s="1581">
        <v>0.41</v>
      </c>
      <c r="K19" s="1581">
        <v>0.12</v>
      </c>
      <c r="L19" s="1582">
        <v>0.89</v>
      </c>
      <c r="N19" s="1571">
        <f t="shared" si="41"/>
        <v>2.0999999999999999E-3</v>
      </c>
      <c r="O19" s="1572">
        <f t="shared" si="36"/>
        <v>4.0999999999999995E-3</v>
      </c>
      <c r="P19" s="1572">
        <f t="shared" si="36"/>
        <v>1.1999999999999999E-3</v>
      </c>
      <c r="Q19" s="1572">
        <f t="shared" si="36"/>
        <v>8.8999999999999999E-3</v>
      </c>
      <c r="R19" s="1573"/>
      <c r="S19" s="1574"/>
      <c r="T19" s="1575"/>
      <c r="U19" s="1575"/>
      <c r="V19" s="1575"/>
      <c r="X19" s="1557">
        <f>ROUND(SUMPRODUCT(PRODUCT(1+N19:N$21)),4)</f>
        <v>1.0347</v>
      </c>
      <c r="Y19" s="1557">
        <f>ROUND(SUMPRODUCT(PRODUCT(1+O19:O$21)),4)</f>
        <v>1.0395000000000001</v>
      </c>
      <c r="Z19" s="1557">
        <f t="shared" si="0"/>
        <v>1.0395000000000001</v>
      </c>
      <c r="AA19" s="1557">
        <f>ROUND(SUMPRODUCT(PRODUCT(1+P19:P$21)),4)</f>
        <v>1.0338000000000001</v>
      </c>
      <c r="AB19" s="1557">
        <f>ROUND(SUMPRODUCT(PRODUCT(1+Q19:Q$21)),4)</f>
        <v>1.0316000000000001</v>
      </c>
      <c r="AD19" s="1558">
        <f>ROUND(AVERAGE(I19:I$22)/100,4)</f>
        <v>1.6E-2</v>
      </c>
      <c r="AE19" s="1558">
        <f>ROUND(AVERAGE(J19:J$22)/100,4)</f>
        <v>1.5599999999999999E-2</v>
      </c>
      <c r="AF19" s="1558">
        <f t="shared" si="37"/>
        <v>1.5599999999999999E-2</v>
      </c>
      <c r="AG19" s="1558">
        <f>ROUND(AVERAGE(K19:K$22)/100,4)</f>
        <v>1.66E-2</v>
      </c>
      <c r="AH19" s="1558">
        <f>ROUND(AVERAGE(L19:L$22)/100,4)</f>
        <v>1.12E-2</v>
      </c>
    </row>
    <row r="20" spans="1:34">
      <c r="A20" s="1559" t="s">
        <v>96</v>
      </c>
      <c r="B20" s="1576">
        <f t="shared" ref="B20:C22" si="44">B19/(1+N19)</f>
        <v>317.33359944117353</v>
      </c>
      <c r="C20" s="1576">
        <f t="shared" si="44"/>
        <v>266.90568668459315</v>
      </c>
      <c r="D20" s="1576">
        <f t="shared" si="39"/>
        <v>266.90568668459315</v>
      </c>
      <c r="E20" s="1576">
        <f t="shared" ref="E20:F22" si="45">E19/(1+P19)</f>
        <v>436.47622852576905</v>
      </c>
      <c r="F20" s="1576">
        <f t="shared" si="45"/>
        <v>234.90930716622066</v>
      </c>
      <c r="G20" s="3090"/>
      <c r="H20" s="1591">
        <v>3</v>
      </c>
      <c r="I20" s="1591">
        <v>0.83</v>
      </c>
      <c r="J20" s="1591">
        <v>1.47</v>
      </c>
      <c r="K20" s="1591">
        <v>0.65</v>
      </c>
      <c r="L20" s="1592">
        <v>0.72</v>
      </c>
      <c r="N20" s="1571">
        <f t="shared" si="41"/>
        <v>8.3000000000000001E-3</v>
      </c>
      <c r="O20" s="1572">
        <f t="shared" si="36"/>
        <v>1.47E-2</v>
      </c>
      <c r="P20" s="1572">
        <f t="shared" si="36"/>
        <v>6.5000000000000006E-3</v>
      </c>
      <c r="Q20" s="1572">
        <f t="shared" si="36"/>
        <v>7.1999999999999998E-3</v>
      </c>
      <c r="R20" s="1573"/>
      <c r="S20" s="1571"/>
      <c r="T20" s="1572"/>
      <c r="U20" s="1572"/>
      <c r="V20" s="1572"/>
      <c r="X20" s="1557">
        <f>ROUND(SUMPRODUCT(PRODUCT(1+N20:N$21)),4)</f>
        <v>1.0325</v>
      </c>
      <c r="Y20" s="1557">
        <f>ROUND(SUMPRODUCT(PRODUCT(1+O20:O$21)),4)</f>
        <v>1.0353000000000001</v>
      </c>
      <c r="Z20" s="1557">
        <f t="shared" ref="Z20:Z21" si="46">Y20</f>
        <v>1.0353000000000001</v>
      </c>
      <c r="AA20" s="1557">
        <f>ROUND(SUMPRODUCT(PRODUCT(1+P20:P$21)),4)</f>
        <v>1.0326</v>
      </c>
      <c r="AB20" s="1557">
        <f>ROUND(SUMPRODUCT(PRODUCT(1+Q20:Q$21)),4)</f>
        <v>1.0225</v>
      </c>
      <c r="AD20" s="1558">
        <f>ROUND(AVERAGE(I20:I$22)/100,4)</f>
        <v>2.07E-2</v>
      </c>
      <c r="AE20" s="1558">
        <f>ROUND(AVERAGE(J20:J$22)/100,4)</f>
        <v>1.95E-2</v>
      </c>
      <c r="AF20" s="1558">
        <f t="shared" si="37"/>
        <v>1.95E-2</v>
      </c>
      <c r="AG20" s="1558">
        <f>ROUND(AVERAGE(K20:K$22)/100,4)</f>
        <v>2.1700000000000001E-2</v>
      </c>
      <c r="AH20" s="1558">
        <f>ROUND(AVERAGE(L20:L$22)/100,4)</f>
        <v>1.2E-2</v>
      </c>
    </row>
    <row r="21" spans="1:34" ht="13.5" thickBot="1">
      <c r="A21" s="1559" t="s">
        <v>95</v>
      </c>
      <c r="B21" s="1576">
        <f t="shared" si="44"/>
        <v>314.72141172386546</v>
      </c>
      <c r="C21" s="1576">
        <f t="shared" si="44"/>
        <v>263.03901319069001</v>
      </c>
      <c r="D21" s="1576">
        <f t="shared" si="39"/>
        <v>263.03901319069001</v>
      </c>
      <c r="E21" s="1576">
        <f t="shared" si="45"/>
        <v>433.65745506782821</v>
      </c>
      <c r="F21" s="1576">
        <f t="shared" si="45"/>
        <v>233.23005080045735</v>
      </c>
      <c r="G21" s="3090"/>
      <c r="H21" s="1581">
        <v>2</v>
      </c>
      <c r="I21" s="1581">
        <v>2.4</v>
      </c>
      <c r="J21" s="1581">
        <v>2.0299999999999998</v>
      </c>
      <c r="K21" s="1581">
        <v>2.59</v>
      </c>
      <c r="L21" s="1582">
        <v>1.52</v>
      </c>
      <c r="N21" s="1571">
        <f t="shared" si="41"/>
        <v>2.4E-2</v>
      </c>
      <c r="O21" s="1572">
        <f t="shared" si="36"/>
        <v>2.0299999999999999E-2</v>
      </c>
      <c r="P21" s="1572">
        <f t="shared" si="36"/>
        <v>2.5899999999999999E-2</v>
      </c>
      <c r="Q21" s="1572">
        <f t="shared" si="36"/>
        <v>1.52E-2</v>
      </c>
      <c r="R21" s="1573"/>
      <c r="S21" s="1571"/>
      <c r="T21" s="1572"/>
      <c r="U21" s="1572"/>
      <c r="V21" s="1572"/>
      <c r="X21" s="1557">
        <f>1+N21</f>
        <v>1.024</v>
      </c>
      <c r="Y21" s="1557">
        <f>1+O21</f>
        <v>1.0203</v>
      </c>
      <c r="Z21" s="1557">
        <f t="shared" si="46"/>
        <v>1.0203</v>
      </c>
      <c r="AA21" s="1557">
        <f>1+P21</f>
        <v>1.0259</v>
      </c>
      <c r="AB21" s="1557">
        <f>1+Q21</f>
        <v>1.0152000000000001</v>
      </c>
      <c r="AD21" s="1558">
        <f>ROUND(AVERAGE(I21:I$22)/100,4)</f>
        <v>2.69E-2</v>
      </c>
      <c r="AE21" s="1558">
        <f>ROUND(AVERAGE(J21:J$22)/100,4)</f>
        <v>2.1899999999999999E-2</v>
      </c>
      <c r="AF21" s="1558">
        <f t="shared" ref="AF21" si="47">AE21</f>
        <v>2.1899999999999999E-2</v>
      </c>
      <c r="AG21" s="1558">
        <f>ROUND(AVERAGE(K21:K$22)/100,4)</f>
        <v>2.9399999999999999E-2</v>
      </c>
      <c r="AH21" s="1558">
        <f>ROUND(AVERAGE(L21:L$22)/100,4)</f>
        <v>1.44E-2</v>
      </c>
    </row>
    <row r="22" spans="1:34" s="1597" customFormat="1" ht="13.5" thickBot="1">
      <c r="A22" s="1593" t="s">
        <v>94</v>
      </c>
      <c r="B22" s="1594">
        <f t="shared" si="44"/>
        <v>307.34512863658733</v>
      </c>
      <c r="C22" s="1594">
        <f t="shared" si="44"/>
        <v>257.80556031626975</v>
      </c>
      <c r="D22" s="1594">
        <f t="shared" si="39"/>
        <v>257.80556031626975</v>
      </c>
      <c r="E22" s="1594">
        <f t="shared" si="45"/>
        <v>422.70928459677179</v>
      </c>
      <c r="F22" s="1594">
        <f t="shared" si="45"/>
        <v>229.73803270336617</v>
      </c>
      <c r="G22" s="3091"/>
      <c r="H22" s="1595">
        <v>1</v>
      </c>
      <c r="I22" s="1595">
        <v>2.97</v>
      </c>
      <c r="J22" s="1595">
        <v>2.34</v>
      </c>
      <c r="K22" s="1595">
        <v>3.28</v>
      </c>
      <c r="L22" s="1596">
        <v>1.36</v>
      </c>
      <c r="N22" s="1598">
        <f t="shared" si="41"/>
        <v>2.9700000000000001E-2</v>
      </c>
      <c r="O22" s="1599">
        <f t="shared" si="36"/>
        <v>2.3399999999999997E-2</v>
      </c>
      <c r="P22" s="1599">
        <f t="shared" si="36"/>
        <v>3.2799999999999996E-2</v>
      </c>
      <c r="Q22" s="1599">
        <f t="shared" si="36"/>
        <v>1.3600000000000001E-2</v>
      </c>
      <c r="R22" s="1600"/>
      <c r="S22" s="1601">
        <f>B22/B23-1</f>
        <v>2.7910129219355539E-2</v>
      </c>
      <c r="T22" s="1602">
        <f>C22/C23-1</f>
        <v>2.3037937762975247E-2</v>
      </c>
      <c r="U22" s="1602">
        <f>E22/E23-1</f>
        <v>3.3519033243940788E-2</v>
      </c>
      <c r="V22" s="1602">
        <f>F22/F23-1</f>
        <v>1.2061818076502862E-2</v>
      </c>
      <c r="W22" s="1603" t="s">
        <v>1218</v>
      </c>
      <c r="X22" s="1604">
        <v>1</v>
      </c>
      <c r="Y22" s="1604">
        <v>1</v>
      </c>
      <c r="Z22" s="1604">
        <v>1</v>
      </c>
      <c r="AA22" s="1604">
        <v>1</v>
      </c>
      <c r="AB22" s="1604">
        <v>1</v>
      </c>
      <c r="AD22" s="1811">
        <f>I22/100</f>
        <v>2.9700000000000001E-2</v>
      </c>
      <c r="AE22" s="1811">
        <f>J22/100</f>
        <v>2.3399999999999997E-2</v>
      </c>
      <c r="AF22" s="1811">
        <f>AE22</f>
        <v>2.3399999999999997E-2</v>
      </c>
      <c r="AG22" s="1811">
        <f>K22/100</f>
        <v>3.2799999999999996E-2</v>
      </c>
      <c r="AH22" s="1811">
        <f>L22/100</f>
        <v>1.3600000000000001E-2</v>
      </c>
    </row>
    <row r="23" spans="1:34" ht="13.5" thickBot="1">
      <c r="A23" s="1559" t="s">
        <v>1051</v>
      </c>
      <c r="B23" s="1568">
        <v>299</v>
      </c>
      <c r="C23" s="1568">
        <v>252</v>
      </c>
      <c r="D23" s="1568">
        <f t="shared" si="39"/>
        <v>252</v>
      </c>
      <c r="E23" s="1568">
        <v>409</v>
      </c>
      <c r="F23" s="1569">
        <v>227</v>
      </c>
      <c r="G23" s="3096">
        <v>2013</v>
      </c>
      <c r="H23" s="1605">
        <v>4</v>
      </c>
      <c r="I23" s="1605">
        <v>1.83</v>
      </c>
      <c r="J23" s="1605">
        <v>1.68</v>
      </c>
      <c r="K23" s="1605">
        <v>1.97</v>
      </c>
      <c r="L23" s="1606">
        <v>0.87</v>
      </c>
      <c r="N23" s="1583">
        <f t="shared" si="41"/>
        <v>1.83E-2</v>
      </c>
      <c r="O23" s="1584">
        <f t="shared" si="36"/>
        <v>1.6799999999999999E-2</v>
      </c>
      <c r="P23" s="1584">
        <f t="shared" si="36"/>
        <v>1.9699999999999999E-2</v>
      </c>
      <c r="Q23" s="1584">
        <f t="shared" si="36"/>
        <v>8.6999999999999994E-3</v>
      </c>
      <c r="R23" s="1573"/>
      <c r="S23" s="1574"/>
      <c r="T23" s="1575"/>
      <c r="U23" s="1575"/>
      <c r="V23" s="1575"/>
      <c r="X23" s="1575"/>
      <c r="Y23" s="1575"/>
      <c r="Z23" s="1575"/>
    </row>
    <row r="24" spans="1:34">
      <c r="A24" s="1559" t="s">
        <v>1052</v>
      </c>
      <c r="B24" s="1576">
        <f t="shared" ref="B24:C26" si="48">B23/(1+N23)</f>
        <v>293.62663262299913</v>
      </c>
      <c r="C24" s="1576">
        <f t="shared" si="48"/>
        <v>247.83634933123525</v>
      </c>
      <c r="D24" s="1576">
        <f t="shared" si="39"/>
        <v>247.83634933123525</v>
      </c>
      <c r="E24" s="1576">
        <f t="shared" ref="E24:F26" si="49">E23/(1+P23)</f>
        <v>401.09836226341076</v>
      </c>
      <c r="F24" s="1576">
        <f t="shared" si="49"/>
        <v>225.04213343908003</v>
      </c>
      <c r="G24" s="3097"/>
      <c r="H24" s="1586">
        <v>3</v>
      </c>
      <c r="I24" s="1586">
        <v>1.86</v>
      </c>
      <c r="J24" s="1586">
        <v>1.72</v>
      </c>
      <c r="K24" s="1586">
        <v>1.98</v>
      </c>
      <c r="L24" s="1587">
        <v>0.88</v>
      </c>
      <c r="N24" s="1571">
        <f t="shared" si="41"/>
        <v>1.8600000000000002E-2</v>
      </c>
      <c r="O24" s="1588">
        <f t="shared" si="36"/>
        <v>1.72E-2</v>
      </c>
      <c r="P24" s="1588">
        <f t="shared" si="36"/>
        <v>1.9799999999999998E-2</v>
      </c>
      <c r="Q24" s="1588">
        <f t="shared" si="36"/>
        <v>8.8000000000000005E-3</v>
      </c>
      <c r="R24" s="1573"/>
      <c r="S24" s="1571"/>
      <c r="T24" s="1572"/>
      <c r="U24" s="1572"/>
      <c r="V24" s="1572"/>
    </row>
    <row r="25" spans="1:34">
      <c r="A25" s="1559" t="s">
        <v>1053</v>
      </c>
      <c r="B25" s="1576">
        <f t="shared" si="48"/>
        <v>288.2649053828776</v>
      </c>
      <c r="C25" s="1576">
        <f t="shared" si="48"/>
        <v>243.64564425013293</v>
      </c>
      <c r="D25" s="1576">
        <f t="shared" si="39"/>
        <v>243.64564425013293</v>
      </c>
      <c r="E25" s="1576">
        <f t="shared" si="49"/>
        <v>393.31080825986544</v>
      </c>
      <c r="F25" s="1576">
        <f t="shared" si="49"/>
        <v>223.07903790551154</v>
      </c>
      <c r="G25" s="3097"/>
      <c r="H25" s="1563">
        <v>2</v>
      </c>
      <c r="I25" s="1563">
        <v>2.04</v>
      </c>
      <c r="J25" s="1563">
        <v>2.33</v>
      </c>
      <c r="K25" s="1563">
        <v>2.0699999999999998</v>
      </c>
      <c r="L25" s="1578">
        <v>0.69</v>
      </c>
      <c r="N25" s="1571">
        <f t="shared" si="41"/>
        <v>2.0400000000000001E-2</v>
      </c>
      <c r="O25" s="1588">
        <f t="shared" si="36"/>
        <v>2.3300000000000001E-2</v>
      </c>
      <c r="P25" s="1588">
        <f t="shared" si="36"/>
        <v>2.07E-2</v>
      </c>
      <c r="Q25" s="1588">
        <f t="shared" si="36"/>
        <v>6.8999999999999999E-3</v>
      </c>
      <c r="R25" s="1573"/>
      <c r="S25" s="1571"/>
      <c r="T25" s="1572"/>
      <c r="U25" s="1572"/>
      <c r="V25" s="1572"/>
      <c r="X25" s="1607"/>
      <c r="Y25" s="1608"/>
    </row>
    <row r="26" spans="1:34">
      <c r="A26" s="1559" t="s">
        <v>1054</v>
      </c>
      <c r="B26" s="1576">
        <f t="shared" si="48"/>
        <v>282.50186729015837</v>
      </c>
      <c r="C26" s="1576">
        <f t="shared" si="48"/>
        <v>238.09796174155468</v>
      </c>
      <c r="D26" s="1576">
        <f t="shared" si="39"/>
        <v>238.09796174155468</v>
      </c>
      <c r="E26" s="1576">
        <f t="shared" si="49"/>
        <v>385.33438646014054</v>
      </c>
      <c r="F26" s="1576">
        <f t="shared" si="49"/>
        <v>221.55034055567739</v>
      </c>
      <c r="G26" s="3098"/>
      <c r="H26" s="1562">
        <v>1</v>
      </c>
      <c r="I26" s="1562">
        <v>1.67</v>
      </c>
      <c r="J26" s="1562">
        <v>1.31</v>
      </c>
      <c r="K26" s="1562">
        <v>1.85</v>
      </c>
      <c r="L26" s="1577">
        <v>0.96</v>
      </c>
      <c r="N26" s="1579">
        <f t="shared" si="41"/>
        <v>1.67E-2</v>
      </c>
      <c r="O26" s="1580">
        <f t="shared" si="41"/>
        <v>1.3100000000000001E-2</v>
      </c>
      <c r="P26" s="1580">
        <f t="shared" si="41"/>
        <v>1.8500000000000003E-2</v>
      </c>
      <c r="Q26" s="1580">
        <f t="shared" si="41"/>
        <v>9.5999999999999992E-3</v>
      </c>
      <c r="R26" s="1573"/>
      <c r="S26" s="1579">
        <f>B26/B27-1</f>
        <v>1.6193767230785472E-2</v>
      </c>
      <c r="T26" s="1580">
        <f>C26/C27-1</f>
        <v>1.7512657015190891E-2</v>
      </c>
      <c r="U26" s="1580">
        <f>E26/E27-1</f>
        <v>1.6713420739157048E-2</v>
      </c>
      <c r="V26" s="1580">
        <f>F26/F27-1</f>
        <v>7.0470025258062563E-3</v>
      </c>
      <c r="X26" s="1609"/>
      <c r="Y26" s="1558"/>
      <c r="Z26" s="1558"/>
    </row>
    <row r="27" spans="1:34" ht="13.5" thickBot="1">
      <c r="A27" s="1559" t="s">
        <v>1055</v>
      </c>
      <c r="B27" s="1610">
        <v>278</v>
      </c>
      <c r="C27" s="1610">
        <v>234</v>
      </c>
      <c r="D27" s="1610">
        <f t="shared" si="39"/>
        <v>234</v>
      </c>
      <c r="E27" s="1610">
        <v>379</v>
      </c>
      <c r="F27" s="1611">
        <v>220</v>
      </c>
      <c r="G27" s="3089">
        <v>2012</v>
      </c>
      <c r="H27" s="1581">
        <v>4</v>
      </c>
      <c r="I27" s="1581">
        <v>0.91</v>
      </c>
      <c r="J27" s="1581">
        <v>0.68</v>
      </c>
      <c r="K27" s="1581">
        <v>0.98</v>
      </c>
      <c r="L27" s="1582">
        <v>0.9</v>
      </c>
      <c r="N27" s="1571">
        <f t="shared" si="41"/>
        <v>9.1000000000000004E-3</v>
      </c>
      <c r="O27" s="1572">
        <f t="shared" si="41"/>
        <v>6.8000000000000005E-3</v>
      </c>
      <c r="P27" s="1572">
        <f t="shared" si="41"/>
        <v>9.7999999999999997E-3</v>
      </c>
      <c r="Q27" s="1572">
        <f t="shared" si="41"/>
        <v>9.0000000000000011E-3</v>
      </c>
      <c r="R27" s="1573"/>
      <c r="S27" s="1574"/>
      <c r="T27" s="1575"/>
      <c r="U27" s="1575"/>
      <c r="V27" s="1575"/>
      <c r="X27" s="1575"/>
      <c r="Y27" s="1575"/>
      <c r="Z27" s="1575"/>
    </row>
    <row r="28" spans="1:34">
      <c r="A28" s="1559" t="s">
        <v>1056</v>
      </c>
      <c r="B28" s="1576">
        <f>B27/(1+N27)</f>
        <v>275.49301357645425</v>
      </c>
      <c r="C28" s="1576">
        <f>C27/(1+O27)</f>
        <v>232.41954707985698</v>
      </c>
      <c r="D28" s="1576">
        <f t="shared" si="39"/>
        <v>232.41954707985698</v>
      </c>
      <c r="E28" s="1576">
        <f t="shared" ref="E28:F30" si="50">E27/(1+P27)</f>
        <v>375.32184591008121</v>
      </c>
      <c r="F28" s="1576">
        <f t="shared" si="50"/>
        <v>218.03766105054513</v>
      </c>
      <c r="G28" s="3090"/>
      <c r="H28" s="1586">
        <v>3</v>
      </c>
      <c r="I28" s="1586">
        <v>0.09</v>
      </c>
      <c r="J28" s="1586">
        <v>0.28999999999999998</v>
      </c>
      <c r="K28" s="1586">
        <v>-0.01</v>
      </c>
      <c r="L28" s="1587">
        <v>0.57999999999999996</v>
      </c>
      <c r="N28" s="1571">
        <f t="shared" si="41"/>
        <v>8.9999999999999998E-4</v>
      </c>
      <c r="O28" s="1572">
        <f t="shared" si="41"/>
        <v>2.8999999999999998E-3</v>
      </c>
      <c r="P28" s="1572">
        <f t="shared" si="41"/>
        <v>-1E-4</v>
      </c>
      <c r="Q28" s="1572">
        <f t="shared" si="41"/>
        <v>5.7999999999999996E-3</v>
      </c>
      <c r="R28" s="1573"/>
      <c r="S28" s="1571"/>
      <c r="T28" s="1572"/>
      <c r="U28" s="1572"/>
      <c r="V28" s="1572"/>
    </row>
    <row r="29" spans="1:34">
      <c r="A29" s="1559" t="s">
        <v>1057</v>
      </c>
      <c r="B29" s="1576">
        <f>B28/(1+N28)</f>
        <v>275.24529281292263</v>
      </c>
      <c r="C29" s="1576">
        <f>C28/(1+O28)</f>
        <v>231.74747938962707</v>
      </c>
      <c r="D29" s="1576">
        <f t="shared" si="39"/>
        <v>231.74747938962707</v>
      </c>
      <c r="E29" s="1576">
        <f t="shared" si="50"/>
        <v>375.35938184826603</v>
      </c>
      <c r="F29" s="1576">
        <f t="shared" si="50"/>
        <v>216.78033510692495</v>
      </c>
      <c r="G29" s="3090"/>
      <c r="H29" s="1563">
        <v>2</v>
      </c>
      <c r="I29" s="1563">
        <v>0.02</v>
      </c>
      <c r="J29" s="1563">
        <v>0.12</v>
      </c>
      <c r="K29" s="1563">
        <v>-0.08</v>
      </c>
      <c r="L29" s="1578">
        <v>1.24</v>
      </c>
      <c r="N29" s="1571">
        <f t="shared" si="41"/>
        <v>2.0000000000000001E-4</v>
      </c>
      <c r="O29" s="1572">
        <f t="shared" si="41"/>
        <v>1.1999999999999999E-3</v>
      </c>
      <c r="P29" s="1572">
        <f t="shared" si="41"/>
        <v>-8.0000000000000004E-4</v>
      </c>
      <c r="Q29" s="1572">
        <f t="shared" si="41"/>
        <v>1.24E-2</v>
      </c>
      <c r="R29" s="1573"/>
      <c r="S29" s="1571"/>
      <c r="T29" s="1572"/>
      <c r="U29" s="1572"/>
      <c r="V29" s="1572"/>
    </row>
    <row r="30" spans="1:34" ht="13.5" thickBot="1">
      <c r="A30" s="1559" t="s">
        <v>1058</v>
      </c>
      <c r="B30" s="1576">
        <f>B29/(1+N29)</f>
        <v>275.19025476197027</v>
      </c>
      <c r="C30" s="1612">
        <v>232</v>
      </c>
      <c r="D30" s="1612">
        <f t="shared" si="39"/>
        <v>232</v>
      </c>
      <c r="E30" s="1576">
        <f t="shared" si="50"/>
        <v>375.65990977608692</v>
      </c>
      <c r="F30" s="1576">
        <f t="shared" si="50"/>
        <v>214.12518283971252</v>
      </c>
      <c r="G30" s="3091"/>
      <c r="H30" s="1562">
        <v>1</v>
      </c>
      <c r="I30" s="1562">
        <v>0.02</v>
      </c>
      <c r="J30" s="1562">
        <v>0.13</v>
      </c>
      <c r="K30" s="1562">
        <v>-0.04</v>
      </c>
      <c r="L30" s="1577">
        <v>0.46</v>
      </c>
      <c r="N30" s="1571">
        <f t="shared" si="41"/>
        <v>2.0000000000000001E-4</v>
      </c>
      <c r="O30" s="1572">
        <f t="shared" si="41"/>
        <v>1.2999999999999999E-3</v>
      </c>
      <c r="P30" s="1572">
        <f t="shared" si="41"/>
        <v>-4.0000000000000002E-4</v>
      </c>
      <c r="Q30" s="1572">
        <f t="shared" si="41"/>
        <v>4.5999999999999999E-3</v>
      </c>
      <c r="R30" s="1573"/>
      <c r="S30" s="1579">
        <f>B30/B31-1</f>
        <v>6.9183549807361189E-4</v>
      </c>
      <c r="T30" s="1580">
        <f>C30/C31-1</f>
        <v>0</v>
      </c>
      <c r="U30" s="1580">
        <f>E30/E31-1</f>
        <v>-9.0449527636460303E-4</v>
      </c>
      <c r="V30" s="1580">
        <f>F30/F31-1</f>
        <v>5.2825485432512753E-3</v>
      </c>
      <c r="X30" s="1558"/>
      <c r="Y30" s="1558"/>
      <c r="Z30" s="1558"/>
    </row>
    <row r="31" spans="1:34" ht="13.5" thickBot="1">
      <c r="A31" s="1559" t="s">
        <v>1059</v>
      </c>
      <c r="B31" s="1568">
        <v>275</v>
      </c>
      <c r="C31" s="1568">
        <v>232</v>
      </c>
      <c r="D31" s="1568">
        <f t="shared" si="39"/>
        <v>232</v>
      </c>
      <c r="E31" s="1568">
        <v>376</v>
      </c>
      <c r="F31" s="1569">
        <v>213</v>
      </c>
      <c r="G31" s="3089">
        <v>2011</v>
      </c>
      <c r="H31" s="1581">
        <v>4</v>
      </c>
      <c r="I31" s="1581">
        <v>-0.2</v>
      </c>
      <c r="J31" s="1581">
        <v>0.04</v>
      </c>
      <c r="K31" s="1581">
        <v>-0.34</v>
      </c>
      <c r="L31" s="1582">
        <v>0.46</v>
      </c>
      <c r="N31" s="1583">
        <f t="shared" si="41"/>
        <v>-2E-3</v>
      </c>
      <c r="O31" s="1584">
        <f t="shared" si="41"/>
        <v>4.0000000000000002E-4</v>
      </c>
      <c r="P31" s="1584">
        <f t="shared" si="41"/>
        <v>-3.4000000000000002E-3</v>
      </c>
      <c r="Q31" s="1584">
        <f t="shared" si="41"/>
        <v>4.5999999999999999E-3</v>
      </c>
      <c r="R31" s="1573"/>
      <c r="S31" s="1574"/>
      <c r="T31" s="1575"/>
      <c r="U31" s="1575"/>
      <c r="V31" s="1575"/>
      <c r="X31" s="1575"/>
      <c r="Y31" s="1575"/>
      <c r="Z31" s="1575"/>
    </row>
    <row r="32" spans="1:34">
      <c r="A32" s="1559" t="s">
        <v>1060</v>
      </c>
      <c r="B32" s="1576">
        <f t="shared" ref="B32:C34" si="51">B31/(1+N31)</f>
        <v>275.55110220440883</v>
      </c>
      <c r="C32" s="1576">
        <f t="shared" si="51"/>
        <v>231.90723710515795</v>
      </c>
      <c r="D32" s="1576">
        <f t="shared" si="39"/>
        <v>231.90723710515795</v>
      </c>
      <c r="E32" s="1576">
        <f t="shared" ref="E32:F34" si="52">E31/(1+P31)</f>
        <v>377.28276138872161</v>
      </c>
      <c r="F32" s="1576">
        <f t="shared" si="52"/>
        <v>212.02468644236512</v>
      </c>
      <c r="G32" s="3090">
        <v>2011</v>
      </c>
      <c r="H32" s="1586">
        <v>3</v>
      </c>
      <c r="I32" s="1586">
        <v>0.13</v>
      </c>
      <c r="J32" s="1586">
        <v>0.75</v>
      </c>
      <c r="K32" s="1586">
        <v>-0.08</v>
      </c>
      <c r="L32" s="1587">
        <v>0.53</v>
      </c>
      <c r="N32" s="1571">
        <f t="shared" si="41"/>
        <v>1.2999999999999999E-3</v>
      </c>
      <c r="O32" s="1588">
        <f t="shared" si="41"/>
        <v>7.4999999999999997E-3</v>
      </c>
      <c r="P32" s="1588">
        <f t="shared" si="41"/>
        <v>-8.0000000000000004E-4</v>
      </c>
      <c r="Q32" s="1588">
        <f t="shared" si="41"/>
        <v>5.3E-3</v>
      </c>
      <c r="R32" s="1573"/>
      <c r="S32" s="1571"/>
      <c r="T32" s="1572"/>
      <c r="U32" s="1572"/>
      <c r="V32" s="1572"/>
    </row>
    <row r="33" spans="1:26">
      <c r="A33" s="1559" t="s">
        <v>1061</v>
      </c>
      <c r="B33" s="1576">
        <f t="shared" si="51"/>
        <v>275.19335084830601</v>
      </c>
      <c r="C33" s="1576">
        <f t="shared" si="51"/>
        <v>230.18088050139744</v>
      </c>
      <c r="D33" s="1576">
        <f t="shared" si="39"/>
        <v>230.18088050139744</v>
      </c>
      <c r="E33" s="1576">
        <f t="shared" si="52"/>
        <v>377.58482925212331</v>
      </c>
      <c r="F33" s="1576">
        <f t="shared" si="52"/>
        <v>210.90687997847917</v>
      </c>
      <c r="G33" s="3090">
        <v>2011</v>
      </c>
      <c r="H33" s="1563">
        <v>2</v>
      </c>
      <c r="I33" s="1563">
        <v>-0.4</v>
      </c>
      <c r="J33" s="1563">
        <v>0.17</v>
      </c>
      <c r="K33" s="1563">
        <v>-0.57999999999999996</v>
      </c>
      <c r="L33" s="1578">
        <v>-0.2</v>
      </c>
      <c r="N33" s="1571">
        <f t="shared" si="41"/>
        <v>-4.0000000000000001E-3</v>
      </c>
      <c r="O33" s="1588">
        <f t="shared" si="41"/>
        <v>1.7000000000000001E-3</v>
      </c>
      <c r="P33" s="1588">
        <f t="shared" si="41"/>
        <v>-5.7999999999999996E-3</v>
      </c>
      <c r="Q33" s="1588">
        <f t="shared" si="41"/>
        <v>-2E-3</v>
      </c>
      <c r="R33" s="1573"/>
      <c r="S33" s="1571"/>
      <c r="T33" s="1572"/>
      <c r="U33" s="1572"/>
      <c r="V33" s="1572"/>
    </row>
    <row r="34" spans="1:26" ht="13.5" thickBot="1">
      <c r="A34" s="1559" t="s">
        <v>1062</v>
      </c>
      <c r="B34" s="1576">
        <f t="shared" si="51"/>
        <v>276.29854502841971</v>
      </c>
      <c r="C34" s="1576">
        <f t="shared" si="51"/>
        <v>229.79023709833027</v>
      </c>
      <c r="D34" s="1576">
        <f t="shared" si="39"/>
        <v>229.79023709833027</v>
      </c>
      <c r="E34" s="1576">
        <f t="shared" si="52"/>
        <v>379.78759731655936</v>
      </c>
      <c r="F34" s="1576">
        <f t="shared" si="52"/>
        <v>211.32953905659235</v>
      </c>
      <c r="G34" s="3091">
        <v>2011</v>
      </c>
      <c r="H34" s="1562">
        <v>1</v>
      </c>
      <c r="I34" s="1562">
        <v>2.65</v>
      </c>
      <c r="J34" s="1562">
        <v>3.76</v>
      </c>
      <c r="K34" s="1562">
        <v>1.89</v>
      </c>
      <c r="L34" s="1577">
        <v>7.95</v>
      </c>
      <c r="N34" s="1579">
        <f t="shared" si="41"/>
        <v>2.6499999999999999E-2</v>
      </c>
      <c r="O34" s="1580">
        <f t="shared" si="41"/>
        <v>3.7599999999999995E-2</v>
      </c>
      <c r="P34" s="1580">
        <f t="shared" si="41"/>
        <v>1.89E-2</v>
      </c>
      <c r="Q34" s="1580">
        <f t="shared" si="41"/>
        <v>7.9500000000000001E-2</v>
      </c>
      <c r="R34" s="1573"/>
      <c r="S34" s="1579">
        <f>B34/B35-1</f>
        <v>2.713213765211786E-2</v>
      </c>
      <c r="T34" s="1580">
        <f>C34/C35-1</f>
        <v>3.9774828499231862E-2</v>
      </c>
      <c r="U34" s="1580">
        <f>E34/E35-1</f>
        <v>1.8197311840641772E-2</v>
      </c>
      <c r="V34" s="1580">
        <f>F34/F35-1</f>
        <v>7.8211933962205826E-2</v>
      </c>
      <c r="X34" s="1558"/>
      <c r="Y34" s="1558"/>
      <c r="Z34" s="1558"/>
    </row>
    <row r="35" spans="1:26" ht="13.5" thickBot="1">
      <c r="A35" s="1559" t="s">
        <v>1063</v>
      </c>
      <c r="B35" s="1568">
        <v>269</v>
      </c>
      <c r="C35" s="1568">
        <v>221</v>
      </c>
      <c r="D35" s="1568">
        <f t="shared" si="39"/>
        <v>221</v>
      </c>
      <c r="E35" s="1568">
        <v>373</v>
      </c>
      <c r="F35" s="1569">
        <v>196</v>
      </c>
      <c r="G35" s="3089">
        <v>2010</v>
      </c>
      <c r="H35" s="1581">
        <v>4</v>
      </c>
      <c r="I35" s="1581">
        <v>5.72</v>
      </c>
      <c r="J35" s="1581">
        <v>6.57</v>
      </c>
      <c r="K35" s="1581">
        <v>5.72</v>
      </c>
      <c r="L35" s="1582">
        <v>2.72</v>
      </c>
      <c r="N35" s="1571">
        <f t="shared" si="41"/>
        <v>5.7200000000000001E-2</v>
      </c>
      <c r="O35" s="1572">
        <f t="shared" si="41"/>
        <v>6.5700000000000008E-2</v>
      </c>
      <c r="P35" s="1572">
        <f t="shared" si="41"/>
        <v>5.7200000000000001E-2</v>
      </c>
      <c r="Q35" s="1572">
        <f t="shared" si="41"/>
        <v>2.7200000000000002E-2</v>
      </c>
      <c r="R35" s="1573"/>
      <c r="S35" s="1574"/>
      <c r="T35" s="1575"/>
      <c r="U35" s="1575"/>
      <c r="V35" s="1575"/>
      <c r="X35" s="1575"/>
      <c r="Y35" s="1575"/>
      <c r="Z35" s="1575"/>
    </row>
    <row r="36" spans="1:26">
      <c r="A36" s="1559" t="s">
        <v>1064</v>
      </c>
      <c r="B36" s="1576">
        <f t="shared" ref="B36:C38" si="53">B35/(1+N35)</f>
        <v>254.44570563753314</v>
      </c>
      <c r="C36" s="1576">
        <f t="shared" si="53"/>
        <v>207.37543398705074</v>
      </c>
      <c r="D36" s="1576">
        <f t="shared" si="39"/>
        <v>207.37543398705074</v>
      </c>
      <c r="E36" s="1576">
        <f t="shared" ref="E36:F38" si="54">E35/(1+P35)</f>
        <v>352.81876655315932</v>
      </c>
      <c r="F36" s="1576">
        <f t="shared" si="54"/>
        <v>190.809968847352</v>
      </c>
      <c r="G36" s="3090">
        <v>2010</v>
      </c>
      <c r="H36" s="1586">
        <v>3</v>
      </c>
      <c r="I36" s="1586">
        <v>4.7300000000000004</v>
      </c>
      <c r="J36" s="1586">
        <v>3.9</v>
      </c>
      <c r="K36" s="1586">
        <v>5.03</v>
      </c>
      <c r="L36" s="1587">
        <v>4.21</v>
      </c>
      <c r="N36" s="1571">
        <f t="shared" si="41"/>
        <v>4.7300000000000002E-2</v>
      </c>
      <c r="O36" s="1572">
        <f t="shared" si="41"/>
        <v>3.9E-2</v>
      </c>
      <c r="P36" s="1572">
        <f t="shared" si="41"/>
        <v>5.0300000000000004E-2</v>
      </c>
      <c r="Q36" s="1572">
        <f t="shared" si="41"/>
        <v>4.2099999999999999E-2</v>
      </c>
      <c r="R36" s="1573"/>
      <c r="S36" s="1571"/>
      <c r="T36" s="1572"/>
      <c r="U36" s="1572"/>
      <c r="V36" s="1572"/>
    </row>
    <row r="37" spans="1:26">
      <c r="A37" s="1559" t="s">
        <v>1065</v>
      </c>
      <c r="B37" s="1576">
        <f t="shared" si="53"/>
        <v>242.95398227588385</v>
      </c>
      <c r="C37" s="1576">
        <f t="shared" si="53"/>
        <v>199.59137053614126</v>
      </c>
      <c r="D37" s="1576">
        <f t="shared" si="39"/>
        <v>199.59137053614126</v>
      </c>
      <c r="E37" s="1576">
        <f t="shared" si="54"/>
        <v>335.92189522342125</v>
      </c>
      <c r="F37" s="1576">
        <f t="shared" si="54"/>
        <v>183.10139991109489</v>
      </c>
      <c r="G37" s="3090">
        <v>2010</v>
      </c>
      <c r="H37" s="1563">
        <v>2</v>
      </c>
      <c r="I37" s="1563">
        <v>4.6900000000000004</v>
      </c>
      <c r="J37" s="1563">
        <v>3.55</v>
      </c>
      <c r="K37" s="1563">
        <v>5.07</v>
      </c>
      <c r="L37" s="1578">
        <v>4.2300000000000004</v>
      </c>
      <c r="N37" s="1571">
        <f t="shared" si="41"/>
        <v>4.6900000000000004E-2</v>
      </c>
      <c r="O37" s="1572">
        <f t="shared" si="41"/>
        <v>3.5499999999999997E-2</v>
      </c>
      <c r="P37" s="1572">
        <f t="shared" si="41"/>
        <v>5.0700000000000002E-2</v>
      </c>
      <c r="Q37" s="1572">
        <f t="shared" si="41"/>
        <v>4.2300000000000004E-2</v>
      </c>
      <c r="R37" s="1573"/>
      <c r="S37" s="1571"/>
      <c r="T37" s="1572"/>
      <c r="U37" s="1572"/>
      <c r="V37" s="1572"/>
    </row>
    <row r="38" spans="1:26" ht="13.5" thickBot="1">
      <c r="A38" s="1559" t="s">
        <v>1066</v>
      </c>
      <c r="B38" s="1576">
        <f t="shared" si="53"/>
        <v>232.06990378821649</v>
      </c>
      <c r="C38" s="1576">
        <f t="shared" si="53"/>
        <v>192.74878854286936</v>
      </c>
      <c r="D38" s="1576">
        <f t="shared" si="39"/>
        <v>192.74878854286936</v>
      </c>
      <c r="E38" s="1576">
        <f t="shared" si="54"/>
        <v>319.71247284992984</v>
      </c>
      <c r="F38" s="1576">
        <f t="shared" si="54"/>
        <v>175.67053622862409</v>
      </c>
      <c r="G38" s="3091">
        <v>2010</v>
      </c>
      <c r="H38" s="1562">
        <v>1</v>
      </c>
      <c r="I38" s="1562">
        <v>5.4</v>
      </c>
      <c r="J38" s="1562">
        <v>3.2</v>
      </c>
      <c r="K38" s="1562">
        <v>6.16</v>
      </c>
      <c r="L38" s="1577">
        <v>4.51</v>
      </c>
      <c r="N38" s="1571">
        <f t="shared" si="41"/>
        <v>5.4000000000000006E-2</v>
      </c>
      <c r="O38" s="1572">
        <f t="shared" si="41"/>
        <v>3.2000000000000001E-2</v>
      </c>
      <c r="P38" s="1572">
        <f t="shared" si="41"/>
        <v>6.1600000000000002E-2</v>
      </c>
      <c r="Q38" s="1572">
        <f t="shared" si="41"/>
        <v>4.5100000000000001E-2</v>
      </c>
      <c r="R38" s="1573"/>
      <c r="S38" s="1579">
        <f>B38/B39-1</f>
        <v>5.4863199037347599E-2</v>
      </c>
      <c r="T38" s="1580">
        <f>C38/C39-1</f>
        <v>3.0742184721226584E-2</v>
      </c>
      <c r="U38" s="1580">
        <f>E38/E39-1</f>
        <v>6.2167683886810154E-2</v>
      </c>
      <c r="V38" s="1580">
        <f>F38/F39-1</f>
        <v>4.5657953741810031E-2</v>
      </c>
      <c r="X38" s="1558"/>
      <c r="Y38" s="1558"/>
      <c r="Z38" s="1558"/>
    </row>
    <row r="39" spans="1:26" ht="13.5" thickBot="1">
      <c r="A39" s="1559" t="s">
        <v>1067</v>
      </c>
      <c r="B39" s="1568">
        <v>220</v>
      </c>
      <c r="C39" s="1568">
        <v>187</v>
      </c>
      <c r="D39" s="1568">
        <f t="shared" si="39"/>
        <v>187</v>
      </c>
      <c r="E39" s="1568">
        <v>301</v>
      </c>
      <c r="F39" s="1569">
        <v>168</v>
      </c>
      <c r="G39" s="3089">
        <v>2009</v>
      </c>
      <c r="H39" s="1581">
        <v>4</v>
      </c>
      <c r="I39" s="1581">
        <v>2.2999999999999998</v>
      </c>
      <c r="J39" s="1581">
        <v>1.04</v>
      </c>
      <c r="K39" s="1581">
        <v>2.84</v>
      </c>
      <c r="L39" s="1582">
        <v>0.67</v>
      </c>
      <c r="N39" s="1583">
        <f t="shared" si="41"/>
        <v>2.3E-2</v>
      </c>
      <c r="O39" s="1584">
        <f t="shared" si="41"/>
        <v>1.04E-2</v>
      </c>
      <c r="P39" s="1584">
        <f t="shared" si="41"/>
        <v>2.8399999999999998E-2</v>
      </c>
      <c r="Q39" s="1584">
        <f t="shared" si="41"/>
        <v>6.7000000000000002E-3</v>
      </c>
      <c r="R39" s="1573"/>
      <c r="S39" s="1574"/>
      <c r="T39" s="1575"/>
      <c r="U39" s="1575"/>
      <c r="V39" s="1575"/>
      <c r="X39" s="1575"/>
      <c r="Y39" s="1575"/>
      <c r="Z39" s="1575"/>
    </row>
    <row r="40" spans="1:26">
      <c r="A40" s="1559" t="s">
        <v>1068</v>
      </c>
      <c r="B40" s="1576">
        <f t="shared" ref="B40:C42" si="55">B39/(1+N39)</f>
        <v>215.05376344086022</v>
      </c>
      <c r="C40" s="1576">
        <f t="shared" si="55"/>
        <v>185.0752177355503</v>
      </c>
      <c r="D40" s="1576">
        <f t="shared" si="39"/>
        <v>185.0752177355503</v>
      </c>
      <c r="E40" s="1576">
        <f t="shared" ref="E40:F42" si="56">E39/(1+P39)</f>
        <v>292.68767016725008</v>
      </c>
      <c r="F40" s="1576">
        <f t="shared" si="56"/>
        <v>166.88189132810174</v>
      </c>
      <c r="G40" s="3090">
        <v>2009</v>
      </c>
      <c r="H40" s="1586">
        <v>3</v>
      </c>
      <c r="I40" s="1586">
        <v>2.1</v>
      </c>
      <c r="J40" s="1586">
        <v>1.86</v>
      </c>
      <c r="K40" s="1586">
        <v>2.29</v>
      </c>
      <c r="L40" s="1587">
        <v>0.85</v>
      </c>
      <c r="N40" s="1571">
        <f t="shared" si="41"/>
        <v>2.1000000000000001E-2</v>
      </c>
      <c r="O40" s="1588">
        <f t="shared" si="41"/>
        <v>1.8600000000000002E-2</v>
      </c>
      <c r="P40" s="1588">
        <f t="shared" si="41"/>
        <v>2.29E-2</v>
      </c>
      <c r="Q40" s="1588">
        <f t="shared" si="41"/>
        <v>8.5000000000000006E-3</v>
      </c>
      <c r="R40" s="1573"/>
      <c r="S40" s="1571"/>
      <c r="T40" s="1572"/>
      <c r="U40" s="1572"/>
      <c r="V40" s="1572"/>
    </row>
    <row r="41" spans="1:26">
      <c r="A41" s="1559" t="s">
        <v>1069</v>
      </c>
      <c r="B41" s="1576">
        <f t="shared" si="55"/>
        <v>210.630522469011</v>
      </c>
      <c r="C41" s="1576">
        <f t="shared" si="55"/>
        <v>181.69567812247232</v>
      </c>
      <c r="D41" s="1576">
        <f t="shared" si="39"/>
        <v>181.69567812247232</v>
      </c>
      <c r="E41" s="1576">
        <f t="shared" si="56"/>
        <v>286.13517466736738</v>
      </c>
      <c r="F41" s="1576">
        <f t="shared" si="56"/>
        <v>165.47535084591149</v>
      </c>
      <c r="G41" s="3090">
        <v>2009</v>
      </c>
      <c r="H41" s="1563">
        <v>2</v>
      </c>
      <c r="I41" s="1563">
        <v>0.86</v>
      </c>
      <c r="J41" s="1563">
        <v>-1.1299999999999999</v>
      </c>
      <c r="K41" s="1563">
        <v>1.79</v>
      </c>
      <c r="L41" s="1578">
        <v>-2.0699999999999998</v>
      </c>
      <c r="N41" s="1571">
        <f t="shared" si="41"/>
        <v>8.6E-3</v>
      </c>
      <c r="O41" s="1588">
        <f t="shared" si="41"/>
        <v>-1.1299999999999999E-2</v>
      </c>
      <c r="P41" s="1588">
        <f t="shared" si="41"/>
        <v>1.7899999999999999E-2</v>
      </c>
      <c r="Q41" s="1588">
        <f t="shared" si="41"/>
        <v>-2.07E-2</v>
      </c>
      <c r="R41" s="1573"/>
      <c r="S41" s="1571"/>
      <c r="T41" s="1572"/>
      <c r="U41" s="1572"/>
      <c r="V41" s="1572"/>
    </row>
    <row r="42" spans="1:26">
      <c r="A42" s="1559" t="s">
        <v>1070</v>
      </c>
      <c r="B42" s="1576">
        <f t="shared" si="55"/>
        <v>208.83454537875372</v>
      </c>
      <c r="C42" s="1576">
        <f t="shared" si="55"/>
        <v>183.77230517090351</v>
      </c>
      <c r="D42" s="1576">
        <f t="shared" si="39"/>
        <v>183.77230517090351</v>
      </c>
      <c r="E42" s="1576">
        <f t="shared" si="56"/>
        <v>281.10342338870947</v>
      </c>
      <c r="F42" s="1576">
        <f t="shared" si="56"/>
        <v>168.97309388942256</v>
      </c>
      <c r="G42" s="3091">
        <v>2009</v>
      </c>
      <c r="H42" s="1562">
        <v>1</v>
      </c>
      <c r="I42" s="1562">
        <v>-2.64</v>
      </c>
      <c r="J42" s="1562">
        <v>-2.5299999999999998</v>
      </c>
      <c r="K42" s="1562">
        <v>-3.02</v>
      </c>
      <c r="L42" s="1577">
        <v>1.52</v>
      </c>
      <c r="N42" s="1579">
        <f t="shared" si="41"/>
        <v>-2.64E-2</v>
      </c>
      <c r="O42" s="1580">
        <f t="shared" si="41"/>
        <v>-2.53E-2</v>
      </c>
      <c r="P42" s="1580">
        <f t="shared" si="41"/>
        <v>-3.0200000000000001E-2</v>
      </c>
      <c r="Q42" s="1580">
        <f t="shared" si="41"/>
        <v>1.52E-2</v>
      </c>
      <c r="R42" s="1573"/>
      <c r="S42" s="1579">
        <f>B42/B43-1</f>
        <v>-2.4137638417038754E-2</v>
      </c>
      <c r="T42" s="1580">
        <f>C42/C43-1</f>
        <v>-2.248773845264096E-2</v>
      </c>
      <c r="U42" s="1580">
        <f>E42/E43-1</f>
        <v>-2.7323794502735366E-2</v>
      </c>
      <c r="V42" s="1580">
        <f>F42/F43-1</f>
        <v>1.7910204153148035E-2</v>
      </c>
      <c r="X42" s="1558"/>
      <c r="Y42" s="1558"/>
      <c r="Z42" s="1558"/>
    </row>
    <row r="43" spans="1:26" ht="13.5" thickBot="1">
      <c r="A43" s="1559" t="s">
        <v>1071</v>
      </c>
      <c r="B43" s="1610">
        <v>214</v>
      </c>
      <c r="C43" s="1610">
        <v>188</v>
      </c>
      <c r="D43" s="1610">
        <f t="shared" si="39"/>
        <v>188</v>
      </c>
      <c r="E43" s="1610">
        <v>289</v>
      </c>
      <c r="F43" s="1611">
        <v>166</v>
      </c>
      <c r="G43" s="3089">
        <v>2008</v>
      </c>
      <c r="H43" s="1581">
        <v>4</v>
      </c>
      <c r="I43" s="1581">
        <v>1.73</v>
      </c>
      <c r="J43" s="1581">
        <v>0.03</v>
      </c>
      <c r="K43" s="1581">
        <v>2.59</v>
      </c>
      <c r="L43" s="1582">
        <v>-1.66</v>
      </c>
      <c r="N43" s="1571">
        <f t="shared" si="41"/>
        <v>1.7299999999999999E-2</v>
      </c>
      <c r="O43" s="1572">
        <f t="shared" si="41"/>
        <v>2.9999999999999997E-4</v>
      </c>
      <c r="P43" s="1572">
        <f t="shared" si="41"/>
        <v>2.5899999999999999E-2</v>
      </c>
      <c r="Q43" s="1572">
        <f t="shared" si="41"/>
        <v>-1.66E-2</v>
      </c>
      <c r="R43" s="1573"/>
      <c r="S43" s="1574"/>
      <c r="T43" s="1575"/>
      <c r="U43" s="1575"/>
      <c r="V43" s="1575"/>
      <c r="X43" s="1575"/>
      <c r="Y43" s="1575"/>
      <c r="Z43" s="1575"/>
    </row>
    <row r="44" spans="1:26">
      <c r="A44" s="1559" t="s">
        <v>1072</v>
      </c>
      <c r="B44" s="1576">
        <f t="shared" ref="B44:C46" si="57">B43/(1+N43)</f>
        <v>210.36075887152265</v>
      </c>
      <c r="C44" s="1576">
        <f t="shared" si="57"/>
        <v>187.94361691492554</v>
      </c>
      <c r="D44" s="1576">
        <f t="shared" si="39"/>
        <v>187.94361691492554</v>
      </c>
      <c r="E44" s="1576">
        <f t="shared" ref="E44:F46" si="58">E43/(1+P43)</f>
        <v>281.70386977288234</v>
      </c>
      <c r="F44" s="1576">
        <f t="shared" si="58"/>
        <v>168.80211511083994</v>
      </c>
      <c r="G44" s="3090">
        <v>2008</v>
      </c>
      <c r="H44" s="1586">
        <v>3</v>
      </c>
      <c r="I44" s="1586">
        <v>1.96</v>
      </c>
      <c r="J44" s="1586">
        <v>2.36</v>
      </c>
      <c r="K44" s="1586">
        <v>1.82</v>
      </c>
      <c r="L44" s="1587">
        <v>2.2200000000000002</v>
      </c>
      <c r="N44" s="1571">
        <f t="shared" si="41"/>
        <v>1.9599999999999999E-2</v>
      </c>
      <c r="O44" s="1572">
        <f t="shared" si="41"/>
        <v>2.3599999999999999E-2</v>
      </c>
      <c r="P44" s="1572">
        <f t="shared" si="41"/>
        <v>1.8200000000000001E-2</v>
      </c>
      <c r="Q44" s="1572">
        <f t="shared" si="41"/>
        <v>2.2200000000000001E-2</v>
      </c>
      <c r="R44" s="1573"/>
      <c r="S44" s="1571"/>
      <c r="T44" s="1572"/>
      <c r="U44" s="1572"/>
      <c r="V44" s="1572"/>
    </row>
    <row r="45" spans="1:26">
      <c r="A45" s="1559" t="s">
        <v>1073</v>
      </c>
      <c r="B45" s="1576">
        <f t="shared" si="57"/>
        <v>206.31694671589116</v>
      </c>
      <c r="C45" s="1576">
        <f t="shared" si="57"/>
        <v>183.61041121036101</v>
      </c>
      <c r="D45" s="1576">
        <f t="shared" si="39"/>
        <v>183.61041121036101</v>
      </c>
      <c r="E45" s="1576">
        <f t="shared" si="58"/>
        <v>276.66850301795557</v>
      </c>
      <c r="F45" s="1576">
        <f t="shared" si="58"/>
        <v>165.1360938278614</v>
      </c>
      <c r="G45" s="3090">
        <v>2008</v>
      </c>
      <c r="H45" s="1563">
        <v>2</v>
      </c>
      <c r="I45" s="1563">
        <v>4.93</v>
      </c>
      <c r="J45" s="1563">
        <v>7.38</v>
      </c>
      <c r="K45" s="1563">
        <v>3.98</v>
      </c>
      <c r="L45" s="1578">
        <v>6.86</v>
      </c>
      <c r="N45" s="1571">
        <f t="shared" si="41"/>
        <v>4.9299999999999997E-2</v>
      </c>
      <c r="O45" s="1572">
        <f t="shared" si="41"/>
        <v>7.3800000000000004E-2</v>
      </c>
      <c r="P45" s="1572">
        <f t="shared" si="41"/>
        <v>3.9800000000000002E-2</v>
      </c>
      <c r="Q45" s="1572">
        <f t="shared" si="41"/>
        <v>6.8600000000000008E-2</v>
      </c>
      <c r="R45" s="1573"/>
      <c r="S45" s="1571"/>
      <c r="T45" s="1572"/>
      <c r="U45" s="1572"/>
      <c r="V45" s="1572"/>
    </row>
    <row r="46" spans="1:26" s="1616" customFormat="1" ht="13.5" thickBot="1">
      <c r="A46" s="1559" t="s">
        <v>1074</v>
      </c>
      <c r="B46" s="1613">
        <f t="shared" si="57"/>
        <v>196.62341248059772</v>
      </c>
      <c r="C46" s="1613">
        <f t="shared" si="57"/>
        <v>170.99125648199012</v>
      </c>
      <c r="D46" s="1613">
        <f t="shared" si="39"/>
        <v>170.99125648199012</v>
      </c>
      <c r="E46" s="1613">
        <f t="shared" si="58"/>
        <v>266.07857570490052</v>
      </c>
      <c r="F46" s="1613">
        <f t="shared" si="58"/>
        <v>154.53499328828505</v>
      </c>
      <c r="G46" s="3091">
        <v>2008</v>
      </c>
      <c r="H46" s="1614">
        <v>1</v>
      </c>
      <c r="I46" s="1614">
        <v>4.1399999999999997</v>
      </c>
      <c r="J46" s="1614">
        <v>3.45</v>
      </c>
      <c r="K46" s="1614">
        <v>4.95</v>
      </c>
      <c r="L46" s="1615">
        <v>4.82</v>
      </c>
      <c r="N46" s="1617">
        <f t="shared" si="41"/>
        <v>4.1399999999999999E-2</v>
      </c>
      <c r="O46" s="1618">
        <f t="shared" si="41"/>
        <v>3.4500000000000003E-2</v>
      </c>
      <c r="P46" s="1618">
        <f t="shared" si="41"/>
        <v>4.9500000000000002E-2</v>
      </c>
      <c r="Q46" s="1618">
        <f t="shared" si="41"/>
        <v>4.82E-2</v>
      </c>
      <c r="R46" s="1619"/>
      <c r="S46" s="1617">
        <f>B46/B47-1</f>
        <v>4.5869215322328349E-2</v>
      </c>
      <c r="T46" s="1618">
        <f>C46/C47-1</f>
        <v>3.6310645345394743E-2</v>
      </c>
      <c r="U46" s="1618">
        <f>E46/E47-1</f>
        <v>4.7553447657088688E-2</v>
      </c>
      <c r="V46" s="1618">
        <f>F46/F47-1</f>
        <v>4.4155360055980086E-2</v>
      </c>
      <c r="X46" s="1620"/>
      <c r="Y46" s="1620"/>
      <c r="Z46" s="1620"/>
    </row>
    <row r="47" spans="1:26" ht="13.5" thickBot="1">
      <c r="A47" s="1559" t="s">
        <v>1075</v>
      </c>
      <c r="B47" s="1568">
        <v>188</v>
      </c>
      <c r="C47" s="1568">
        <v>165</v>
      </c>
      <c r="D47" s="1568">
        <f t="shared" si="39"/>
        <v>165</v>
      </c>
      <c r="E47" s="1568">
        <v>254</v>
      </c>
      <c r="F47" s="1569">
        <v>148</v>
      </c>
      <c r="G47" s="3089">
        <v>2007</v>
      </c>
      <c r="H47" s="1621">
        <v>4</v>
      </c>
      <c r="I47" s="1621">
        <v>5.51</v>
      </c>
      <c r="J47" s="1621">
        <v>4.8899999999999997</v>
      </c>
      <c r="K47" s="1621">
        <v>6.43</v>
      </c>
      <c r="L47" s="1622">
        <v>5.36</v>
      </c>
      <c r="N47" s="1623">
        <f t="shared" ref="N47:O50" si="59">B47/B48-1</f>
        <v>4.1339718365245526E-2</v>
      </c>
      <c r="O47" s="1624">
        <f t="shared" si="59"/>
        <v>4.0324492593776018E-2</v>
      </c>
      <c r="P47" s="1624">
        <f t="shared" ref="P47:Q50" si="60">E47/E48-1</f>
        <v>6.1625555347990968E-2</v>
      </c>
      <c r="Q47" s="1624">
        <f t="shared" si="60"/>
        <v>4.6757569250590603E-2</v>
      </c>
      <c r="R47" s="1573"/>
      <c r="S47" s="1574"/>
      <c r="T47" s="1575"/>
      <c r="U47" s="1575"/>
      <c r="V47" s="1575"/>
      <c r="X47" s="1575"/>
      <c r="Y47" s="1575"/>
      <c r="Z47" s="1575"/>
    </row>
    <row r="48" spans="1:26">
      <c r="A48" s="1559" t="s">
        <v>1076</v>
      </c>
      <c r="B48" s="1576">
        <f t="shared" ref="B48:C50" si="61">B49+(B$47-B$51)*I48/SUM(I$47:I$50)</f>
        <v>180.5366651097618</v>
      </c>
      <c r="C48" s="1576">
        <f t="shared" si="61"/>
        <v>158.60435967302453</v>
      </c>
      <c r="D48" s="1576">
        <f t="shared" si="39"/>
        <v>158.60435967302453</v>
      </c>
      <c r="E48" s="1576">
        <f t="shared" ref="E48:F50" si="62">E49+(E$47-E$51)*K48/SUM(K$47:K$50)</f>
        <v>239.25573260785075</v>
      </c>
      <c r="F48" s="1576">
        <f t="shared" si="62"/>
        <v>141.38899430740037</v>
      </c>
      <c r="G48" s="3090">
        <v>2007</v>
      </c>
      <c r="H48" s="1586">
        <v>3</v>
      </c>
      <c r="I48" s="1586">
        <v>8.65</v>
      </c>
      <c r="J48" s="1586">
        <v>8.06</v>
      </c>
      <c r="K48" s="1586">
        <v>9.94</v>
      </c>
      <c r="L48" s="1587">
        <v>5.8</v>
      </c>
      <c r="N48" s="1623">
        <f t="shared" si="59"/>
        <v>6.940217571740015E-2</v>
      </c>
      <c r="O48" s="1624">
        <f t="shared" si="59"/>
        <v>7.1197482471153428E-2</v>
      </c>
      <c r="P48" s="1624">
        <f t="shared" si="60"/>
        <v>0.10529679922579582</v>
      </c>
      <c r="Q48" s="1624">
        <f t="shared" si="60"/>
        <v>5.3292245059512133E-2</v>
      </c>
      <c r="R48" s="1573"/>
      <c r="S48" s="1571"/>
      <c r="T48" s="1572"/>
      <c r="U48" s="1572"/>
      <c r="V48" s="1572"/>
      <c r="X48" s="1625"/>
      <c r="Y48" s="1625"/>
      <c r="Z48" s="1625"/>
    </row>
    <row r="49" spans="1:26">
      <c r="A49" s="1559" t="s">
        <v>1077</v>
      </c>
      <c r="B49" s="1576">
        <f t="shared" si="61"/>
        <v>168.82017748715555</v>
      </c>
      <c r="C49" s="1576">
        <f t="shared" si="61"/>
        <v>148.06267029972753</v>
      </c>
      <c r="D49" s="1576">
        <f t="shared" si="39"/>
        <v>148.06267029972753</v>
      </c>
      <c r="E49" s="1576">
        <f t="shared" si="62"/>
        <v>216.46288379323747</v>
      </c>
      <c r="F49" s="1576">
        <f t="shared" si="62"/>
        <v>134.23529411764704</v>
      </c>
      <c r="G49" s="3090">
        <v>2007</v>
      </c>
      <c r="H49" s="1563">
        <v>2</v>
      </c>
      <c r="I49" s="1563">
        <v>3.67</v>
      </c>
      <c r="J49" s="1563">
        <v>2.3199999999999998</v>
      </c>
      <c r="K49" s="1563">
        <v>5.0199999999999996</v>
      </c>
      <c r="L49" s="1578">
        <v>6.71</v>
      </c>
      <c r="N49" s="1623">
        <f t="shared" si="59"/>
        <v>3.0339138143848032E-2</v>
      </c>
      <c r="O49" s="1624">
        <f t="shared" si="59"/>
        <v>2.0922341588790472E-2</v>
      </c>
      <c r="P49" s="1624">
        <f t="shared" si="60"/>
        <v>5.6164796592717003E-2</v>
      </c>
      <c r="Q49" s="1624">
        <f t="shared" si="60"/>
        <v>6.5704536723887319E-2</v>
      </c>
      <c r="R49" s="1573"/>
      <c r="S49" s="1571"/>
      <c r="T49" s="1572"/>
      <c r="U49" s="1572"/>
      <c r="V49" s="1572"/>
      <c r="X49" s="1625"/>
      <c r="Y49" s="1625"/>
      <c r="Z49" s="1625"/>
    </row>
    <row r="50" spans="1:26">
      <c r="A50" s="1559" t="s">
        <v>1078</v>
      </c>
      <c r="B50" s="1576">
        <f t="shared" si="61"/>
        <v>163.84913591779542</v>
      </c>
      <c r="C50" s="1576">
        <f t="shared" si="61"/>
        <v>145.0283378746594</v>
      </c>
      <c r="D50" s="1576">
        <f t="shared" si="39"/>
        <v>145.0283378746594</v>
      </c>
      <c r="E50" s="1576">
        <f t="shared" si="62"/>
        <v>204.95180722891567</v>
      </c>
      <c r="F50" s="1576">
        <f t="shared" si="62"/>
        <v>125.95920303605313</v>
      </c>
      <c r="G50" s="3091">
        <v>2007</v>
      </c>
      <c r="H50" s="1562">
        <v>1</v>
      </c>
      <c r="I50" s="1562">
        <v>3.58</v>
      </c>
      <c r="J50" s="1562">
        <v>3.08</v>
      </c>
      <c r="K50" s="1562">
        <v>4.34</v>
      </c>
      <c r="L50" s="1577">
        <v>3.21</v>
      </c>
      <c r="N50" s="1626">
        <f t="shared" si="59"/>
        <v>3.0497710174814063E-2</v>
      </c>
      <c r="O50" s="1627">
        <f t="shared" si="59"/>
        <v>2.8569772160704998E-2</v>
      </c>
      <c r="P50" s="1627">
        <f t="shared" si="60"/>
        <v>5.1034908866234296E-2</v>
      </c>
      <c r="Q50" s="1627">
        <f t="shared" si="60"/>
        <v>3.245248390207478E-2</v>
      </c>
      <c r="R50" s="1573"/>
      <c r="S50" s="1579">
        <f>B50/B51-1</f>
        <v>3.0497710174814063E-2</v>
      </c>
      <c r="T50" s="1580">
        <f>C50/C51-1</f>
        <v>2.8569772160704998E-2</v>
      </c>
      <c r="U50" s="1580">
        <f>E50/E51-1</f>
        <v>5.1034908866234296E-2</v>
      </c>
      <c r="V50" s="1580">
        <f>F50/F51-1</f>
        <v>3.245248390207478E-2</v>
      </c>
      <c r="X50" s="1625"/>
      <c r="Y50" s="1625"/>
      <c r="Z50" s="1625"/>
    </row>
    <row r="51" spans="1:26" ht="13.5" thickBot="1">
      <c r="A51" s="1559" t="s">
        <v>1079</v>
      </c>
      <c r="B51" s="1589">
        <v>159</v>
      </c>
      <c r="C51" s="1589">
        <v>141</v>
      </c>
      <c r="D51" s="1589">
        <f t="shared" si="39"/>
        <v>141</v>
      </c>
      <c r="E51" s="1589">
        <v>195</v>
      </c>
      <c r="F51" s="1590">
        <v>122</v>
      </c>
      <c r="G51" s="3089">
        <v>2006</v>
      </c>
      <c r="H51" s="1581">
        <v>4</v>
      </c>
      <c r="I51" s="1581">
        <v>3.79</v>
      </c>
      <c r="J51" s="1581">
        <v>2.21</v>
      </c>
      <c r="K51" s="1581">
        <v>5.65</v>
      </c>
      <c r="L51" s="1582">
        <v>5.41</v>
      </c>
      <c r="N51" s="1623">
        <f t="shared" ref="N51:O54" si="63">I51/SUM(I$51:I$54)*(B$51/B$55-1)</f>
        <v>7.245466462748526E-2</v>
      </c>
      <c r="O51" s="1624">
        <f t="shared" si="63"/>
        <v>2.3237230038062766E-2</v>
      </c>
      <c r="P51" s="1624">
        <f t="shared" ref="P51:Q54" si="64">K51/SUM(K$51:K$54)*(E$51/E$55-1)</f>
        <v>0.16146893866323722</v>
      </c>
      <c r="Q51" s="1624">
        <f t="shared" si="64"/>
        <v>5.0755230321793784E-2</v>
      </c>
      <c r="R51" s="1573"/>
      <c r="S51" s="1574"/>
      <c r="T51" s="1575"/>
      <c r="U51" s="1575"/>
      <c r="V51" s="1575"/>
      <c r="X51" s="1625"/>
      <c r="Y51" s="1625"/>
      <c r="Z51" s="1625"/>
    </row>
    <row r="52" spans="1:26">
      <c r="A52" s="1559" t="s">
        <v>1080</v>
      </c>
      <c r="B52" s="1576">
        <f t="shared" ref="B52:C54" si="65">B53+(B$51-B$55)*I52/SUM(I$51:I$54)</f>
        <v>149.00125628140702</v>
      </c>
      <c r="C52" s="1576">
        <f t="shared" si="65"/>
        <v>137.95592286501378</v>
      </c>
      <c r="D52" s="1576">
        <f t="shared" si="39"/>
        <v>137.95592286501378</v>
      </c>
      <c r="E52" s="1576">
        <f t="shared" ref="E52:F54" si="66">E53+(E$51-E$55)*K52/SUM(K$51:K$54)</f>
        <v>169.97231450719823</v>
      </c>
      <c r="F52" s="1576">
        <f t="shared" si="66"/>
        <v>116.21390374331551</v>
      </c>
      <c r="G52" s="3090">
        <v>2006</v>
      </c>
      <c r="H52" s="1586">
        <v>3</v>
      </c>
      <c r="I52" s="1586">
        <v>0.92</v>
      </c>
      <c r="J52" s="1586">
        <v>1.08</v>
      </c>
      <c r="K52" s="1586">
        <v>0.73</v>
      </c>
      <c r="L52" s="1587">
        <v>1.08</v>
      </c>
      <c r="N52" s="1623">
        <f t="shared" si="63"/>
        <v>1.7587939698492462E-2</v>
      </c>
      <c r="O52" s="1624">
        <f t="shared" si="63"/>
        <v>1.1355750425840628E-2</v>
      </c>
      <c r="P52" s="1624">
        <f t="shared" si="64"/>
        <v>2.0862358446754544E-2</v>
      </c>
      <c r="Q52" s="1624">
        <f t="shared" si="64"/>
        <v>1.0132282578103011E-2</v>
      </c>
      <c r="R52" s="1573"/>
      <c r="S52" s="1571"/>
      <c r="T52" s="1572"/>
      <c r="U52" s="1572"/>
      <c r="V52" s="1572"/>
      <c r="X52" s="1625"/>
      <c r="Y52" s="1625"/>
      <c r="Z52" s="1625"/>
    </row>
    <row r="53" spans="1:26">
      <c r="A53" s="1559" t="s">
        <v>1081</v>
      </c>
      <c r="B53" s="1576">
        <f t="shared" si="65"/>
        <v>146.57412060301507</v>
      </c>
      <c r="C53" s="1576">
        <f t="shared" si="65"/>
        <v>136.46831955922866</v>
      </c>
      <c r="D53" s="1576">
        <f t="shared" si="39"/>
        <v>136.46831955922866</v>
      </c>
      <c r="E53" s="1576">
        <f t="shared" si="66"/>
        <v>166.73864894795128</v>
      </c>
      <c r="F53" s="1576">
        <f t="shared" si="66"/>
        <v>115.05882352941177</v>
      </c>
      <c r="G53" s="3090">
        <v>2006</v>
      </c>
      <c r="H53" s="1563">
        <v>2</v>
      </c>
      <c r="I53" s="1563">
        <v>0.96</v>
      </c>
      <c r="J53" s="1563">
        <v>0.25</v>
      </c>
      <c r="K53" s="1563">
        <v>1.9</v>
      </c>
      <c r="L53" s="1578">
        <v>0.95</v>
      </c>
      <c r="N53" s="1623">
        <f t="shared" si="63"/>
        <v>1.8352632728861701E-2</v>
      </c>
      <c r="O53" s="1624">
        <f t="shared" si="63"/>
        <v>2.6286459319075526E-3</v>
      </c>
      <c r="P53" s="1624">
        <f t="shared" si="64"/>
        <v>5.4299289107991269E-2</v>
      </c>
      <c r="Q53" s="1624">
        <f t="shared" si="64"/>
        <v>8.9126559714794995E-3</v>
      </c>
      <c r="R53" s="1573"/>
      <c r="S53" s="1571"/>
      <c r="T53" s="1572"/>
      <c r="U53" s="1572"/>
      <c r="V53" s="1572"/>
      <c r="X53" s="1625"/>
      <c r="Y53" s="1625"/>
      <c r="Z53" s="1625"/>
    </row>
    <row r="54" spans="1:26">
      <c r="A54" s="1559" t="s">
        <v>1082</v>
      </c>
      <c r="B54" s="1576">
        <f t="shared" si="65"/>
        <v>144.04145728643215</v>
      </c>
      <c r="C54" s="1576">
        <f t="shared" si="65"/>
        <v>136.12396694214877</v>
      </c>
      <c r="D54" s="1576">
        <f t="shared" si="39"/>
        <v>136.12396694214877</v>
      </c>
      <c r="E54" s="1576">
        <f t="shared" si="66"/>
        <v>158.32225913621264</v>
      </c>
      <c r="F54" s="1576">
        <f t="shared" si="66"/>
        <v>114.04278074866311</v>
      </c>
      <c r="G54" s="3091">
        <v>2006</v>
      </c>
      <c r="H54" s="1562">
        <v>1</v>
      </c>
      <c r="I54" s="1562">
        <v>2.29</v>
      </c>
      <c r="J54" s="1562">
        <v>3.72</v>
      </c>
      <c r="K54" s="1562">
        <v>0.75</v>
      </c>
      <c r="L54" s="1577">
        <v>0.04</v>
      </c>
      <c r="N54" s="1626">
        <f t="shared" si="63"/>
        <v>4.3778675988638847E-2</v>
      </c>
      <c r="O54" s="1627">
        <f t="shared" si="63"/>
        <v>3.9114251466784385E-2</v>
      </c>
      <c r="P54" s="1627">
        <f t="shared" si="64"/>
        <v>2.1433929911049188E-2</v>
      </c>
      <c r="Q54" s="1627">
        <f t="shared" si="64"/>
        <v>3.7526972511492629E-4</v>
      </c>
      <c r="R54" s="1573"/>
      <c r="S54" s="1579">
        <f>B54/B55-1</f>
        <v>4.3778675988638716E-2</v>
      </c>
      <c r="T54" s="1580">
        <f>C54/C55-1</f>
        <v>3.91142514667846E-2</v>
      </c>
      <c r="U54" s="1580">
        <f>E54/E55-1</f>
        <v>2.143392991104931E-2</v>
      </c>
      <c r="V54" s="1580">
        <f>F54/F55-1</f>
        <v>3.7526972511492396E-4</v>
      </c>
      <c r="X54" s="1625"/>
      <c r="Y54" s="1625"/>
      <c r="Z54" s="1625"/>
    </row>
    <row r="55" spans="1:26" ht="13.5" thickBot="1">
      <c r="A55" s="1559" t="s">
        <v>1083</v>
      </c>
      <c r="B55" s="1589">
        <v>138</v>
      </c>
      <c r="C55" s="1589">
        <v>131</v>
      </c>
      <c r="D55" s="1589">
        <f t="shared" si="39"/>
        <v>131</v>
      </c>
      <c r="E55" s="1589">
        <v>155</v>
      </c>
      <c r="F55" s="1590">
        <v>114</v>
      </c>
      <c r="G55" s="3089">
        <v>2005</v>
      </c>
      <c r="H55" s="1581">
        <v>4</v>
      </c>
      <c r="I55" s="1581">
        <v>3.29</v>
      </c>
      <c r="J55" s="1581">
        <v>1.44</v>
      </c>
      <c r="K55" s="1581">
        <v>0.66</v>
      </c>
      <c r="L55" s="1582">
        <v>7.78</v>
      </c>
      <c r="N55" s="1623">
        <f t="shared" ref="N55:O58" si="67">I55/SUM(I$55:I$58)*(B$55/B$59-1)</f>
        <v>9.9404603216919935E-2</v>
      </c>
      <c r="O55" s="1624">
        <f t="shared" si="67"/>
        <v>4.7636550760861554E-2</v>
      </c>
      <c r="P55" s="1624">
        <f t="shared" ref="P55:Q58" si="68">K55/SUM(K$55:K$58)*(E$55/E$59-1)</f>
        <v>8.3756345177664976E-2</v>
      </c>
      <c r="Q55" s="1624">
        <f t="shared" si="68"/>
        <v>5.2148766661559584E-2</v>
      </c>
      <c r="R55" s="1573"/>
      <c r="S55" s="1574"/>
      <c r="T55" s="1575"/>
      <c r="U55" s="1575"/>
      <c r="V55" s="1575"/>
      <c r="X55" s="1625"/>
      <c r="Y55" s="1625"/>
      <c r="Z55" s="1625"/>
    </row>
    <row r="56" spans="1:26">
      <c r="A56" s="1559" t="s">
        <v>1084</v>
      </c>
      <c r="B56" s="1576">
        <f t="shared" ref="B56:C58" si="69">B57+(B$55-B$59)*I56/SUM(I$55:I$58)</f>
        <v>125.9720430107527</v>
      </c>
      <c r="C56" s="1576">
        <f t="shared" si="69"/>
        <v>125.1883408071749</v>
      </c>
      <c r="D56" s="1576">
        <f t="shared" si="39"/>
        <v>125.1883408071749</v>
      </c>
      <c r="E56" s="1576">
        <f t="shared" ref="E56:F58" si="70">E57+(E$55-E$59)*K56/SUM(K$55:K$58)</f>
        <v>144.61421319796952</v>
      </c>
      <c r="F56" s="1576">
        <f t="shared" si="70"/>
        <v>108.42008196721311</v>
      </c>
      <c r="G56" s="3090">
        <v>2005</v>
      </c>
      <c r="H56" s="1586">
        <v>3</v>
      </c>
      <c r="I56" s="1586">
        <v>0.46</v>
      </c>
      <c r="J56" s="1586">
        <v>0.32</v>
      </c>
      <c r="K56" s="1586">
        <v>0.42</v>
      </c>
      <c r="L56" s="1587">
        <v>0.64</v>
      </c>
      <c r="N56" s="1623">
        <f t="shared" si="67"/>
        <v>1.3898515951301874E-2</v>
      </c>
      <c r="O56" s="1624">
        <f t="shared" si="67"/>
        <v>1.0585900169080346E-2</v>
      </c>
      <c r="P56" s="1624">
        <f t="shared" si="68"/>
        <v>5.3299492385786795E-2</v>
      </c>
      <c r="Q56" s="1624">
        <f t="shared" si="68"/>
        <v>4.2898728359123568E-3</v>
      </c>
      <c r="R56" s="1573"/>
      <c r="S56" s="1571"/>
      <c r="T56" s="1572"/>
      <c r="U56" s="1572"/>
      <c r="V56" s="1572"/>
      <c r="X56" s="1625"/>
      <c r="Y56" s="1625"/>
      <c r="Z56" s="1625"/>
    </row>
    <row r="57" spans="1:26">
      <c r="A57" s="1559" t="s">
        <v>1085</v>
      </c>
      <c r="B57" s="1576">
        <f t="shared" si="69"/>
        <v>124.29032258064517</v>
      </c>
      <c r="C57" s="1576">
        <f t="shared" si="69"/>
        <v>123.8968609865471</v>
      </c>
      <c r="D57" s="1576">
        <f t="shared" si="39"/>
        <v>123.8968609865471</v>
      </c>
      <c r="E57" s="1576">
        <f t="shared" si="70"/>
        <v>138.00507614213197</v>
      </c>
      <c r="F57" s="1576">
        <f t="shared" si="70"/>
        <v>107.96106557377048</v>
      </c>
      <c r="G57" s="3090">
        <v>2005</v>
      </c>
      <c r="H57" s="1563">
        <v>2</v>
      </c>
      <c r="I57" s="1563">
        <v>0.47</v>
      </c>
      <c r="J57" s="1563">
        <v>0.1</v>
      </c>
      <c r="K57" s="1563">
        <v>0.52</v>
      </c>
      <c r="L57" s="1578">
        <v>0.79</v>
      </c>
      <c r="N57" s="1623">
        <f t="shared" si="67"/>
        <v>1.420065760241713E-2</v>
      </c>
      <c r="O57" s="1624">
        <f t="shared" si="67"/>
        <v>3.3080938028376083E-3</v>
      </c>
      <c r="P57" s="1624">
        <f t="shared" si="68"/>
        <v>6.598984771573603E-2</v>
      </c>
      <c r="Q57" s="1624">
        <f t="shared" si="68"/>
        <v>5.2953117818293153E-3</v>
      </c>
      <c r="R57" s="1573"/>
      <c r="S57" s="1571"/>
      <c r="T57" s="1572"/>
      <c r="U57" s="1572"/>
      <c r="V57" s="1572"/>
      <c r="X57" s="1625"/>
      <c r="Y57" s="1625"/>
      <c r="Z57" s="1625"/>
    </row>
    <row r="58" spans="1:26">
      <c r="A58" s="1559" t="s">
        <v>1086</v>
      </c>
      <c r="B58" s="1576">
        <f t="shared" si="69"/>
        <v>122.57204301075269</v>
      </c>
      <c r="C58" s="1576">
        <f t="shared" si="69"/>
        <v>123.4932735426009</v>
      </c>
      <c r="D58" s="1576">
        <f t="shared" si="39"/>
        <v>123.4932735426009</v>
      </c>
      <c r="E58" s="1576">
        <f t="shared" si="70"/>
        <v>129.82233502538071</v>
      </c>
      <c r="F58" s="1576">
        <f t="shared" si="70"/>
        <v>107.39446721311475</v>
      </c>
      <c r="G58" s="3091">
        <v>2005</v>
      </c>
      <c r="H58" s="1562">
        <v>1</v>
      </c>
      <c r="I58" s="1562">
        <v>0.43</v>
      </c>
      <c r="J58" s="1562">
        <v>0.37</v>
      </c>
      <c r="K58" s="1562">
        <v>0.37</v>
      </c>
      <c r="L58" s="1577">
        <v>0.55000000000000004</v>
      </c>
      <c r="N58" s="1626">
        <f t="shared" si="67"/>
        <v>1.2992090997956099E-2</v>
      </c>
      <c r="O58" s="1627">
        <f t="shared" si="67"/>
        <v>1.2239947070499151E-2</v>
      </c>
      <c r="P58" s="1627">
        <f t="shared" si="68"/>
        <v>4.6954314720812178E-2</v>
      </c>
      <c r="Q58" s="1627">
        <f t="shared" si="68"/>
        <v>3.6866094683621815E-3</v>
      </c>
      <c r="R58" s="1573"/>
      <c r="S58" s="1579">
        <f>B58/B59-1</f>
        <v>1.2992090997956174E-2</v>
      </c>
      <c r="T58" s="1580">
        <f>C58/C59-1</f>
        <v>1.2239947070499246E-2</v>
      </c>
      <c r="U58" s="1580">
        <f>E58/E59-1</f>
        <v>4.695431472081224E-2</v>
      </c>
      <c r="V58" s="1580">
        <f>F58/F59-1</f>
        <v>3.6866094683620787E-3</v>
      </c>
      <c r="X58" s="1625"/>
      <c r="Y58" s="1625"/>
      <c r="Z58" s="1625"/>
    </row>
    <row r="59" spans="1:26" ht="13.5" thickBot="1">
      <c r="A59" s="1559" t="s">
        <v>1087</v>
      </c>
      <c r="B59" s="1610">
        <v>121</v>
      </c>
      <c r="C59" s="1610">
        <v>122</v>
      </c>
      <c r="D59" s="1610">
        <f t="shared" si="39"/>
        <v>122</v>
      </c>
      <c r="E59" s="1610">
        <v>124</v>
      </c>
      <c r="F59" s="1611">
        <v>107</v>
      </c>
      <c r="G59" s="3089">
        <v>2004</v>
      </c>
      <c r="H59" s="1581">
        <v>4</v>
      </c>
      <c r="I59" s="1581">
        <v>0.33</v>
      </c>
      <c r="J59" s="1581">
        <v>0.5</v>
      </c>
      <c r="K59" s="1581">
        <v>0.5</v>
      </c>
      <c r="L59" s="1582">
        <v>0</v>
      </c>
      <c r="N59" s="1623">
        <f t="shared" ref="N59:O62" si="71">I59/SUM(I$59:I$62)*(B$59/B$63-1)</f>
        <v>1.3391770148526898E-2</v>
      </c>
      <c r="O59" s="1624">
        <f t="shared" si="71"/>
        <v>1.063264221158958E-2</v>
      </c>
      <c r="P59" s="1624">
        <f t="shared" ref="P59:Q62" si="72">K59/SUM(K$59:K$62)*(E$59/E$63-1)</f>
        <v>2.2244466688911134E-2</v>
      </c>
      <c r="Q59" s="1624">
        <f t="shared" si="72"/>
        <v>0</v>
      </c>
      <c r="R59" s="1573"/>
      <c r="S59" s="1574"/>
      <c r="T59" s="1575"/>
      <c r="U59" s="1575"/>
      <c r="V59" s="1575"/>
      <c r="X59" s="1625"/>
      <c r="Y59" s="1625"/>
      <c r="Z59" s="1625"/>
    </row>
    <row r="60" spans="1:26">
      <c r="A60" s="1559" t="s">
        <v>1088</v>
      </c>
      <c r="B60" s="1576">
        <f t="shared" ref="B60:C62" si="73">B61+(B$59-B$63)*I60/SUM(I$59:I$62)</f>
        <v>119.51351351351352</v>
      </c>
      <c r="C60" s="1576">
        <f t="shared" si="73"/>
        <v>120.7878787878788</v>
      </c>
      <c r="D60" s="1576">
        <f t="shared" si="39"/>
        <v>120.7878787878788</v>
      </c>
      <c r="E60" s="1576">
        <f t="shared" ref="E60:F62" si="74">E61+(E$59-E$63)*K60/SUM(K$59:K$62)</f>
        <v>121.5975975975976</v>
      </c>
      <c r="F60" s="1576">
        <f t="shared" si="74"/>
        <v>107</v>
      </c>
      <c r="G60" s="3090">
        <v>2004</v>
      </c>
      <c r="H60" s="1586">
        <v>3</v>
      </c>
      <c r="I60" s="1586">
        <v>0.56000000000000005</v>
      </c>
      <c r="J60" s="1586">
        <v>0.8</v>
      </c>
      <c r="K60" s="1586">
        <v>0.83</v>
      </c>
      <c r="L60" s="1587">
        <v>0.06</v>
      </c>
      <c r="N60" s="1623">
        <f t="shared" si="71"/>
        <v>2.2725428130833527E-2</v>
      </c>
      <c r="O60" s="1624">
        <f t="shared" si="71"/>
        <v>1.7012227538543329E-2</v>
      </c>
      <c r="P60" s="1624">
        <f t="shared" si="72"/>
        <v>3.6925814703592477E-2</v>
      </c>
      <c r="Q60" s="1624">
        <f t="shared" si="72"/>
        <v>2.8846153846153744E-2</v>
      </c>
      <c r="R60" s="1573"/>
      <c r="S60" s="1571"/>
      <c r="T60" s="1572"/>
      <c r="U60" s="1572"/>
      <c r="V60" s="1572"/>
      <c r="X60" s="1625"/>
      <c r="Y60" s="1625"/>
      <c r="Z60" s="1625"/>
    </row>
    <row r="61" spans="1:26">
      <c r="A61" s="1559" t="s">
        <v>1089</v>
      </c>
      <c r="B61" s="1576">
        <f t="shared" si="73"/>
        <v>116.99099099099099</v>
      </c>
      <c r="C61" s="1576">
        <f t="shared" si="73"/>
        <v>118.84848484848486</v>
      </c>
      <c r="D61" s="1576">
        <f t="shared" si="39"/>
        <v>118.84848484848486</v>
      </c>
      <c r="E61" s="1576">
        <f t="shared" si="74"/>
        <v>117.60960960960961</v>
      </c>
      <c r="F61" s="1576">
        <f t="shared" si="74"/>
        <v>104</v>
      </c>
      <c r="G61" s="3090">
        <v>2004</v>
      </c>
      <c r="H61" s="1563">
        <v>2</v>
      </c>
      <c r="I61" s="1563">
        <v>1</v>
      </c>
      <c r="J61" s="1563">
        <v>1.5</v>
      </c>
      <c r="K61" s="1563">
        <v>1.5</v>
      </c>
      <c r="L61" s="1578">
        <v>0</v>
      </c>
      <c r="N61" s="1623">
        <f t="shared" si="71"/>
        <v>4.0581121662202721E-2</v>
      </c>
      <c r="O61" s="1624">
        <f t="shared" si="71"/>
        <v>3.1897926634768738E-2</v>
      </c>
      <c r="P61" s="1624">
        <f t="shared" si="72"/>
        <v>6.6733400066733395E-2</v>
      </c>
      <c r="Q61" s="1624">
        <f t="shared" si="72"/>
        <v>0</v>
      </c>
      <c r="R61" s="1573"/>
      <c r="S61" s="1571"/>
      <c r="T61" s="1572"/>
      <c r="U61" s="1572"/>
      <c r="V61" s="1572"/>
      <c r="X61" s="1625"/>
      <c r="Y61" s="1625"/>
      <c r="Z61" s="1625"/>
    </row>
    <row r="62" spans="1:26" s="1616" customFormat="1" ht="13.5" thickBot="1">
      <c r="A62" s="1559" t="s">
        <v>1090</v>
      </c>
      <c r="B62" s="1613">
        <f t="shared" si="73"/>
        <v>112.48648648648648</v>
      </c>
      <c r="C62" s="1613">
        <f t="shared" si="73"/>
        <v>115.21212121212122</v>
      </c>
      <c r="D62" s="1613">
        <f t="shared" si="39"/>
        <v>115.21212121212122</v>
      </c>
      <c r="E62" s="1613">
        <f t="shared" si="74"/>
        <v>110.4024024024024</v>
      </c>
      <c r="F62" s="1613">
        <f t="shared" si="74"/>
        <v>104</v>
      </c>
      <c r="G62" s="3091">
        <v>2004</v>
      </c>
      <c r="H62" s="1614">
        <v>1</v>
      </c>
      <c r="I62" s="1614">
        <v>0.33</v>
      </c>
      <c r="J62" s="1614">
        <v>0.5</v>
      </c>
      <c r="K62" s="1614">
        <v>0.5</v>
      </c>
      <c r="L62" s="1615">
        <v>0</v>
      </c>
      <c r="N62" s="1628">
        <f t="shared" si="71"/>
        <v>1.3391770148526898E-2</v>
      </c>
      <c r="O62" s="1629">
        <f t="shared" si="71"/>
        <v>1.063264221158958E-2</v>
      </c>
      <c r="P62" s="1629">
        <f t="shared" si="72"/>
        <v>2.2244466688911134E-2</v>
      </c>
      <c r="Q62" s="1629">
        <f t="shared" si="72"/>
        <v>0</v>
      </c>
      <c r="R62" s="1619"/>
      <c r="S62" s="1617">
        <f>B62/B63-1</f>
        <v>1.3391770148526883E-2</v>
      </c>
      <c r="T62" s="1618">
        <f>C62/C63-1</f>
        <v>1.063264221158966E-2</v>
      </c>
      <c r="U62" s="1618">
        <f>E62/E63-1</f>
        <v>2.2244466688911224E-2</v>
      </c>
      <c r="V62" s="1618">
        <f>F62/F63-1</f>
        <v>0</v>
      </c>
      <c r="X62" s="1630"/>
      <c r="Y62" s="1630"/>
      <c r="Z62" s="1630"/>
    </row>
    <row r="63" spans="1:26" ht="13.5" thickBot="1">
      <c r="A63" s="1559" t="s">
        <v>1091</v>
      </c>
      <c r="B63" s="1631">
        <v>111</v>
      </c>
      <c r="C63" s="1631">
        <v>114</v>
      </c>
      <c r="D63" s="1631">
        <f t="shared" si="39"/>
        <v>114</v>
      </c>
      <c r="E63" s="1631">
        <v>108</v>
      </c>
      <c r="F63" s="1632">
        <v>104</v>
      </c>
      <c r="G63" s="3089">
        <v>2003</v>
      </c>
      <c r="H63" s="1621">
        <v>4</v>
      </c>
      <c r="I63" s="1633"/>
      <c r="J63" s="1633"/>
      <c r="K63" s="1633"/>
      <c r="L63" s="1633"/>
      <c r="N63" s="1634"/>
      <c r="O63" s="1633"/>
      <c r="P63" s="1633"/>
      <c r="Q63" s="1633"/>
      <c r="S63" s="1634"/>
      <c r="T63" s="1633"/>
      <c r="U63" s="1633"/>
      <c r="V63" s="1633"/>
      <c r="X63" s="1625"/>
      <c r="Y63" s="1625"/>
      <c r="Z63" s="1625"/>
    </row>
    <row r="64" spans="1:26">
      <c r="A64" s="1559" t="s">
        <v>1092</v>
      </c>
      <c r="B64" s="1635">
        <f t="shared" ref="B64:C66" si="75">B65+(B$63-B$67)/4</f>
        <v>109.75</v>
      </c>
      <c r="C64" s="1635">
        <f t="shared" si="75"/>
        <v>112.25</v>
      </c>
      <c r="D64" s="1635">
        <f t="shared" si="39"/>
        <v>112.25</v>
      </c>
      <c r="E64" s="1635">
        <f t="shared" ref="E64:F66" si="76">E65+(E$63-E$67)/4</f>
        <v>107.25</v>
      </c>
      <c r="F64" s="1635">
        <f t="shared" si="76"/>
        <v>103.5</v>
      </c>
      <c r="G64" s="3090">
        <v>2003</v>
      </c>
      <c r="H64" s="1586">
        <v>3</v>
      </c>
      <c r="I64" s="1633"/>
      <c r="J64" s="1633"/>
      <c r="K64" s="1633"/>
      <c r="L64" s="1633"/>
      <c r="X64" s="1625"/>
      <c r="Y64" s="1625"/>
      <c r="Z64" s="1625"/>
    </row>
    <row r="65" spans="1:26">
      <c r="A65" s="1559" t="s">
        <v>1093</v>
      </c>
      <c r="B65" s="1635">
        <f t="shared" si="75"/>
        <v>108.5</v>
      </c>
      <c r="C65" s="1635">
        <f t="shared" si="75"/>
        <v>110.5</v>
      </c>
      <c r="D65" s="1635">
        <f t="shared" si="39"/>
        <v>110.5</v>
      </c>
      <c r="E65" s="1635">
        <f t="shared" si="76"/>
        <v>106.5</v>
      </c>
      <c r="F65" s="1635">
        <f t="shared" si="76"/>
        <v>103</v>
      </c>
      <c r="G65" s="3090">
        <v>2003</v>
      </c>
      <c r="H65" s="1563">
        <v>2</v>
      </c>
      <c r="I65" s="1633"/>
      <c r="J65" s="1633"/>
      <c r="K65" s="1633"/>
      <c r="L65" s="1633"/>
      <c r="X65" s="1625"/>
      <c r="Y65" s="1625"/>
      <c r="Z65" s="1625"/>
    </row>
    <row r="66" spans="1:26" ht="13.5" thickBot="1">
      <c r="A66" s="1559" t="s">
        <v>1094</v>
      </c>
      <c r="B66" s="1635">
        <f t="shared" si="75"/>
        <v>107.25</v>
      </c>
      <c r="C66" s="1635">
        <f t="shared" si="75"/>
        <v>108.75</v>
      </c>
      <c r="D66" s="1635">
        <f t="shared" si="39"/>
        <v>108.75</v>
      </c>
      <c r="E66" s="1635">
        <f t="shared" si="76"/>
        <v>105.75</v>
      </c>
      <c r="F66" s="1635">
        <f t="shared" si="76"/>
        <v>102.5</v>
      </c>
      <c r="G66" s="3091">
        <v>2003</v>
      </c>
      <c r="H66" s="1636">
        <v>1</v>
      </c>
      <c r="I66" s="1633"/>
      <c r="J66" s="1633"/>
      <c r="K66" s="1633"/>
      <c r="L66" s="1633"/>
      <c r="S66" s="1571"/>
      <c r="T66" s="1572"/>
      <c r="U66" s="1572"/>
      <c r="X66" s="1625"/>
      <c r="Y66" s="1625"/>
      <c r="Z66" s="1625"/>
    </row>
    <row r="67" spans="1:26" ht="13.5" thickBot="1">
      <c r="A67" s="1559" t="s">
        <v>1095</v>
      </c>
      <c r="B67" s="1637">
        <v>106</v>
      </c>
      <c r="C67" s="1637">
        <v>107</v>
      </c>
      <c r="D67" s="1637">
        <f t="shared" si="39"/>
        <v>107</v>
      </c>
      <c r="E67" s="1637">
        <v>105</v>
      </c>
      <c r="F67" s="1638">
        <v>102</v>
      </c>
      <c r="G67" s="3089">
        <v>2002</v>
      </c>
      <c r="H67" s="1581">
        <v>4</v>
      </c>
      <c r="I67" s="1633"/>
      <c r="J67" s="1633"/>
      <c r="K67" s="1633"/>
      <c r="L67" s="1633"/>
      <c r="N67" s="1634"/>
      <c r="O67" s="1633"/>
      <c r="P67" s="1633"/>
      <c r="Q67" s="1633"/>
      <c r="S67" s="1634"/>
      <c r="T67" s="1633"/>
      <c r="U67" s="1633"/>
      <c r="V67" s="1633"/>
      <c r="X67" s="1625"/>
      <c r="Y67" s="1625"/>
      <c r="Z67" s="1625"/>
    </row>
    <row r="68" spans="1:26">
      <c r="A68" s="1559" t="s">
        <v>1096</v>
      </c>
      <c r="B68" s="1635">
        <f t="shared" ref="B68:C70" si="77">B69+(B$67-B$71)/4</f>
        <v>105</v>
      </c>
      <c r="C68" s="1635">
        <f t="shared" si="77"/>
        <v>106</v>
      </c>
      <c r="D68" s="1635">
        <f t="shared" si="39"/>
        <v>106</v>
      </c>
      <c r="E68" s="1635">
        <f t="shared" ref="E68:F70" si="78">E69+(E$67-E$71)/4</f>
        <v>104.5</v>
      </c>
      <c r="F68" s="1635">
        <f t="shared" si="78"/>
        <v>101.5</v>
      </c>
      <c r="G68" s="3090">
        <v>2002</v>
      </c>
      <c r="H68" s="1586">
        <v>3</v>
      </c>
      <c r="I68" s="1633"/>
      <c r="J68" s="1633"/>
      <c r="K68" s="1633"/>
      <c r="L68" s="1633"/>
      <c r="X68" s="1625"/>
      <c r="Y68" s="1625"/>
      <c r="Z68" s="1625"/>
    </row>
    <row r="69" spans="1:26">
      <c r="A69" s="1559" t="s">
        <v>1097</v>
      </c>
      <c r="B69" s="1635">
        <f t="shared" si="77"/>
        <v>104</v>
      </c>
      <c r="C69" s="1635">
        <f t="shared" si="77"/>
        <v>105</v>
      </c>
      <c r="D69" s="1635">
        <f t="shared" si="39"/>
        <v>105</v>
      </c>
      <c r="E69" s="1635">
        <f t="shared" si="78"/>
        <v>104</v>
      </c>
      <c r="F69" s="1635">
        <f t="shared" si="78"/>
        <v>101</v>
      </c>
      <c r="G69" s="3090">
        <v>2002</v>
      </c>
      <c r="H69" s="1563">
        <v>2</v>
      </c>
      <c r="I69" s="1633"/>
      <c r="J69" s="1633"/>
      <c r="K69" s="1633"/>
      <c r="L69" s="1633"/>
      <c r="X69" s="1625"/>
      <c r="Y69" s="1625"/>
      <c r="Z69" s="1625"/>
    </row>
    <row r="70" spans="1:26" s="1597" customFormat="1" ht="13.5" thickBot="1">
      <c r="A70" s="1593" t="s">
        <v>1098</v>
      </c>
      <c r="B70" s="1639">
        <f t="shared" si="77"/>
        <v>103</v>
      </c>
      <c r="C70" s="1639">
        <f t="shared" si="77"/>
        <v>104</v>
      </c>
      <c r="D70" s="1639">
        <f t="shared" si="39"/>
        <v>104</v>
      </c>
      <c r="E70" s="1639">
        <f t="shared" si="78"/>
        <v>103.5</v>
      </c>
      <c r="F70" s="1639">
        <f t="shared" si="78"/>
        <v>100.5</v>
      </c>
      <c r="G70" s="3091">
        <v>2002</v>
      </c>
      <c r="H70" s="1640">
        <v>1</v>
      </c>
      <c r="I70" s="1641"/>
      <c r="J70" s="1641"/>
      <c r="K70" s="1641"/>
      <c r="L70" s="1641"/>
      <c r="N70" s="1642"/>
      <c r="S70" s="1642"/>
      <c r="X70" s="1643"/>
      <c r="Y70" s="1643"/>
      <c r="Z70" s="1643"/>
    </row>
    <row r="71" spans="1:26" ht="13.5" thickBot="1">
      <c r="B71" s="1644">
        <v>102</v>
      </c>
      <c r="C71" s="1645">
        <v>103</v>
      </c>
      <c r="D71" s="1645">
        <f t="shared" si="39"/>
        <v>103</v>
      </c>
      <c r="E71" s="1645">
        <v>103</v>
      </c>
      <c r="F71" s="1646">
        <v>100</v>
      </c>
      <c r="I71" s="1633"/>
      <c r="J71" s="1633"/>
      <c r="K71" s="1633"/>
      <c r="L71" s="1633"/>
      <c r="N71" s="1634"/>
      <c r="O71" s="1633"/>
      <c r="P71" s="1633"/>
      <c r="Q71" s="1633"/>
      <c r="S71" s="1634"/>
      <c r="T71" s="1633"/>
      <c r="U71" s="1633"/>
      <c r="V71" s="1633"/>
      <c r="X71" s="1575"/>
      <c r="Y71" s="1575"/>
      <c r="Z71" s="1575"/>
    </row>
    <row r="73" spans="1:26" s="1648" customFormat="1">
      <c r="A73" s="1647" t="s">
        <v>1099</v>
      </c>
      <c r="G73" s="1649"/>
      <c r="N73" s="1649"/>
      <c r="S73" s="1649"/>
    </row>
    <row r="74" spans="1:26" s="1648" customFormat="1">
      <c r="A74" s="1648" t="s">
        <v>1100</v>
      </c>
      <c r="G74" s="1649"/>
      <c r="N74" s="1649"/>
      <c r="S74" s="1649"/>
    </row>
    <row r="75" spans="1:26" s="1648" customFormat="1">
      <c r="A75" s="1648" t="s">
        <v>1101</v>
      </c>
      <c r="G75" s="1649"/>
      <c r="I75" s="1650"/>
      <c r="J75" s="1650"/>
      <c r="K75" s="1650"/>
      <c r="L75" s="1650"/>
      <c r="N75" s="1651"/>
      <c r="O75" s="1650"/>
      <c r="P75" s="1650"/>
      <c r="Q75" s="1650"/>
      <c r="S75" s="1651"/>
      <c r="T75" s="1650"/>
      <c r="U75" s="1650"/>
      <c r="V75" s="1650"/>
    </row>
    <row r="76" spans="1:26" s="1648" customFormat="1">
      <c r="A76" s="1648" t="s">
        <v>1102</v>
      </c>
      <c r="G76" s="1649"/>
      <c r="N76" s="1649"/>
      <c r="S76" s="1649"/>
    </row>
    <row r="83" spans="7:22" ht="13.5" thickBot="1"/>
    <row r="84" spans="7:22">
      <c r="G84" s="1570"/>
      <c r="S84" s="1652" t="s">
        <v>1103</v>
      </c>
      <c r="T84" s="1653" t="s">
        <v>1104</v>
      </c>
      <c r="U84" s="1653" t="s">
        <v>1105</v>
      </c>
      <c r="V84" s="1653" t="s">
        <v>1106</v>
      </c>
    </row>
    <row r="85" spans="7:22">
      <c r="G85" s="1570"/>
      <c r="N85" s="1574"/>
      <c r="O85" s="1575"/>
      <c r="P85" s="1575"/>
      <c r="Q85" s="1575"/>
      <c r="S85" s="1654">
        <v>2006</v>
      </c>
      <c r="T85" s="1655">
        <v>15.1</v>
      </c>
      <c r="U85" s="1655">
        <v>7.43</v>
      </c>
      <c r="V85" s="1655">
        <v>26.26</v>
      </c>
    </row>
    <row r="86" spans="7:22">
      <c r="G86" s="1570"/>
      <c r="N86" s="1574"/>
      <c r="O86" s="1575"/>
      <c r="P86" s="1575"/>
      <c r="Q86" s="1575"/>
      <c r="S86" s="1656">
        <v>2005</v>
      </c>
      <c r="T86" s="1657">
        <v>13.9</v>
      </c>
      <c r="U86" s="1657">
        <v>7.49</v>
      </c>
      <c r="V86" s="1657">
        <v>24.92</v>
      </c>
    </row>
    <row r="87" spans="7:22">
      <c r="G87" s="1570"/>
      <c r="N87" s="1574"/>
      <c r="O87" s="1575"/>
      <c r="P87" s="1575"/>
      <c r="Q87" s="1575"/>
      <c r="S87" s="1654">
        <v>2004</v>
      </c>
      <c r="T87" s="1655">
        <v>9.48</v>
      </c>
      <c r="U87" s="1655">
        <v>7.2</v>
      </c>
      <c r="V87" s="1655">
        <v>14.68</v>
      </c>
    </row>
    <row r="88" spans="7:22">
      <c r="G88" s="1570"/>
      <c r="N88" s="1574"/>
      <c r="O88" s="1575"/>
      <c r="P88" s="1575"/>
      <c r="Q88" s="1575"/>
      <c r="S88" s="1656">
        <v>2003</v>
      </c>
      <c r="T88" s="1657">
        <v>4.5</v>
      </c>
      <c r="U88" s="1657">
        <v>6.12</v>
      </c>
      <c r="V88" s="1657">
        <v>2.34</v>
      </c>
    </row>
    <row r="89" spans="7:22" ht="13.5" thickBot="1">
      <c r="G89" s="1570"/>
      <c r="N89" s="1574"/>
      <c r="O89" s="1575"/>
      <c r="P89" s="1575"/>
      <c r="Q89" s="1575"/>
      <c r="S89" s="1658">
        <v>2002</v>
      </c>
      <c r="T89" s="1659">
        <v>3.59</v>
      </c>
      <c r="U89" s="1659">
        <v>4.54</v>
      </c>
      <c r="V89" s="1659">
        <v>2.5499999999999998</v>
      </c>
    </row>
    <row r="90" spans="7:22">
      <c r="G90" s="1570"/>
      <c r="N90" s="1574"/>
      <c r="O90" s="1575"/>
      <c r="P90" s="1575"/>
      <c r="Q90" s="1575"/>
    </row>
    <row r="91" spans="7:22">
      <c r="G91" s="1570"/>
      <c r="N91" s="1574"/>
      <c r="O91" s="1575"/>
      <c r="P91" s="1575"/>
      <c r="Q91" s="1575"/>
    </row>
    <row r="92" spans="7:22">
      <c r="G92" s="1570"/>
      <c r="N92" s="1574"/>
      <c r="O92" s="1575"/>
      <c r="P92" s="1575"/>
      <c r="Q92" s="1575"/>
    </row>
    <row r="93" spans="7:22">
      <c r="G93" s="1570"/>
      <c r="N93" s="1574"/>
      <c r="O93" s="1575"/>
      <c r="P93" s="1575"/>
      <c r="Q93" s="1575"/>
    </row>
    <row r="94" spans="7:22">
      <c r="G94" s="1570"/>
      <c r="N94" s="1574"/>
      <c r="O94" s="1575"/>
      <c r="P94" s="1575"/>
      <c r="Q94" s="1575"/>
    </row>
    <row r="95" spans="7:22">
      <c r="G95" s="1570"/>
      <c r="N95" s="1574"/>
      <c r="O95" s="1575"/>
      <c r="P95" s="1575"/>
      <c r="Q95" s="1575"/>
    </row>
    <row r="96" spans="7:22">
      <c r="G96" s="1570"/>
      <c r="N96" s="1574"/>
      <c r="O96" s="1575"/>
      <c r="P96" s="1575"/>
      <c r="Q96" s="1575"/>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c r="S100" s="1570"/>
    </row>
    <row r="101" spans="7:19">
      <c r="G101" s="1570"/>
      <c r="N101" s="1574"/>
      <c r="O101" s="1575"/>
      <c r="P101" s="1575"/>
      <c r="Q101" s="1575"/>
      <c r="S101" s="1570"/>
    </row>
    <row r="102" spans="7:19">
      <c r="G102" s="1570"/>
      <c r="N102" s="1574"/>
      <c r="O102" s="1575"/>
      <c r="P102" s="1575"/>
      <c r="Q102" s="1575"/>
      <c r="S102" s="1570"/>
    </row>
    <row r="103" spans="7:19">
      <c r="G103" s="1570"/>
      <c r="N103" s="1574"/>
      <c r="O103" s="1575"/>
      <c r="P103" s="1575"/>
      <c r="Q103" s="1575"/>
      <c r="S103" s="1570"/>
    </row>
    <row r="104" spans="7:19">
      <c r="G104" s="1570"/>
      <c r="N104" s="1574"/>
      <c r="O104" s="1575"/>
      <c r="P104" s="1575"/>
      <c r="Q104" s="1575"/>
      <c r="S104" s="1570"/>
    </row>
    <row r="105" spans="7:19">
      <c r="G105" s="1570"/>
      <c r="N105" s="1574"/>
      <c r="O105" s="1575"/>
      <c r="P105" s="1575"/>
      <c r="Q105" s="1575"/>
      <c r="S105" s="1570"/>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1185</v>
      </c>
      <c r="C1" s="1803">
        <f>项目基本情况!D2</f>
        <v>43257</v>
      </c>
      <c r="D1" s="1798" t="s">
        <v>1186</v>
      </c>
      <c r="E1" s="1804">
        <f>'数据-取费表'!B23</f>
        <v>1</v>
      </c>
      <c r="F1" s="1798" t="s">
        <v>1187</v>
      </c>
      <c r="G1" s="1805">
        <f ca="1">INDIRECT("d"&amp;$K$1)/100</f>
        <v>4.3499999999999997E-2</v>
      </c>
      <c r="H1" s="1798" t="s">
        <v>1217</v>
      </c>
      <c r="I1" s="1805">
        <f ca="1">F4/100</f>
        <v>1.4999999999999999E-2</v>
      </c>
      <c r="J1" s="1799">
        <f>IF(C1&gt;C13,0,MATCH(C1,C$13:C$100,-1))+IF(SUMIF(C13:C100,C1,D13:D100)=0,13,12)</f>
        <v>13</v>
      </c>
      <c r="K1" s="1799">
        <f ca="1">MATCH(E1,C3:C7,1)+IF(SUMIF(C3:C7,E1,D3:D7)=0,2,1)</f>
        <v>4</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1188</v>
      </c>
      <c r="E2" s="1740"/>
      <c r="F2" s="1740" t="s">
        <v>1189</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1190</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1191</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1192</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1193</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1194</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1195</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1196</v>
      </c>
      <c r="C10" s="1768"/>
      <c r="D10" s="1768"/>
      <c r="E10" s="1768"/>
      <c r="F10" s="1768"/>
      <c r="G10" s="1768"/>
      <c r="H10" s="1768"/>
      <c r="I10" s="1742"/>
      <c r="J10" s="1742"/>
      <c r="K10" s="1768"/>
      <c r="L10" s="1769" t="s">
        <v>1197</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1198</v>
      </c>
      <c r="C11" s="1773" t="s">
        <v>1199</v>
      </c>
      <c r="D11" s="1774" t="s">
        <v>1200</v>
      </c>
      <c r="E11" s="1775"/>
      <c r="F11" s="1774" t="s">
        <v>1201</v>
      </c>
      <c r="G11" s="1776"/>
      <c r="H11" s="1775"/>
      <c r="I11" s="1774" t="s">
        <v>1202</v>
      </c>
      <c r="J11" s="1775"/>
      <c r="K11" s="1771"/>
      <c r="L11" s="1772" t="s">
        <v>1198</v>
      </c>
      <c r="M11" s="1773" t="s">
        <v>1199</v>
      </c>
      <c r="N11" s="1772" t="s">
        <v>1203</v>
      </c>
      <c r="O11" s="1774" t="s">
        <v>1204</v>
      </c>
      <c r="P11" s="1776"/>
      <c r="Q11" s="1776"/>
      <c r="R11" s="1776"/>
      <c r="S11" s="1776"/>
      <c r="T11" s="1775"/>
      <c r="U11" s="1774" t="s">
        <v>1205</v>
      </c>
      <c r="V11" s="1776"/>
      <c r="W11" s="1775"/>
      <c r="X11" s="1772" t="s">
        <v>1206</v>
      </c>
      <c r="Y11" s="1772" t="s">
        <v>1207</v>
      </c>
      <c r="Z11" s="1772" t="s">
        <v>1208</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1209</v>
      </c>
      <c r="E12" s="1781" t="s">
        <v>1210</v>
      </c>
      <c r="F12" s="1781" t="s">
        <v>1211</v>
      </c>
      <c r="G12" s="1781" t="s">
        <v>1212</v>
      </c>
      <c r="H12" s="1781" t="s">
        <v>1194</v>
      </c>
      <c r="I12" s="1782" t="s">
        <v>1213</v>
      </c>
      <c r="J12" s="1782" t="s">
        <v>1213</v>
      </c>
      <c r="K12" s="1778"/>
      <c r="L12" s="1779"/>
      <c r="M12" s="1780"/>
      <c r="N12" s="1779"/>
      <c r="O12" s="1782" t="s">
        <v>1214</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1215</v>
      </c>
      <c r="C13" s="1786">
        <v>42301</v>
      </c>
      <c r="D13" s="1787">
        <v>4.3499999999999996</v>
      </c>
      <c r="E13" s="1787">
        <v>4.3499999999999996</v>
      </c>
      <c r="F13" s="1787">
        <v>4.75</v>
      </c>
      <c r="G13" s="1787">
        <v>4.75</v>
      </c>
      <c r="H13" s="1787">
        <v>4.9000000000000004</v>
      </c>
      <c r="I13" s="1787">
        <v>2.75</v>
      </c>
      <c r="J13" s="1787">
        <v>3.25</v>
      </c>
      <c r="K13" s="1784"/>
      <c r="L13" s="1785" t="s">
        <v>1215</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1216</v>
      </c>
      <c r="Y42" s="1791" t="s">
        <v>1216</v>
      </c>
      <c r="Z42" s="1791" t="s">
        <v>1216</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1216</v>
      </c>
      <c r="Y43" s="1791" t="s">
        <v>1216</v>
      </c>
      <c r="Z43" s="1791" t="s">
        <v>1216</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1216</v>
      </c>
      <c r="Y44" s="1791" t="s">
        <v>1216</v>
      </c>
      <c r="Z44" s="1791" t="s">
        <v>1216</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1216</v>
      </c>
      <c r="Y45" s="1791" t="s">
        <v>1216</v>
      </c>
      <c r="Z45" s="1791" t="s">
        <v>1216</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1216</v>
      </c>
      <c r="Y46" s="1791" t="s">
        <v>1216</v>
      </c>
      <c r="Z46" s="1791" t="s">
        <v>1216</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1216</v>
      </c>
      <c r="Y47" s="1791" t="s">
        <v>1216</v>
      </c>
      <c r="Z47" s="1791" t="s">
        <v>1216</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1216</v>
      </c>
      <c r="Y48" s="1791" t="s">
        <v>1216</v>
      </c>
      <c r="Z48" s="1791" t="s">
        <v>1216</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1216</v>
      </c>
      <c r="Y49" s="1791" t="s">
        <v>1216</v>
      </c>
      <c r="Z49" s="1791" t="s">
        <v>1216</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1216</v>
      </c>
      <c r="Y50" s="1791" t="s">
        <v>1216</v>
      </c>
      <c r="Z50" s="1791" t="s">
        <v>1216</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1216</v>
      </c>
      <c r="V51" s="1791" t="s">
        <v>1216</v>
      </c>
      <c r="W51" s="1791" t="s">
        <v>1216</v>
      </c>
      <c r="X51" s="1791" t="s">
        <v>1216</v>
      </c>
      <c r="Y51" s="1791" t="s">
        <v>1216</v>
      </c>
      <c r="Z51" s="1791" t="s">
        <v>1216</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1216</v>
      </c>
      <c r="J55" s="1791" t="s">
        <v>1216</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9" workbookViewId="0">
      <selection activeCell="A31" sqref="A31"/>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5" customWidth="1"/>
    <col min="2" max="2" width="37.875" style="1905" customWidth="1"/>
    <col min="3" max="3" width="16.125" style="1905" customWidth="1"/>
    <col min="4" max="4" width="22.25" style="1905" customWidth="1"/>
    <col min="5" max="5" width="4.125" style="1905" customWidth="1"/>
    <col min="6" max="7" width="13" style="1905" customWidth="1"/>
    <col min="8" max="16384" width="9" style="1905"/>
  </cols>
  <sheetData>
    <row r="1" spans="1:5" ht="18.75">
      <c r="A1" s="1925" t="s">
        <v>782</v>
      </c>
      <c r="B1" s="1923"/>
      <c r="C1" s="1923"/>
      <c r="D1" s="1923"/>
      <c r="E1" s="1923"/>
    </row>
    <row r="2" spans="1:5" ht="78.75" customHeight="1">
      <c r="A2" s="274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45"/>
      <c r="C2" s="2745"/>
      <c r="D2" s="2745"/>
      <c r="E2" s="2745"/>
    </row>
    <row r="3" spans="1:5" ht="13.5" customHeight="1">
      <c r="A3" s="1926"/>
      <c r="B3" s="1926"/>
      <c r="C3" s="1926"/>
      <c r="D3" s="1926"/>
      <c r="E3" s="1926"/>
    </row>
    <row r="4" spans="1:5" ht="19.5" thickBot="1">
      <c r="A4" s="2746" t="str">
        <f>IF(项目基本情况!D5="房地产市场价值","估价结果一览表（市场价值不需本页表格)","估价结果一览表")</f>
        <v>估价结果一览表</v>
      </c>
      <c r="B4" s="2746"/>
      <c r="C4" s="2746"/>
      <c r="D4" s="2746"/>
      <c r="E4" s="2746"/>
    </row>
    <row r="5" spans="1:5" ht="14.25" customHeight="1" thickTop="1">
      <c r="A5" s="1923"/>
      <c r="B5" s="1927" t="s">
        <v>742</v>
      </c>
      <c r="C5" s="2747" t="s">
        <v>783</v>
      </c>
      <c r="D5" s="2748"/>
      <c r="E5" s="1923"/>
    </row>
    <row r="6" spans="1:5" ht="14.25">
      <c r="A6" s="1923"/>
      <c r="B6" s="1928" t="str">
        <f>项目基本情况!I1</f>
        <v>北京市房地产</v>
      </c>
      <c r="C6" s="2749">
        <f>项目基本情况!C12</f>
        <v>573.89</v>
      </c>
      <c r="D6" s="2749"/>
      <c r="E6" s="1923"/>
    </row>
    <row r="7" spans="1:5" ht="14.25">
      <c r="A7" s="1923"/>
      <c r="B7" s="2743" t="s">
        <v>784</v>
      </c>
      <c r="C7" s="1929" t="str">
        <f>IF('数据-取费表'!B3="万元","总价（万元）","总价（元）")</f>
        <v>总价（元）</v>
      </c>
      <c r="D7" s="1930">
        <f ca="1">IF('数据-取费表'!E3="否",结果表!I102,'结果表 (1修多)'!I103)</f>
        <v>14704498</v>
      </c>
      <c r="E7" s="1923"/>
    </row>
    <row r="8" spans="1:5" ht="28.5">
      <c r="A8" s="1923"/>
      <c r="B8" s="2743"/>
      <c r="C8" s="1931" t="s">
        <v>1175</v>
      </c>
      <c r="D8" s="1932" t="str">
        <f ca="1">IF('数据-取费表'!B3="万元",NUMBERSTRING(INT(D7*10000),2)&amp;"元整",NUMBERSTRING(INT(D7),2)&amp;"元整")</f>
        <v>壹仟肆佰柒拾万肆仟肆佰玖拾捌元整</v>
      </c>
      <c r="E8" s="1923"/>
    </row>
    <row r="9" spans="1:5" ht="14.25">
      <c r="A9" s="1923"/>
      <c r="B9" s="2743"/>
      <c r="C9" s="1933" t="s">
        <v>1273</v>
      </c>
      <c r="D9" s="1930">
        <f ca="1">IF('数据-取费表'!E3="否",结果表!I103,'结果表 (1修多)'!I104)</f>
        <v>25623</v>
      </c>
      <c r="E9" s="1923"/>
    </row>
    <row r="10" spans="1:5" ht="14.25">
      <c r="A10" s="1923"/>
      <c r="B10" s="2750" t="str">
        <f>IF('数据-取费表'!E3="否",结果表!F105,'结果表 (1修多)'!F106)</f>
        <v>2.估价师所知悉的法定优先受偿款</v>
      </c>
      <c r="C10" s="1934" t="str">
        <f>IF('数据-取费表'!B3="万元","总额（万元）","总额（元）")</f>
        <v>总额（元）</v>
      </c>
      <c r="D10" s="1930">
        <f>IF('数据-取费表'!E3="否",结果表!I105,'结果表 (1修多)'!I106)</f>
        <v>0</v>
      </c>
      <c r="E10" s="1923"/>
    </row>
    <row r="11" spans="1:5" ht="14.25">
      <c r="A11" s="1923"/>
      <c r="B11" s="2750"/>
      <c r="C11" s="1931" t="s">
        <v>1175</v>
      </c>
      <c r="D11" s="1932" t="str">
        <f>IF('数据-取费表'!B3="万元",NUMBERSTRING(INT(D10*10000),2)&amp;"元整",NUMBERSTRING(INT(D10),2)&amp;"元整")</f>
        <v>零元整</v>
      </c>
      <c r="E11" s="1923"/>
    </row>
    <row r="12" spans="1:5" ht="14.25">
      <c r="A12" s="1923"/>
      <c r="B12" s="1935" t="s">
        <v>743</v>
      </c>
      <c r="C12" s="1936" t="str">
        <f>C10</f>
        <v>总额（元）</v>
      </c>
      <c r="D12" s="1937">
        <f>IF('数据-取费表'!E3="否",结果表!I106,'结果表 (1修多)'!I107)</f>
        <v>0</v>
      </c>
      <c r="E12" s="1923"/>
    </row>
    <row r="13" spans="1:5" ht="14.25">
      <c r="A13" s="1923"/>
      <c r="B13" s="1935" t="s">
        <v>744</v>
      </c>
      <c r="C13" s="1936" t="str">
        <f>C10</f>
        <v>总额（元）</v>
      </c>
      <c r="D13" s="1937">
        <f>IF('数据-取费表'!E3="否",结果表!I107,'结果表 (1修多)'!I108)</f>
        <v>0</v>
      </c>
      <c r="E13" s="1923"/>
    </row>
    <row r="14" spans="1:5" ht="14.25">
      <c r="A14" s="1923"/>
      <c r="B14" s="1935" t="s">
        <v>745</v>
      </c>
      <c r="C14" s="1936" t="str">
        <f>C10</f>
        <v>总额（元）</v>
      </c>
      <c r="D14" s="1937">
        <f>IF('数据-取费表'!E3="否",结果表!I108,'结果表 (1修多)'!I109)</f>
        <v>0</v>
      </c>
      <c r="E14" s="1923"/>
    </row>
    <row r="15" spans="1:5" ht="14.25">
      <c r="A15" s="1923"/>
      <c r="B15" s="2750" t="str">
        <f>IF('数据-取费表'!E3="否",结果表!F110,'结果表 (1修多)'!F111)</f>
        <v>3.房地产抵押价值</v>
      </c>
      <c r="C15" s="1924" t="str">
        <f>C7</f>
        <v>总价（元）</v>
      </c>
      <c r="D15" s="1930">
        <f ca="1">IF('数据-取费表'!E3="否",结果表!I110,'结果表 (1修多)'!I111)</f>
        <v>14704498</v>
      </c>
      <c r="E15" s="1923"/>
    </row>
    <row r="16" spans="1:5" ht="28.5">
      <c r="A16" s="1923"/>
      <c r="B16" s="2750"/>
      <c r="C16" s="1931" t="s">
        <v>1175</v>
      </c>
      <c r="D16" s="1930" t="str">
        <f ca="1">IF('数据-取费表'!B3="万元",NUMBERSTRING(INT(D15*10000),2)&amp;"元整",NUMBERSTRING(INT(D15),2)&amp;"元整")</f>
        <v>壹仟肆佰柒拾万肆仟肆佰玖拾捌元整</v>
      </c>
      <c r="E16" s="1923"/>
    </row>
    <row r="17" spans="1:5" ht="14.25">
      <c r="A17" s="1923"/>
      <c r="B17" s="2750"/>
      <c r="C17" s="1933" t="s">
        <v>1273</v>
      </c>
      <c r="D17" s="1930">
        <f ca="1">IF('数据-取费表'!E3="否",结果表!I111,'结果表 (1修多)'!I112)</f>
        <v>25623</v>
      </c>
      <c r="E17" s="1923"/>
    </row>
    <row r="18" spans="1:5" ht="14.25">
      <c r="A18" s="1923"/>
      <c r="B18" s="2750" t="str">
        <f>IF('数据-取费表'!E3="否",结果表!F112,'结果表 (1修多)'!F113)</f>
        <v>——</v>
      </c>
      <c r="C18" s="1924" t="str">
        <f>C7</f>
        <v>总价（元）</v>
      </c>
      <c r="D18" s="1930" t="str">
        <f>IF('数据-取费表'!E3="否",结果表!I112,'结果表 (1修多)'!I113)</f>
        <v>——</v>
      </c>
      <c r="E18" s="1923"/>
    </row>
    <row r="19" spans="1:5" ht="14.25">
      <c r="A19" s="1923"/>
      <c r="B19" s="2750"/>
      <c r="C19" s="1931" t="s">
        <v>1175</v>
      </c>
      <c r="D19" s="1930" t="e">
        <f>IF('数据-取费表'!B3="万元",NUMBERSTRING(INT(D18*10000),2)&amp;"元整",NUMBERSTRING(INT(D18),2)&amp;"元整")</f>
        <v>#VALUE!</v>
      </c>
      <c r="E19" s="1923"/>
    </row>
    <row r="20" spans="1:5" ht="14.25">
      <c r="A20" s="1923"/>
      <c r="B20" s="2750"/>
      <c r="C20" s="1933" t="s">
        <v>1273</v>
      </c>
      <c r="D20" s="1930" t="str">
        <f>IF('数据-取费表'!E3="否",结果表!I113,'结果表 (1修多)'!I114)</f>
        <v>——</v>
      </c>
      <c r="E20" s="1923"/>
    </row>
    <row r="21" spans="1:5" ht="14.25">
      <c r="A21" s="1923"/>
      <c r="B21" s="2743" t="str">
        <f>IF('数据-取费表'!E3="否",结果表!F114,'结果表 (1修多)'!F115)</f>
        <v>——</v>
      </c>
      <c r="C21" s="1929" t="str">
        <f>C7</f>
        <v>总价（元）</v>
      </c>
      <c r="D21" s="1930" t="str">
        <f>IF('数据-取费表'!E3="否",结果表!I114,'结果表 (1修多)'!I115)</f>
        <v>——</v>
      </c>
      <c r="E21" s="1923"/>
    </row>
    <row r="22" spans="1:5" ht="14.25">
      <c r="A22" s="1923"/>
      <c r="B22" s="2743"/>
      <c r="C22" s="1931" t="s">
        <v>1175</v>
      </c>
      <c r="D22" s="1932" t="e">
        <f>IF('数据-取费表'!B3="万元",NUMBERSTRING(INT(D21*10000),2)&amp;"元整",NUMBERSTRING(INT(D21),2)&amp;"元整")</f>
        <v>#VALUE!</v>
      </c>
      <c r="E22" s="1923"/>
    </row>
    <row r="23" spans="1:5" ht="15" thickBot="1">
      <c r="A23" s="1923"/>
      <c r="B23" s="2744"/>
      <c r="C23" s="1938" t="s">
        <v>1273</v>
      </c>
      <c r="D23" s="1939" t="str">
        <f ca="1">IF('数据-取费表'!E3="否",结果表!I115,'结果表 (1修多)'!I116)</f>
        <v>——</v>
      </c>
      <c r="E23" s="1923"/>
    </row>
    <row r="24" spans="1:5" ht="14.25" thickTop="1">
      <c r="A24" s="1923"/>
      <c r="B24" s="1923"/>
      <c r="C24" s="1923"/>
      <c r="D24" s="1923"/>
      <c r="E24" s="1923"/>
    </row>
    <row r="25" spans="1:5" ht="18.75" customHeight="1" thickBot="1">
      <c r="A25" s="1923"/>
      <c r="B25" s="2758" t="s">
        <v>1274</v>
      </c>
      <c r="C25" s="2758"/>
      <c r="D25" s="2758"/>
      <c r="E25" s="1923"/>
    </row>
    <row r="26" spans="1:5" ht="18.75" customHeight="1" thickTop="1">
      <c r="A26" s="1923"/>
      <c r="B26" s="2761" t="s">
        <v>1174</v>
      </c>
      <c r="C26" s="2762"/>
      <c r="D26" s="2759" t="s">
        <v>1173</v>
      </c>
      <c r="E26" s="1923"/>
    </row>
    <row r="27" spans="1:5" ht="18.75" customHeight="1">
      <c r="A27" s="1923"/>
      <c r="B27" s="2763"/>
      <c r="C27" s="2764"/>
      <c r="D27" s="2760"/>
      <c r="E27" s="1923"/>
    </row>
    <row r="28" spans="1:5" ht="14.25">
      <c r="A28" s="1923"/>
      <c r="B28" s="2751" t="s">
        <v>784</v>
      </c>
      <c r="C28" s="1940" t="s">
        <v>1176</v>
      </c>
      <c r="D28" s="1941">
        <f ca="1">IF('数据-取费表'!E3="否",结果表!I102,'结果表 (1修多)'!I103)</f>
        <v>14704498</v>
      </c>
      <c r="E28" s="1923"/>
    </row>
    <row r="29" spans="1:5" ht="28.5">
      <c r="A29" s="1923"/>
      <c r="B29" s="2752"/>
      <c r="C29" s="1942" t="s">
        <v>1175</v>
      </c>
      <c r="D29" s="1943" t="str">
        <f ca="1">IF('数据-取费表'!B3="万元",NUMBERSTRING(INT(D28*10000),2)&amp;"元整",NUMBERSTRING(INT(D28),2)&amp;"元整")</f>
        <v>壹仟肆佰柒拾万肆仟肆佰玖拾捌元整</v>
      </c>
      <c r="E29" s="1923"/>
    </row>
    <row r="30" spans="1:5" ht="14.25">
      <c r="A30" s="1923"/>
      <c r="B30" s="2753"/>
      <c r="C30" s="1933" t="s">
        <v>1178</v>
      </c>
      <c r="D30" s="1944">
        <f ca="1">IF('数据-取费表'!E3="否",结果表!I103,'结果表 (1修多)'!I104)</f>
        <v>25623</v>
      </c>
      <c r="E30" s="1923"/>
    </row>
    <row r="31" spans="1:5" ht="14.25">
      <c r="A31" s="1923"/>
      <c r="B31" s="2756" t="str">
        <f>B10</f>
        <v>2.估价师所知悉的法定优先受偿款</v>
      </c>
      <c r="C31" s="1945" t="s">
        <v>1177</v>
      </c>
      <c r="D31" s="1946">
        <f>IF('数据-取费表'!E3="否",结果表!I105,'结果表 (1修多)'!I106)</f>
        <v>0</v>
      </c>
      <c r="E31" s="1923"/>
    </row>
    <row r="32" spans="1:5" ht="14.25">
      <c r="A32" s="1923"/>
      <c r="B32" s="2765"/>
      <c r="C32" s="1942" t="s">
        <v>1175</v>
      </c>
      <c r="D32" s="1947" t="str">
        <f>IF('数据-取费表'!B3="万元",NUMBERSTRING(INT(D31*10000),2)&amp;"元整",NUMBERSTRING(INT(D31),2)&amp;"元整")</f>
        <v>零元整</v>
      </c>
      <c r="E32" s="1923"/>
    </row>
    <row r="33" spans="1:5" ht="14.25">
      <c r="A33" s="1923"/>
      <c r="B33" s="1931" t="s">
        <v>1158</v>
      </c>
      <c r="C33" s="1931" t="str">
        <f>C31</f>
        <v>总额</v>
      </c>
      <c r="D33" s="1944">
        <f>IF('数据-取费表'!E3="否",结果表!I106,'结果表 (1修多)'!I107)</f>
        <v>0</v>
      </c>
      <c r="E33" s="1923"/>
    </row>
    <row r="34" spans="1:5" ht="14.25">
      <c r="A34" s="1923"/>
      <c r="B34" s="1931" t="s">
        <v>1159</v>
      </c>
      <c r="C34" s="1931" t="str">
        <f>C31</f>
        <v>总额</v>
      </c>
      <c r="D34" s="1944">
        <f>IF('数据-取费表'!E3="否",结果表!I107,'结果表 (1修多)'!I108)</f>
        <v>0</v>
      </c>
      <c r="E34" s="1923"/>
    </row>
    <row r="35" spans="1:5" ht="14.25">
      <c r="A35" s="1923"/>
      <c r="B35" s="1931" t="s">
        <v>1160</v>
      </c>
      <c r="C35" s="1931" t="str">
        <f>C31</f>
        <v>总额</v>
      </c>
      <c r="D35" s="1944">
        <f>IF('数据-取费表'!E3="否",结果表!I108,'结果表 (1修多)'!I109)</f>
        <v>0</v>
      </c>
      <c r="E35" s="1923"/>
    </row>
    <row r="36" spans="1:5" ht="14.25">
      <c r="A36" s="1923"/>
      <c r="B36" s="2754" t="str">
        <f>B15</f>
        <v>3.房地产抵押价值</v>
      </c>
      <c r="C36" s="1945" t="str">
        <f>C28</f>
        <v>总价</v>
      </c>
      <c r="D36" s="1946">
        <f ca="1">IF('数据-取费表'!E3="否",结果表!I110,'结果表 (1修多)'!I111)</f>
        <v>14704498</v>
      </c>
      <c r="E36" s="1923"/>
    </row>
    <row r="37" spans="1:5" ht="28.5">
      <c r="A37" s="1923"/>
      <c r="B37" s="2754"/>
      <c r="C37" s="1942" t="s">
        <v>1175</v>
      </c>
      <c r="D37" s="1947" t="str">
        <f ca="1">IF('数据-取费表'!B3="万元",NUMBERSTRING(INT(D36*10000),2)&amp;"元整",NUMBERSTRING(INT(D36),2)&amp;"元整")</f>
        <v>壹仟肆佰柒拾万肆仟肆佰玖拾捌元整</v>
      </c>
      <c r="E37" s="1923"/>
    </row>
    <row r="38" spans="1:5" ht="14.25">
      <c r="A38" s="1923"/>
      <c r="B38" s="2754"/>
      <c r="C38" s="1933" t="s">
        <v>1179</v>
      </c>
      <c r="D38" s="1944">
        <f ca="1">IF('数据-取费表'!E3="否",结果表!D113,'结果表 (1修多)'!D116)</f>
        <v>25623</v>
      </c>
      <c r="E38" s="1923"/>
    </row>
    <row r="39" spans="1:5" ht="14.25">
      <c r="A39" s="1923"/>
      <c r="B39" s="2755" t="str">
        <f>B18</f>
        <v>——</v>
      </c>
      <c r="C39" s="1945" t="str">
        <f>C28</f>
        <v>总价</v>
      </c>
      <c r="D39" s="1946" t="str">
        <f>IF('数据-取费表'!E3="否",结果表!I112,'结果表 (1修多)'!I113)</f>
        <v>——</v>
      </c>
      <c r="E39" s="1923"/>
    </row>
    <row r="40" spans="1:5" ht="14.25">
      <c r="A40" s="1923"/>
      <c r="B40" s="2755"/>
      <c r="C40" s="1942" t="s">
        <v>1175</v>
      </c>
      <c r="D40" s="1947" t="e">
        <f>IF('数据-取费表'!B3="万元",NUMBERSTRING(INT(D39*10000),2)&amp;"元整",NUMBERSTRING(INT(D39),2)&amp;"元整")</f>
        <v>#VALUE!</v>
      </c>
      <c r="E40" s="1923"/>
    </row>
    <row r="41" spans="1:5" ht="14.25">
      <c r="A41" s="1923"/>
      <c r="B41" s="2755"/>
      <c r="C41" s="1933" t="s">
        <v>1179</v>
      </c>
      <c r="D41" s="1944" t="str">
        <f>IF('数据-取费表'!E3="否",结果表!D115,'结果表 (1修多)'!D118)</f>
        <v>——</v>
      </c>
      <c r="E41" s="1923"/>
    </row>
    <row r="42" spans="1:5" ht="14.25">
      <c r="A42" s="1923"/>
      <c r="B42" s="2754" t="str">
        <f>B21</f>
        <v>——</v>
      </c>
      <c r="C42" s="1945" t="str">
        <f>C28</f>
        <v>总价</v>
      </c>
      <c r="D42" s="1946" t="str">
        <f>IF('数据-取费表'!E3="否",结果表!I114,'结果表 (1修多)'!I115)</f>
        <v>——</v>
      </c>
      <c r="E42" s="1923"/>
    </row>
    <row r="43" spans="1:5" ht="14.25">
      <c r="A43" s="1923"/>
      <c r="B43" s="2756"/>
      <c r="C43" s="1942" t="s">
        <v>1175</v>
      </c>
      <c r="D43" s="1948" t="e">
        <f>IF('数据-取费表'!B3="万元",NUMBERSTRING(INT(D42*10000),2)&amp;"元整",NUMBERSTRING(INT(D42),2)&amp;"元整")</f>
        <v>#VALUE!</v>
      </c>
      <c r="E43" s="1923"/>
    </row>
    <row r="44" spans="1:5" ht="15" thickBot="1">
      <c r="A44" s="1923"/>
      <c r="B44" s="2757"/>
      <c r="C44" s="1938" t="s">
        <v>1179</v>
      </c>
      <c r="D44" s="1949" t="str">
        <f ca="1">IF('数据-取费表'!E3="否",结果表!D117,'结果表 (1修多)'!D120)</f>
        <v>——</v>
      </c>
      <c r="E44" s="1923"/>
    </row>
    <row r="45" spans="1:5" ht="14.25" thickTop="1">
      <c r="A45" s="1923"/>
      <c r="B45" s="1923" t="str">
        <f>IF('数据-取费表'!B3="元","单位：元、元/平方米（单位：人民币）","单位：万元、元/平方米（单位：人民币）")</f>
        <v>单位：元、元/平方米（单位：人民币）</v>
      </c>
      <c r="C45" s="1923"/>
      <c r="D45" s="1923"/>
      <c r="E45" s="1923"/>
    </row>
    <row r="46" spans="1:5" ht="18.75">
      <c r="B46" s="1950"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8" customWidth="1"/>
    <col min="2" max="9" width="12.25" style="1908" customWidth="1"/>
    <col min="10" max="16384" width="9" style="1908"/>
  </cols>
  <sheetData>
    <row r="1" spans="1:9" ht="16.5" thickBot="1">
      <c r="A1" s="2772" t="str">
        <f>IF(项目基本情况!D5="房地产市场价值","估价结果一览表","结果表-2")</f>
        <v>结果表-2</v>
      </c>
      <c r="B1" s="2772"/>
      <c r="C1" s="2772"/>
      <c r="D1" s="2772"/>
      <c r="E1" s="2772"/>
      <c r="F1" s="2772"/>
      <c r="G1" s="2772"/>
      <c r="H1" s="2772"/>
      <c r="I1" s="2772"/>
    </row>
    <row r="2" spans="1:9" ht="30" customHeight="1" thickTop="1">
      <c r="A2" s="2773" t="s">
        <v>1275</v>
      </c>
      <c r="B2" s="2773" t="s">
        <v>1276</v>
      </c>
      <c r="C2" s="2773" t="s">
        <v>1277</v>
      </c>
      <c r="D2" s="2773" t="str">
        <f>IF('数据-取费表'!E3="否",结果表!D119,'结果表 (1修多)'!D122)</f>
        <v>出让国有建设用地使用权价值</v>
      </c>
      <c r="E2" s="2773"/>
      <c r="F2" s="2773" t="s">
        <v>1278</v>
      </c>
      <c r="G2" s="2773"/>
      <c r="H2" s="2773" t="s">
        <v>1279</v>
      </c>
      <c r="I2" s="2773"/>
    </row>
    <row r="3" spans="1:9" ht="15">
      <c r="A3" s="2768"/>
      <c r="B3" s="2768"/>
      <c r="C3" s="2768"/>
      <c r="D3" s="1045" t="s">
        <v>1280</v>
      </c>
      <c r="E3" s="1045" t="s">
        <v>1281</v>
      </c>
      <c r="F3" s="1045" t="s">
        <v>1280</v>
      </c>
      <c r="G3" s="1045" t="s">
        <v>1282</v>
      </c>
      <c r="H3" s="1045" t="s">
        <v>1280</v>
      </c>
      <c r="I3" s="1045" t="s">
        <v>1282</v>
      </c>
    </row>
    <row r="4" spans="1:9" ht="46.5" customHeight="1">
      <c r="A4" s="1045" t="str">
        <f>项目基本情况!I1</f>
        <v>北京市房地产</v>
      </c>
      <c r="B4" s="1045">
        <f>结果表!B121</f>
        <v>573.89</v>
      </c>
      <c r="C4" s="1045">
        <f>结果表!C121</f>
        <v>0</v>
      </c>
      <c r="D4" s="1045">
        <f ca="1">IF('数据-取费表'!E3="否",结果表!D121,'结果表 (1修多)'!D124)</f>
        <v>7661043</v>
      </c>
      <c r="E4" s="1045">
        <f ca="1">IF('数据-取费表'!E3="否",结果表!E121,'结果表 (1修多)'!E124)</f>
        <v>13349</v>
      </c>
      <c r="F4" s="1045">
        <f ca="1">IF('数据-取费表'!E3="否",结果表!F121,'结果表 (1修多)'!F124)</f>
        <v>7043455</v>
      </c>
      <c r="G4" s="1045">
        <f ca="1">IF('数据-取费表'!E3="否",结果表!G121,'结果表 (1修多)'!G124)</f>
        <v>12273</v>
      </c>
      <c r="H4" s="1045">
        <f ca="1">IF('数据-取费表'!E3="否",结果表!H121,'结果表 (1修多)'!H124)</f>
        <v>14704498</v>
      </c>
      <c r="I4" s="1045">
        <f ca="1">IF('数据-取费表'!E3="否",结果表!I121,'结果表 (1修多)'!I124)</f>
        <v>25623</v>
      </c>
    </row>
    <row r="5" spans="1:9" ht="15">
      <c r="A5" s="2768" t="s">
        <v>1283</v>
      </c>
      <c r="B5" s="2768"/>
      <c r="C5" s="2768"/>
      <c r="D5" s="2766" t="str">
        <f ca="1">IF('数据-取费表'!E3="否",结果表!D122,'结果表 (1修多)'!D125)</f>
        <v>柒佰陆拾陆万壹仟零肆拾叁元整</v>
      </c>
      <c r="E5" s="2766"/>
      <c r="F5" s="2766" t="str">
        <f ca="1">IF('数据-取费表'!E3="否",结果表!F122,'结果表 (1修多)'!F125)</f>
        <v>柒佰零肆万叁仟肆佰伍拾伍元整</v>
      </c>
      <c r="G5" s="2766"/>
      <c r="H5" s="2766" t="str">
        <f ca="1">IF('数据-取费表'!E3="否",结果表!H122,'结果表 (1修多)'!H125)</f>
        <v>壹仟肆佰柒拾万肆仟肆佰玖拾捌元整</v>
      </c>
      <c r="I5" s="2766"/>
    </row>
    <row r="6" spans="1:9" ht="15.75">
      <c r="A6" s="2767" t="str">
        <f>IF('数据-取费表'!E3="否",结果表!A123,'结果表 (1修多)'!A126)</f>
        <v>估价师所知悉的法定优先受偿款</v>
      </c>
      <c r="B6" s="2767"/>
      <c r="C6" s="2767"/>
      <c r="D6" s="2767">
        <f>IF('数据-取费表'!E3="否",结果表!D123,'结果表 (1修多)'!D126)</f>
        <v>0</v>
      </c>
      <c r="E6" s="2767"/>
      <c r="F6" s="2767"/>
      <c r="G6" s="2767"/>
      <c r="H6" s="2767"/>
      <c r="I6" s="2767"/>
    </row>
    <row r="7" spans="1:9" ht="15">
      <c r="A7" s="2768" t="s">
        <v>1283</v>
      </c>
      <c r="B7" s="2768"/>
      <c r="C7" s="2768"/>
      <c r="D7" s="2769">
        <f>IF('数据-取费表'!E3="否",结果表!D124,'结果表 (1修多)'!D127)</f>
        <v>0</v>
      </c>
      <c r="E7" s="2770"/>
      <c r="F7" s="2770"/>
      <c r="G7" s="2770"/>
      <c r="H7" s="2770"/>
      <c r="I7" s="2771"/>
    </row>
    <row r="8" spans="1:9" ht="15.75">
      <c r="A8" s="2767" t="str">
        <f>IF('数据-取费表'!E3="否",结果表!A125,'结果表 (1修多)'!A128)</f>
        <v>房地产抵押价值</v>
      </c>
      <c r="B8" s="2767"/>
      <c r="C8" s="2767"/>
      <c r="D8" s="2767">
        <f ca="1">IF('数据-取费表'!E3="否",结果表!D125,'结果表 (1修多)'!D128)</f>
        <v>14704498</v>
      </c>
      <c r="E8" s="2767"/>
      <c r="F8" s="2767"/>
      <c r="G8" s="2767"/>
      <c r="H8" s="2767"/>
      <c r="I8" s="2767"/>
    </row>
    <row r="9" spans="1:9" ht="15">
      <c r="A9" s="2768" t="s">
        <v>1283</v>
      </c>
      <c r="B9" s="2768"/>
      <c r="C9" s="2768"/>
      <c r="D9" s="2766">
        <f ca="1">IF('数据-取费表'!E3="否",结果表!D126,'结果表 (1修多)'!D129)</f>
        <v>25623</v>
      </c>
      <c r="E9" s="2766"/>
      <c r="F9" s="2766"/>
      <c r="G9" s="2766"/>
      <c r="H9" s="2766"/>
      <c r="I9" s="2766"/>
    </row>
    <row r="10" spans="1:9" ht="15.75">
      <c r="A10" s="2767" t="str">
        <f>IF('数据-取费表'!E3="否",结果表!A127,'结果表 (1修多)'!A130)</f>
        <v/>
      </c>
      <c r="B10" s="2767"/>
      <c r="C10" s="2767"/>
      <c r="D10" s="2767" t="str">
        <f>IF('数据-取费表'!E3="否",结果表!D127,'结果表 (1修多)'!D129)</f>
        <v>——</v>
      </c>
      <c r="E10" s="2767"/>
      <c r="F10" s="2767"/>
      <c r="G10" s="2767"/>
      <c r="H10" s="2767"/>
      <c r="I10" s="2767"/>
    </row>
    <row r="11" spans="1:9" ht="15">
      <c r="A11" s="2768" t="s">
        <v>1283</v>
      </c>
      <c r="B11" s="2768"/>
      <c r="C11" s="2768"/>
      <c r="D11" s="2766" t="str">
        <f>IF('数据-取费表'!E3="否",结果表!D128,'结果表 (1修多)'!D131)</f>
        <v>——</v>
      </c>
      <c r="E11" s="2766"/>
      <c r="F11" s="2766"/>
      <c r="G11" s="2766"/>
      <c r="H11" s="2766"/>
      <c r="I11" s="2766"/>
    </row>
    <row r="12" spans="1:9" ht="15.75">
      <c r="A12" s="2767" t="str">
        <f>IF('数据-取费表'!E3="否",结果表!A129,'结果表 (1修多)'!A132)</f>
        <v/>
      </c>
      <c r="B12" s="2767"/>
      <c r="C12" s="2767"/>
      <c r="D12" s="2767" t="str">
        <f>IF('数据-取费表'!E3="否",结果表!D129,'结果表 (1修多)'!D132)</f>
        <v>——</v>
      </c>
      <c r="E12" s="2767"/>
      <c r="F12" s="2767"/>
      <c r="G12" s="2767"/>
      <c r="H12" s="2767"/>
      <c r="I12" s="2767"/>
    </row>
    <row r="13" spans="1:9" ht="15.75" thickBot="1">
      <c r="A13" s="2774" t="s">
        <v>1283</v>
      </c>
      <c r="B13" s="2774"/>
      <c r="C13" s="2774"/>
      <c r="D13" s="2775">
        <f>IF('数据-取费表'!E3="否",结果表!D130,'结果表 (1修多)'!D133)</f>
        <v>0</v>
      </c>
      <c r="E13" s="2775"/>
      <c r="F13" s="2775"/>
      <c r="G13" s="2775"/>
      <c r="H13" s="2775"/>
      <c r="I13" s="2775"/>
    </row>
    <row r="14" spans="1:9" ht="15" thickTop="1">
      <c r="A14" s="2776" t="str">
        <f>IF('数据-取费表'!E3="否",结果表!A131,'结果表 (1修多)'!A134)</f>
        <v>单位：平方米、元、元/平方米（币种：人民币）</v>
      </c>
      <c r="B14" s="2776"/>
      <c r="C14" s="2776"/>
      <c r="D14" s="2776"/>
      <c r="E14" s="2776"/>
      <c r="F14" s="2776"/>
      <c r="G14" s="2776"/>
      <c r="H14" s="2776"/>
      <c r="I14" s="2776"/>
    </row>
    <row r="15" spans="1:9">
      <c r="A15" s="715"/>
      <c r="B15" s="715"/>
      <c r="C15" s="715"/>
      <c r="D15" s="715"/>
      <c r="E15" s="715"/>
      <c r="F15" s="715"/>
      <c r="G15" s="715"/>
      <c r="H15" s="715"/>
      <c r="I15" s="715"/>
    </row>
    <row r="16" spans="1:9" ht="18.75">
      <c r="A16" s="1951"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8" customWidth="1"/>
    <col min="2" max="2" width="24" style="1908" customWidth="1"/>
    <col min="3" max="3" width="23.25" style="1908" customWidth="1"/>
    <col min="4" max="4" width="21" style="1908" customWidth="1"/>
    <col min="5" max="16384" width="9" style="1908"/>
  </cols>
  <sheetData>
    <row r="1" spans="1:4" ht="18.75">
      <c r="A1" s="2781" t="s">
        <v>1297</v>
      </c>
      <c r="B1" s="2781"/>
      <c r="C1" s="2781"/>
      <c r="D1" s="2781"/>
    </row>
    <row r="2" spans="1:4" ht="18">
      <c r="A2" s="2780" t="s">
        <v>1285</v>
      </c>
      <c r="B2" s="2780"/>
      <c r="C2" s="2780"/>
      <c r="D2" s="2780"/>
    </row>
    <row r="3" spans="1:4" ht="18.75">
      <c r="A3" s="1952" t="s">
        <v>1286</v>
      </c>
      <c r="B3" s="1952" t="s">
        <v>1287</v>
      </c>
      <c r="C3" s="1952" t="s">
        <v>1288</v>
      </c>
      <c r="D3" s="1952" t="s">
        <v>1289</v>
      </c>
    </row>
    <row r="4" spans="1:4" ht="56.25" customHeight="1">
      <c r="A4" s="1953" t="str">
        <f>项目基本情况!B3</f>
        <v>欧红伟</v>
      </c>
      <c r="B4" s="1954">
        <f ca="1">项目基本情况!C3</f>
        <v>1120000080</v>
      </c>
      <c r="C4" s="1955"/>
      <c r="D4" s="1956" t="s">
        <v>1298</v>
      </c>
    </row>
    <row r="5" spans="1:4" ht="56.25" customHeight="1">
      <c r="A5" s="1953" t="str">
        <f>项目基本情况!D3</f>
        <v>崔锴</v>
      </c>
      <c r="B5" s="1954">
        <f ca="1">项目基本情况!E3</f>
        <v>1120100036</v>
      </c>
      <c r="C5" s="1957"/>
      <c r="D5" s="1956" t="s">
        <v>1298</v>
      </c>
    </row>
    <row r="6" spans="1:4" ht="12" customHeight="1">
      <c r="A6" s="1953"/>
      <c r="B6" s="1954"/>
      <c r="C6" s="1958"/>
      <c r="D6" s="1956"/>
    </row>
    <row r="7" spans="1:4" ht="18">
      <c r="A7" s="2780" t="s">
        <v>1290</v>
      </c>
      <c r="B7" s="2780"/>
      <c r="C7" s="2780"/>
      <c r="D7" s="2780"/>
    </row>
    <row r="8" spans="1:4" ht="18.75">
      <c r="A8" s="1952" t="s">
        <v>1286</v>
      </c>
      <c r="B8" s="1954" t="s">
        <v>1291</v>
      </c>
      <c r="C8" s="1952" t="s">
        <v>1288</v>
      </c>
      <c r="D8" s="1952" t="s">
        <v>1289</v>
      </c>
    </row>
    <row r="9" spans="1:4" ht="56.25" customHeight="1">
      <c r="A9" s="1959" t="s">
        <v>785</v>
      </c>
      <c r="B9" s="1959" t="s">
        <v>786</v>
      </c>
      <c r="C9" s="1955"/>
      <c r="D9" s="1956" t="s">
        <v>1298</v>
      </c>
    </row>
    <row r="11" spans="1:4" ht="18.75">
      <c r="A11" s="1960" t="s">
        <v>1292</v>
      </c>
    </row>
    <row r="12" spans="1:4" ht="30" customHeight="1">
      <c r="A12" s="2777" t="s">
        <v>1299</v>
      </c>
      <c r="B12" s="2779"/>
      <c r="C12" s="2779"/>
      <c r="D12" s="2779"/>
    </row>
    <row r="13" spans="1:4" ht="15.75">
      <c r="A13" s="277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79"/>
      <c r="C13" s="2779"/>
      <c r="D13" s="2779"/>
    </row>
    <row r="14" spans="1:4" ht="30" customHeight="1">
      <c r="A14" s="2777"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79"/>
      <c r="C14" s="2779"/>
      <c r="D14" s="2779"/>
    </row>
    <row r="15" spans="1:4" ht="15.75" customHeight="1">
      <c r="A15" s="2777" t="str">
        <f>IF(项目基本情况!D4="抵押","4.本次评估估价师所知悉的法定优先受偿款情况说明如下：","——")</f>
        <v>4.本次评估估价师所知悉的法定优先受偿款情况说明如下：</v>
      </c>
      <c r="B15" s="2779"/>
      <c r="C15" s="2779"/>
      <c r="D15" s="2779"/>
    </row>
    <row r="16" spans="1:4" ht="75" customHeight="1">
      <c r="A16" s="2777" t="str">
        <f>IF(项目基本情况!D4="抵押",CONCATENATE(项目基本情况!J13,项目基本情况!J14,项目基本情况!J15),"——")</f>
        <v>根据估价对象《不动产权证书》原件、，截至价值时点，估价对象抵押权未见登记。</v>
      </c>
      <c r="B16" s="2777"/>
      <c r="C16" s="2777"/>
      <c r="D16" s="2777"/>
    </row>
    <row r="17" spans="1:4" ht="63.75" customHeight="1">
      <c r="A17" s="2778" t="s">
        <v>1300</v>
      </c>
      <c r="B17" s="2778"/>
      <c r="C17" s="2778"/>
      <c r="D17" s="2778"/>
    </row>
    <row r="18" spans="1:4" ht="15.75" customHeight="1">
      <c r="A18" s="2777" t="str">
        <f>IF(项目基本情况!D4="抵押",结果表!K106,"——")</f>
        <v>本次评估不存在估价师所知悉的法定优先受偿款。</v>
      </c>
      <c r="B18" s="2777"/>
      <c r="C18" s="2777"/>
      <c r="D18" s="2777"/>
    </row>
    <row r="19" spans="1:4" ht="46.5" customHeight="1">
      <c r="A19" s="277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77"/>
      <c r="C19" s="2777"/>
      <c r="D19" s="2777"/>
    </row>
    <row r="20" spans="1:4" ht="15">
      <c r="A20" s="2778" t="s">
        <v>1293</v>
      </c>
      <c r="B20" s="2778"/>
      <c r="C20" s="2778"/>
      <c r="D20" s="2778"/>
    </row>
    <row r="21" spans="1:4">
      <c r="A21" s="1961"/>
      <c r="B21" s="1286"/>
      <c r="C21" s="1286"/>
      <c r="D21" s="1286"/>
    </row>
    <row r="22" spans="1:4">
      <c r="A22" s="1961"/>
      <c r="B22" s="1286"/>
      <c r="C22" s="1286"/>
      <c r="D22" s="1286"/>
    </row>
    <row r="23" spans="1:4" ht="18.75">
      <c r="A23" s="1922" t="s">
        <v>1294</v>
      </c>
    </row>
    <row r="24" spans="1:4" ht="18">
      <c r="A24" s="1922"/>
    </row>
    <row r="25" spans="1:4" ht="18.75">
      <c r="A25" s="1922" t="s">
        <v>1295</v>
      </c>
    </row>
    <row r="28" spans="1:4" ht="21" customHeight="1">
      <c r="D28" s="1962" t="s">
        <v>1296</v>
      </c>
    </row>
    <row r="29" spans="1:4" ht="21" customHeight="1">
      <c r="C29" s="1963"/>
      <c r="D29" s="1964">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20" activeCellId="1" sqref="E12 A20:H31"/>
      <selection pane="bottomLeft" activeCell="A20" activeCellId="1" sqref="E12 A20:H31"/>
    </sheetView>
  </sheetViews>
  <sheetFormatPr defaultColWidth="14.5" defaultRowHeight="15.75"/>
  <cols>
    <col min="1" max="1" width="14.5" style="1970" customWidth="1"/>
    <col min="2" max="16384" width="14.5" style="715"/>
  </cols>
  <sheetData>
    <row r="1" spans="1:7" s="1951" customFormat="1" ht="18.75">
      <c r="A1" s="713" t="s">
        <v>1367</v>
      </c>
    </row>
    <row r="3" spans="1:7" ht="14.25">
      <c r="A3" s="1968" t="s">
        <v>1368</v>
      </c>
      <c r="B3" s="715" t="s">
        <v>1369</v>
      </c>
      <c r="G3" s="1969"/>
    </row>
    <row r="4" spans="1:7">
      <c r="G4" s="1969"/>
    </row>
    <row r="5" spans="1:7" ht="14.25">
      <c r="A5" s="1971" t="s">
        <v>1370</v>
      </c>
      <c r="B5" s="715" t="s">
        <v>1371</v>
      </c>
      <c r="G5" s="1969"/>
    </row>
    <row r="6" spans="1:7">
      <c r="G6" s="1969"/>
    </row>
    <row r="7" spans="1:7" ht="14.25">
      <c r="A7" s="1972" t="s">
        <v>1372</v>
      </c>
      <c r="B7" s="715" t="s">
        <v>1373</v>
      </c>
      <c r="G7" s="1969"/>
    </row>
    <row r="8" spans="1:7">
      <c r="G8" s="1969"/>
    </row>
    <row r="9" spans="1:7">
      <c r="A9" s="1973" t="s">
        <v>1374</v>
      </c>
      <c r="B9" s="715" t="s">
        <v>1375</v>
      </c>
    </row>
    <row r="11" spans="1:7">
      <c r="A11" s="1974" t="s">
        <v>1376</v>
      </c>
      <c r="B11" s="1975" t="s">
        <v>1377</v>
      </c>
    </row>
    <row r="13" spans="1:7">
      <c r="A13" s="1677" t="s">
        <v>1378</v>
      </c>
    </row>
    <row r="15" spans="1:7" ht="14.25">
      <c r="A15" s="2787" t="s">
        <v>1379</v>
      </c>
      <c r="B15" s="2782" t="s">
        <v>1380</v>
      </c>
      <c r="C15" s="2783"/>
    </row>
    <row r="16" spans="1:7" ht="14.25">
      <c r="A16" s="2788"/>
      <c r="B16" s="2782" t="s">
        <v>1381</v>
      </c>
      <c r="C16" s="2783"/>
    </row>
    <row r="17" spans="1:3" ht="14.25">
      <c r="A17" s="2788"/>
      <c r="B17" s="2782" t="s">
        <v>1382</v>
      </c>
      <c r="C17" s="2783"/>
    </row>
    <row r="18" spans="1:3" ht="14.25">
      <c r="A18" s="2789"/>
      <c r="B18" s="2784" t="s">
        <v>1383</v>
      </c>
      <c r="C18" s="2783"/>
    </row>
    <row r="19" spans="1:3" ht="14.25">
      <c r="A19" s="1976" t="s">
        <v>1384</v>
      </c>
      <c r="B19" s="1977"/>
      <c r="C19" s="1978"/>
    </row>
    <row r="20" spans="1:3" ht="14.25">
      <c r="A20" s="2785" t="s">
        <v>1385</v>
      </c>
      <c r="B20" s="2784" t="s">
        <v>1386</v>
      </c>
      <c r="C20" s="2783"/>
    </row>
    <row r="21" spans="1:3" ht="14.25">
      <c r="A21" s="2785"/>
      <c r="B21" s="2784" t="s">
        <v>1387</v>
      </c>
      <c r="C21" s="2783"/>
    </row>
    <row r="22" spans="1:3" ht="14.25">
      <c r="A22" s="2785"/>
      <c r="B22" s="2784" t="s">
        <v>1388</v>
      </c>
      <c r="C22" s="2783"/>
    </row>
    <row r="23" spans="1:3" ht="14.25">
      <c r="A23" s="2785"/>
      <c r="B23" s="2786" t="s">
        <v>1389</v>
      </c>
      <c r="C23" s="1979" t="s">
        <v>1390</v>
      </c>
    </row>
    <row r="24" spans="1:3" ht="14.25">
      <c r="A24" s="2785"/>
      <c r="B24" s="2786"/>
      <c r="C24" s="1979" t="s">
        <v>1391</v>
      </c>
    </row>
    <row r="25" spans="1:3" ht="14.25">
      <c r="A25" s="2785"/>
      <c r="B25" s="2786"/>
      <c r="C25" s="1979" t="s">
        <v>1392</v>
      </c>
    </row>
    <row r="26" spans="1:3" ht="14.25">
      <c r="A26" s="2785"/>
      <c r="B26" s="2786"/>
      <c r="C26" s="1979" t="s">
        <v>1393</v>
      </c>
    </row>
    <row r="27" spans="1:3" ht="14.25">
      <c r="A27" s="2785"/>
      <c r="B27" s="2786"/>
      <c r="C27" s="1979" t="s">
        <v>1394</v>
      </c>
    </row>
    <row r="28" spans="1:3" ht="14.25">
      <c r="A28" s="2785"/>
      <c r="B28" s="2786"/>
      <c r="C28" s="1979" t="s">
        <v>1395</v>
      </c>
    </row>
    <row r="29" spans="1:3" ht="14.25">
      <c r="A29" s="2785"/>
      <c r="B29" s="2786"/>
      <c r="C29" s="1979" t="s">
        <v>1396</v>
      </c>
    </row>
    <row r="30" spans="1:3" ht="14.25">
      <c r="A30" s="2785"/>
      <c r="B30" s="2786"/>
      <c r="C30" s="1979" t="s">
        <v>1397</v>
      </c>
    </row>
    <row r="31" spans="1:3" ht="14.25">
      <c r="A31" s="2785"/>
      <c r="B31" s="2786"/>
      <c r="C31" s="1979" t="s">
        <v>1398</v>
      </c>
    </row>
    <row r="32" spans="1:3">
      <c r="A32" s="1980"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20" activeCellId="1" sqref="E12 A20:H31"/>
    </sheetView>
  </sheetViews>
  <sheetFormatPr defaultColWidth="22.625" defaultRowHeight="24" customHeight="1"/>
  <cols>
    <col min="1" max="3" width="22.625" style="1023"/>
    <col min="4" max="4" width="41.375" style="1023" customWidth="1"/>
    <col min="5" max="6" width="22.625" style="1023"/>
    <col min="7" max="7" width="25.625" style="1023" customWidth="1"/>
    <col min="8" max="16384" width="22.625" style="1023"/>
  </cols>
  <sheetData>
    <row r="2" spans="1:8" ht="24" customHeight="1">
      <c r="A2" s="1020" t="s">
        <v>746</v>
      </c>
      <c r="B2" s="1021">
        <f ca="1">TODAY()</f>
        <v>43263</v>
      </c>
      <c r="C2" s="1022" t="s">
        <v>747</v>
      </c>
      <c r="D2" s="1022"/>
      <c r="E2" s="1022"/>
    </row>
    <row r="3" spans="1:8" ht="24" customHeight="1">
      <c r="A3" s="1024" t="s">
        <v>748</v>
      </c>
      <c r="B3" s="1025" t="s">
        <v>749</v>
      </c>
      <c r="C3" s="1025" t="s">
        <v>750</v>
      </c>
      <c r="D3" s="1044" t="s">
        <v>780</v>
      </c>
      <c r="E3" s="1026" t="s">
        <v>751</v>
      </c>
      <c r="F3" s="1027" t="s">
        <v>752</v>
      </c>
      <c r="G3" s="1025" t="s">
        <v>750</v>
      </c>
      <c r="H3" s="1044" t="s">
        <v>781</v>
      </c>
    </row>
    <row r="4" spans="1:8" ht="24" customHeight="1">
      <c r="A4" s="1806" t="s">
        <v>753</v>
      </c>
      <c r="B4" s="1027">
        <f ca="1">IF(C4&lt;B2,"已过期",1119970066)</f>
        <v>1119970066</v>
      </c>
      <c r="C4" s="1807">
        <v>43849</v>
      </c>
      <c r="D4" s="1808" t="str">
        <f ca="1">A4&amp;"（注册号："&amp;B4&amp;"）"</f>
        <v>梁津（注册号：1119970066）</v>
      </c>
      <c r="E4" s="1806" t="s">
        <v>753</v>
      </c>
      <c r="F4" s="1027">
        <f ca="1">IF(G4&lt;B2,"已过期",96010014)</f>
        <v>96010014</v>
      </c>
      <c r="G4" s="1035">
        <v>47118</v>
      </c>
      <c r="H4" s="1809" t="str">
        <f ca="1">E4&amp;"（注册号："&amp;F4&amp;"）"</f>
        <v>梁津（注册号：96010014）</v>
      </c>
    </row>
    <row r="5" spans="1:8" ht="24" customHeight="1">
      <c r="A5" s="1806" t="s">
        <v>754</v>
      </c>
      <c r="B5" s="1027">
        <f ca="1">IF(C5&lt;B2,"已过期",1119970074)</f>
        <v>1119970074</v>
      </c>
      <c r="C5" s="1807">
        <v>43849</v>
      </c>
      <c r="D5" s="1808" t="str">
        <f t="shared" ref="D5:D23" ca="1" si="0">A5&amp;"（注册号："&amp;B5&amp;"）"</f>
        <v>李立（注册号：1119970074）</v>
      </c>
      <c r="E5" s="1806" t="s">
        <v>754</v>
      </c>
      <c r="F5" s="1027">
        <f ca="1">IF(G5&lt;B2,"已过期",2002110027)</f>
        <v>2002110027</v>
      </c>
      <c r="G5" s="1035">
        <v>46752</v>
      </c>
      <c r="H5" s="1809" t="str">
        <f t="shared" ref="H5:H24" ca="1" si="1">E5&amp;"（注册号："&amp;F5&amp;"）"</f>
        <v>李立（注册号：2002110027）</v>
      </c>
    </row>
    <row r="6" spans="1:8" ht="24" customHeight="1">
      <c r="A6" s="1806" t="s">
        <v>755</v>
      </c>
      <c r="B6" s="1027">
        <f ca="1">IF(C6&lt;B2,"已过期",1119970111)</f>
        <v>1119970111</v>
      </c>
      <c r="C6" s="1807">
        <v>43849</v>
      </c>
      <c r="D6" s="1808" t="str">
        <f t="shared" ca="1" si="0"/>
        <v>叶凌（注册号：1119970111）</v>
      </c>
      <c r="E6" s="1806" t="s">
        <v>755</v>
      </c>
      <c r="F6" s="1027">
        <f ca="1">IF(G6&lt;B2,"已过期",94010078)</f>
        <v>94010078</v>
      </c>
      <c r="G6" s="1035">
        <v>46387</v>
      </c>
      <c r="H6" s="1809" t="str">
        <f t="shared" ca="1" si="1"/>
        <v>叶凌（注册号：94010078）</v>
      </c>
    </row>
    <row r="7" spans="1:8" ht="24" customHeight="1">
      <c r="A7" s="1806" t="s">
        <v>756</v>
      </c>
      <c r="B7" s="1027">
        <f ca="1">IF(C7&lt;B2,"已过期",1120050019)</f>
        <v>1120050019</v>
      </c>
      <c r="C7" s="1807">
        <v>43359</v>
      </c>
      <c r="D7" s="1808" t="str">
        <f t="shared" ca="1" si="0"/>
        <v>王鹏（注册号：1120050019）</v>
      </c>
      <c r="E7" s="1806" t="s">
        <v>756</v>
      </c>
      <c r="F7" s="1027">
        <f ca="1">IF(G7&lt;B2,"已过期",2002110030)</f>
        <v>2002110030</v>
      </c>
      <c r="G7" s="1035">
        <v>46387</v>
      </c>
      <c r="H7" s="1809" t="str">
        <f t="shared" ca="1" si="1"/>
        <v>王鹏（注册号：2002110030）</v>
      </c>
    </row>
    <row r="8" spans="1:8" ht="24" customHeight="1">
      <c r="A8" s="1806" t="s">
        <v>757</v>
      </c>
      <c r="B8" s="1027">
        <f ca="1">IF(C8&lt;B2,"已过期",1120000080)</f>
        <v>1120000080</v>
      </c>
      <c r="C8" s="1807">
        <v>43849</v>
      </c>
      <c r="D8" s="1808" t="str">
        <f t="shared" ca="1" si="0"/>
        <v>欧红伟（注册号：1120000080）</v>
      </c>
      <c r="E8" s="1806" t="s">
        <v>757</v>
      </c>
      <c r="F8" s="1027">
        <f ca="1">IF(G8&lt;B2,"已过期",2000110082)</f>
        <v>2000110082</v>
      </c>
      <c r="G8" s="1035">
        <v>46387</v>
      </c>
      <c r="H8" s="1809" t="str">
        <f t="shared" ca="1" si="1"/>
        <v>欧红伟（注册号：2000110082）</v>
      </c>
    </row>
    <row r="9" spans="1:8" ht="24" customHeight="1">
      <c r="A9" s="1806" t="s">
        <v>758</v>
      </c>
      <c r="B9" s="1027">
        <f ca="1">IF(C9&lt;B2,"已过期",1419970001)</f>
        <v>1419970001</v>
      </c>
      <c r="C9" s="1807">
        <v>43867</v>
      </c>
      <c r="D9" s="1808" t="str">
        <f t="shared" ca="1" si="0"/>
        <v>吴薇（注册号：1419970001）</v>
      </c>
      <c r="E9" s="1806" t="s">
        <v>758</v>
      </c>
      <c r="F9" s="1027">
        <f ca="1">IF(G9&lt;B2,"已过期",2002110125)</f>
        <v>2002110125</v>
      </c>
      <c r="G9" s="1035">
        <v>47118</v>
      </c>
      <c r="H9" s="1809" t="str">
        <f t="shared" ca="1" si="1"/>
        <v>吴薇（注册号：2002110125）</v>
      </c>
    </row>
    <row r="10" spans="1:8" ht="24" customHeight="1">
      <c r="A10" s="1806" t="s">
        <v>759</v>
      </c>
      <c r="B10" s="1027">
        <f ca="1">IF(C10&lt;B2,"已过期",1120060040)</f>
        <v>1120060040</v>
      </c>
      <c r="C10" s="1807">
        <v>43483</v>
      </c>
      <c r="D10" s="1808" t="str">
        <f t="shared" ca="1" si="0"/>
        <v>陈颖（注册号：1120060040）</v>
      </c>
      <c r="E10" s="1806" t="s">
        <v>759</v>
      </c>
      <c r="F10" s="1027">
        <f ca="1">IF(G10&lt;B2,"已过期",2004110096)</f>
        <v>2004110096</v>
      </c>
      <c r="G10" s="1035">
        <v>47118</v>
      </c>
      <c r="H10" s="1809" t="str">
        <f t="shared" ca="1" si="1"/>
        <v>陈颖（注册号：2004110096）</v>
      </c>
    </row>
    <row r="11" spans="1:8" ht="24" customHeight="1">
      <c r="A11" s="1806" t="s">
        <v>760</v>
      </c>
      <c r="B11" s="1027">
        <f ca="1">IF(C11&lt;B2,"已过期",1120100036)</f>
        <v>1120100036</v>
      </c>
      <c r="C11" s="1807">
        <v>43622</v>
      </c>
      <c r="D11" s="1808" t="str">
        <f t="shared" ca="1" si="0"/>
        <v>崔锴（注册号：1120100036）</v>
      </c>
      <c r="E11" s="1806" t="s">
        <v>760</v>
      </c>
      <c r="F11" s="1027">
        <f ca="1">IF(G11&lt;B2,"已过期",2010110070)</f>
        <v>2010110070</v>
      </c>
      <c r="G11" s="1035">
        <v>47907</v>
      </c>
      <c r="H11" s="1809" t="str">
        <f t="shared" ca="1" si="1"/>
        <v>崔锴（注册号：2010110070）</v>
      </c>
    </row>
    <row r="12" spans="1:8" ht="24" customHeight="1">
      <c r="A12" s="1806" t="s">
        <v>2815</v>
      </c>
      <c r="B12" s="1027">
        <v>1120110054</v>
      </c>
      <c r="C12" s="1807">
        <v>43937</v>
      </c>
      <c r="D12" s="1808" t="str">
        <f t="shared" si="0"/>
        <v>白景生（注册号：1120110054）</v>
      </c>
      <c r="E12" s="1806" t="s">
        <v>2815</v>
      </c>
      <c r="F12" s="1027">
        <v>2008110060</v>
      </c>
      <c r="G12" s="1035">
        <v>47177</v>
      </c>
      <c r="H12" s="1809" t="str">
        <f t="shared" si="1"/>
        <v>白景生（注册号：2008110060）</v>
      </c>
    </row>
    <row r="13" spans="1:8" ht="24" customHeight="1">
      <c r="A13" s="1806" t="s">
        <v>761</v>
      </c>
      <c r="B13" s="1027">
        <f ca="1">IF(C13&lt;B2,"已过期",1120070131)</f>
        <v>1120070131</v>
      </c>
      <c r="C13" s="1807">
        <v>43814</v>
      </c>
      <c r="D13" s="1808" t="str">
        <f t="shared" ca="1" si="0"/>
        <v>郑燚（注册号：1120070131）</v>
      </c>
      <c r="E13" s="1806" t="s">
        <v>761</v>
      </c>
      <c r="F13" s="1027">
        <v>2014110011</v>
      </c>
      <c r="G13" s="1035">
        <v>49302</v>
      </c>
      <c r="H13" s="1809" t="str">
        <f t="shared" si="1"/>
        <v>郑燚（注册号：2014110011）</v>
      </c>
    </row>
    <row r="14" spans="1:8" ht="24" customHeight="1">
      <c r="A14" s="1806" t="s">
        <v>763</v>
      </c>
      <c r="B14" s="1027">
        <f ca="1">IF(C14&lt;B2,"已过期",1120130020)</f>
        <v>1120130020</v>
      </c>
      <c r="C14" s="1807">
        <v>43622</v>
      </c>
      <c r="D14" s="1808" t="str">
        <f t="shared" ca="1" si="0"/>
        <v>马琳琳（注册号：1120130020）</v>
      </c>
      <c r="E14" s="1806"/>
      <c r="F14" s="1027" t="s">
        <v>762</v>
      </c>
      <c r="G14" s="1027" t="s">
        <v>762</v>
      </c>
      <c r="H14" s="1809" t="str">
        <f t="shared" si="1"/>
        <v>（注册号：——）</v>
      </c>
    </row>
    <row r="15" spans="1:8" ht="24" customHeight="1">
      <c r="A15" s="1810" t="s">
        <v>1031</v>
      </c>
      <c r="B15" s="1027">
        <v>1120070085</v>
      </c>
      <c r="C15" s="1807">
        <v>43814</v>
      </c>
      <c r="D15" s="1808" t="str">
        <f t="shared" si="0"/>
        <v>杨红英（注册号：1120070085）</v>
      </c>
      <c r="E15" s="1810" t="s">
        <v>1032</v>
      </c>
      <c r="F15" s="1027">
        <v>2004110128</v>
      </c>
      <c r="G15" s="1028">
        <v>47118</v>
      </c>
      <c r="H15" s="1809" t="str">
        <f t="shared" si="1"/>
        <v>杨红英（注册号：2004110128）</v>
      </c>
    </row>
    <row r="16" spans="1:8" ht="24" customHeight="1">
      <c r="A16" s="1806" t="s">
        <v>764</v>
      </c>
      <c r="B16" s="1027">
        <f ca="1">IF(C16&lt;B2,"已过期",1120140022)</f>
        <v>1120140022</v>
      </c>
      <c r="C16" s="1807">
        <v>44029</v>
      </c>
      <c r="D16" s="1808" t="str">
        <f t="shared" ca="1" si="0"/>
        <v>刘梅（注册号：1120140022）</v>
      </c>
      <c r="E16" s="1806" t="s">
        <v>764</v>
      </c>
      <c r="F16" s="1027">
        <f ca="1">IF(G16&lt;B2,"已过期",2008110059)</f>
        <v>2008110059</v>
      </c>
      <c r="G16" s="1035">
        <v>47177</v>
      </c>
      <c r="H16" s="1809" t="str">
        <f t="shared" ca="1" si="1"/>
        <v>刘梅（注册号：2008110059）</v>
      </c>
    </row>
    <row r="17" spans="1:8" ht="24" customHeight="1">
      <c r="A17" s="1806"/>
      <c r="B17" s="1027"/>
      <c r="C17" s="1807"/>
      <c r="D17" s="1808"/>
      <c r="E17" s="1806"/>
      <c r="F17" s="1027"/>
      <c r="G17" s="1035"/>
      <c r="H17" s="1809"/>
    </row>
    <row r="18" spans="1:8" ht="24" customHeight="1">
      <c r="A18" s="1806"/>
      <c r="B18" s="1027"/>
      <c r="C18" s="1807"/>
      <c r="D18" s="1808"/>
      <c r="E18" s="1806"/>
      <c r="F18" s="1027"/>
      <c r="G18" s="1035"/>
      <c r="H18" s="1809"/>
    </row>
    <row r="19" spans="1:8" ht="24" customHeight="1">
      <c r="A19" s="1806"/>
      <c r="B19" s="1027"/>
      <c r="C19" s="1807"/>
      <c r="D19" s="1808"/>
      <c r="E19" s="1806"/>
      <c r="F19" s="1027"/>
      <c r="G19" s="1027"/>
      <c r="H19" s="1809"/>
    </row>
    <row r="20" spans="1:8" ht="24" customHeight="1">
      <c r="A20" s="1806"/>
      <c r="B20" s="1027"/>
      <c r="C20" s="1807"/>
      <c r="D20" s="1808"/>
      <c r="E20" s="1806"/>
      <c r="F20" s="1027"/>
      <c r="G20" s="1027"/>
      <c r="H20" s="1809"/>
    </row>
    <row r="21" spans="1:8" ht="24" customHeight="1">
      <c r="A21" s="1806"/>
      <c r="B21" s="1027"/>
      <c r="C21" s="1807"/>
      <c r="D21" s="1808" t="str">
        <f t="shared" si="0"/>
        <v>（注册号：）</v>
      </c>
      <c r="E21" s="1806" t="s">
        <v>765</v>
      </c>
      <c r="F21" s="1027">
        <f ca="1">IF(G21&lt;B2,"已过期",2011110090)</f>
        <v>2011110090</v>
      </c>
      <c r="G21" s="1035">
        <v>48302</v>
      </c>
      <c r="H21" s="1809" t="str">
        <f t="shared" ca="1" si="1"/>
        <v>赵雯（注册号：2011110090）</v>
      </c>
    </row>
    <row r="22" spans="1:8" ht="24" customHeight="1">
      <c r="A22" s="1806" t="s">
        <v>766</v>
      </c>
      <c r="B22" s="1027">
        <f ca="1">IF(C22&lt;B2,"已过期",1120020033)</f>
        <v>1120020033</v>
      </c>
      <c r="C22" s="1807">
        <v>43304</v>
      </c>
      <c r="D22" s="1808" t="str">
        <f t="shared" ca="1" si="0"/>
        <v>刘敬东（注册号：1120020033）</v>
      </c>
      <c r="E22" s="1806" t="s">
        <v>766</v>
      </c>
      <c r="F22" s="1027">
        <f ca="1">IF(G22&lt;B2,"已过期",2000110137)</f>
        <v>2000110137</v>
      </c>
      <c r="G22" s="1035">
        <v>46387</v>
      </c>
      <c r="H22" s="1809" t="str">
        <f t="shared" ca="1" si="1"/>
        <v>刘敬东（注册号：2000110137）</v>
      </c>
    </row>
    <row r="23" spans="1:8" ht="24" customHeight="1">
      <c r="A23" s="1806" t="s">
        <v>767</v>
      </c>
      <c r="B23" s="1027">
        <f ca="1">IF(C23&lt;B2,"已过期",1120130048)</f>
        <v>1120130048</v>
      </c>
      <c r="C23" s="1807">
        <v>43686</v>
      </c>
      <c r="D23" s="1808" t="str">
        <f t="shared" ca="1" si="0"/>
        <v>王萌（注册号：1120130048）</v>
      </c>
      <c r="E23" s="1806"/>
      <c r="F23" s="1027"/>
      <c r="G23" s="1027"/>
      <c r="H23" s="1809" t="str">
        <f t="shared" si="1"/>
        <v>（注册号：）</v>
      </c>
    </row>
    <row r="24" spans="1:8" s="1029" customFormat="1" ht="24" customHeight="1">
      <c r="A24" s="1027" t="s">
        <v>762</v>
      </c>
      <c r="B24" s="1027" t="s">
        <v>762</v>
      </c>
      <c r="C24" s="1027" t="s">
        <v>762</v>
      </c>
      <c r="D24" s="1808" t="str">
        <f>A24&amp;"（注册号："&amp;B24&amp;"）"</f>
        <v>——（注册号：——）</v>
      </c>
      <c r="E24" s="1027" t="s">
        <v>762</v>
      </c>
      <c r="F24" s="1027" t="s">
        <v>762</v>
      </c>
      <c r="G24" s="1027" t="s">
        <v>762</v>
      </c>
      <c r="H24" s="1809" t="str">
        <f t="shared" si="1"/>
        <v>——（注册号：——）</v>
      </c>
    </row>
    <row r="25" spans="1:8" ht="24" customHeight="1">
      <c r="A25" s="2790" t="s">
        <v>768</v>
      </c>
      <c r="B25" s="2790"/>
      <c r="C25" s="2790"/>
      <c r="D25" s="2790"/>
      <c r="E25" s="2790"/>
      <c r="F25" s="2790"/>
      <c r="G25" s="2790"/>
      <c r="H25" s="2790"/>
    </row>
    <row r="26" spans="1:8" s="1030" customFormat="1" ht="24" customHeight="1">
      <c r="A26" s="2791" t="s">
        <v>769</v>
      </c>
      <c r="B26" s="2791"/>
      <c r="C26" s="2791"/>
      <c r="D26" s="1058"/>
      <c r="E26" s="1058"/>
      <c r="F26" s="2791" t="s">
        <v>770</v>
      </c>
      <c r="G26" s="2791"/>
      <c r="H26" s="2791"/>
    </row>
    <row r="27" spans="1:8" s="1032" customFormat="1" ht="24" customHeight="1">
      <c r="A27" s="1031" t="s">
        <v>771</v>
      </c>
      <c r="B27" s="1025" t="s">
        <v>772</v>
      </c>
      <c r="C27" s="1025" t="s">
        <v>773</v>
      </c>
      <c r="D27" s="1025"/>
      <c r="E27" s="1025"/>
      <c r="F27" s="1027" t="s">
        <v>771</v>
      </c>
      <c r="G27" s="1025" t="s">
        <v>772</v>
      </c>
      <c r="H27" s="1025" t="s">
        <v>773</v>
      </c>
    </row>
    <row r="28" spans="1:8" s="1032" customFormat="1" ht="24" customHeight="1">
      <c r="A28" s="1033" t="s">
        <v>774</v>
      </c>
      <c r="B28" s="1034" t="s">
        <v>775</v>
      </c>
      <c r="C28" s="1035">
        <v>43725</v>
      </c>
      <c r="D28" s="1035"/>
      <c r="E28" s="1035"/>
      <c r="F28" s="1033" t="s">
        <v>776</v>
      </c>
      <c r="G28" s="1033" t="s">
        <v>777</v>
      </c>
      <c r="H28" s="1092">
        <v>44377</v>
      </c>
    </row>
    <row r="29" spans="1:8" s="1032" customFormat="1" ht="24" customHeight="1">
      <c r="A29" s="1033"/>
      <c r="B29" s="1033"/>
      <c r="C29" s="1036"/>
      <c r="D29" s="1036"/>
      <c r="E29" s="1036"/>
      <c r="F29" s="1033" t="s">
        <v>778</v>
      </c>
      <c r="G29" s="1037" t="s">
        <v>1258</v>
      </c>
      <c r="H29" s="1093">
        <v>43281</v>
      </c>
    </row>
    <row r="30" spans="1:8" ht="24" customHeight="1">
      <c r="C30" s="1038"/>
      <c r="D30" s="1038"/>
      <c r="E30" s="1038"/>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24" sqref="AA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1" t="s">
        <v>1400</v>
      </c>
      <c r="B1" s="4" t="s">
        <v>1401</v>
      </c>
      <c r="C1" s="1982" t="s">
        <v>1402</v>
      </c>
      <c r="D1" s="5" t="s">
        <v>1403</v>
      </c>
      <c r="E1" s="5" t="s">
        <v>1404</v>
      </c>
      <c r="F1" s="5" t="s">
        <v>1405</v>
      </c>
      <c r="G1" s="5" t="s">
        <v>1406</v>
      </c>
      <c r="H1" s="5" t="s">
        <v>1407</v>
      </c>
      <c r="I1" s="5" t="s">
        <v>1408</v>
      </c>
      <c r="J1" s="5" t="s">
        <v>1409</v>
      </c>
      <c r="K1" s="5" t="s">
        <v>1410</v>
      </c>
      <c r="L1" s="5" t="s">
        <v>1411</v>
      </c>
      <c r="M1" s="5" t="s">
        <v>1412</v>
      </c>
      <c r="N1" s="5" t="s">
        <v>1413</v>
      </c>
      <c r="O1" s="5" t="s">
        <v>1414</v>
      </c>
      <c r="P1" s="1983" t="s">
        <v>1415</v>
      </c>
      <c r="Q1" s="1983" t="s">
        <v>1416</v>
      </c>
      <c r="R1" s="1983" t="s">
        <v>1417</v>
      </c>
      <c r="S1" s="5" t="s">
        <v>1418</v>
      </c>
      <c r="T1" s="6" t="s">
        <v>1419</v>
      </c>
      <c r="U1" s="5" t="s">
        <v>1420</v>
      </c>
      <c r="V1" s="5" t="s">
        <v>1421</v>
      </c>
      <c r="W1" s="5" t="s">
        <v>1422</v>
      </c>
      <c r="X1" s="5" t="s">
        <v>1423</v>
      </c>
      <c r="Y1" s="5" t="s">
        <v>1424</v>
      </c>
    </row>
    <row r="2" spans="1:25">
      <c r="A2" s="1984" t="s">
        <v>33</v>
      </c>
      <c r="B2" s="1984" t="s">
        <v>1425</v>
      </c>
      <c r="C2" s="1985"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4" t="s">
        <v>1438</v>
      </c>
      <c r="B3" s="1986" t="s">
        <v>1439</v>
      </c>
      <c r="C3" s="1273"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4" t="s">
        <v>1451</v>
      </c>
      <c r="B4" s="1986" t="s">
        <v>1452</v>
      </c>
      <c r="C4" s="1985"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4" t="s">
        <v>1462</v>
      </c>
      <c r="B5" s="1984" t="s">
        <v>1463</v>
      </c>
      <c r="C5" s="1985"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87"/>
    </row>
    <row r="6" spans="1:25">
      <c r="A6" s="1984" t="s">
        <v>1471</v>
      </c>
      <c r="B6" s="1984" t="s">
        <v>1472</v>
      </c>
      <c r="C6" s="1242"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87"/>
    </row>
    <row r="7" spans="1:25">
      <c r="A7" s="1984" t="s">
        <v>1479</v>
      </c>
      <c r="B7" s="1986" t="s">
        <v>1480</v>
      </c>
      <c r="C7" s="1985" t="s">
        <v>1481</v>
      </c>
      <c r="F7" s="7" t="s">
        <v>1482</v>
      </c>
      <c r="H7" s="7" t="s">
        <v>1483</v>
      </c>
      <c r="I7" s="7" t="s">
        <v>1484</v>
      </c>
      <c r="X7" s="1987"/>
    </row>
    <row r="8" spans="1:25">
      <c r="A8" s="1984" t="s">
        <v>1485</v>
      </c>
      <c r="B8" s="1986" t="s">
        <v>1486</v>
      </c>
      <c r="C8" s="1985" t="s">
        <v>1487</v>
      </c>
      <c r="F8" s="7" t="s">
        <v>1488</v>
      </c>
      <c r="H8" s="7" t="s">
        <v>1489</v>
      </c>
      <c r="I8" s="7" t="s">
        <v>1490</v>
      </c>
      <c r="X8" s="1987"/>
    </row>
    <row r="9" spans="1:25">
      <c r="A9" s="1984" t="s">
        <v>1491</v>
      </c>
      <c r="B9" s="1984" t="s">
        <v>1492</v>
      </c>
      <c r="C9" s="1985" t="s">
        <v>1493</v>
      </c>
      <c r="F9" s="7" t="s">
        <v>1494</v>
      </c>
      <c r="H9" s="7" t="s">
        <v>1495</v>
      </c>
    </row>
    <row r="10" spans="1:25">
      <c r="A10" s="1984" t="s">
        <v>1496</v>
      </c>
      <c r="B10" s="1984" t="s">
        <v>1497</v>
      </c>
      <c r="C10" s="1985" t="s">
        <v>1498</v>
      </c>
      <c r="F10" s="7" t="s">
        <v>13</v>
      </c>
    </row>
    <row r="11" spans="1:25">
      <c r="A11" s="1984" t="s">
        <v>1499</v>
      </c>
      <c r="B11" s="1984" t="s">
        <v>1500</v>
      </c>
      <c r="C11" s="1985" t="s">
        <v>1501</v>
      </c>
    </row>
    <row r="12" spans="1:25">
      <c r="A12" s="1984" t="s">
        <v>1502</v>
      </c>
      <c r="B12" s="1984" t="s">
        <v>1503</v>
      </c>
      <c r="C12" s="1985" t="s">
        <v>1504</v>
      </c>
    </row>
    <row r="13" spans="1:25">
      <c r="A13" s="1984" t="s">
        <v>1505</v>
      </c>
      <c r="B13" s="1984" t="s">
        <v>1506</v>
      </c>
      <c r="C13" s="1985" t="s">
        <v>1507</v>
      </c>
    </row>
    <row r="14" spans="1:25">
      <c r="A14" s="1984" t="s">
        <v>1508</v>
      </c>
      <c r="B14" s="1984" t="s">
        <v>1509</v>
      </c>
      <c r="C14" s="1985"/>
    </row>
    <row r="15" spans="1:25">
      <c r="A15" s="1984" t="s">
        <v>1510</v>
      </c>
      <c r="B15" s="1984" t="s">
        <v>1511</v>
      </c>
      <c r="C15" s="1985"/>
    </row>
    <row r="16" spans="1:25">
      <c r="A16" s="1984" t="s">
        <v>1512</v>
      </c>
      <c r="B16" s="1984" t="s">
        <v>1513</v>
      </c>
      <c r="C16" s="1985"/>
    </row>
    <row r="17" spans="1:3">
      <c r="A17" s="1984" t="s">
        <v>1514</v>
      </c>
      <c r="B17" s="1984" t="s">
        <v>1515</v>
      </c>
      <c r="C17" s="1985"/>
    </row>
    <row r="18" spans="1:3">
      <c r="A18" s="1984" t="s">
        <v>1516</v>
      </c>
      <c r="B18" s="1984" t="s">
        <v>1517</v>
      </c>
      <c r="C18" s="1985"/>
    </row>
    <row r="19" spans="1:3">
      <c r="A19" s="1984" t="s">
        <v>1518</v>
      </c>
      <c r="B19" s="1984" t="s">
        <v>1519</v>
      </c>
      <c r="C19" s="1985"/>
    </row>
    <row r="20" spans="1:3">
      <c r="A20" s="1984" t="s">
        <v>1520</v>
      </c>
      <c r="B20" s="1984" t="s">
        <v>740</v>
      </c>
      <c r="C20" s="1985"/>
    </row>
    <row r="21" spans="1:3">
      <c r="A21" s="1984" t="s">
        <v>1521</v>
      </c>
      <c r="B21" s="1984" t="s">
        <v>740</v>
      </c>
      <c r="C21" s="1985"/>
    </row>
    <row r="22" spans="1:3">
      <c r="A22" s="1984" t="s">
        <v>1522</v>
      </c>
      <c r="B22" s="1984" t="s">
        <v>740</v>
      </c>
      <c r="C22" s="1985"/>
    </row>
    <row r="23" spans="1:3">
      <c r="A23" s="1984" t="s">
        <v>1523</v>
      </c>
      <c r="B23" s="1984" t="s">
        <v>740</v>
      </c>
      <c r="C23" s="1985"/>
    </row>
    <row r="24" spans="1:3">
      <c r="A24" s="1984" t="s">
        <v>1524</v>
      </c>
      <c r="B24" s="1984" t="s">
        <v>740</v>
      </c>
      <c r="C24" s="1985"/>
    </row>
    <row r="25" spans="1:3">
      <c r="A25" s="1984" t="s">
        <v>1525</v>
      </c>
      <c r="B25" s="1984" t="s">
        <v>740</v>
      </c>
      <c r="C25" s="1985"/>
    </row>
    <row r="26" spans="1:3">
      <c r="A26" s="1984" t="s">
        <v>1526</v>
      </c>
      <c r="B26" s="1984" t="s">
        <v>740</v>
      </c>
      <c r="C26" s="1985"/>
    </row>
    <row r="27" spans="1:3">
      <c r="A27" s="1984" t="s">
        <v>740</v>
      </c>
      <c r="B27" s="1984" t="s">
        <v>740</v>
      </c>
      <c r="C27" s="1985"/>
    </row>
    <row r="28" spans="1:3">
      <c r="A28" s="1984" t="s">
        <v>740</v>
      </c>
      <c r="B28" s="1984" t="s">
        <v>740</v>
      </c>
      <c r="C28" s="1985"/>
    </row>
    <row r="29" spans="1:3">
      <c r="A29" s="1984" t="s">
        <v>740</v>
      </c>
      <c r="B29" s="1984" t="s">
        <v>740</v>
      </c>
      <c r="C29" s="1985"/>
    </row>
    <row r="30" spans="1:3">
      <c r="A30" s="1984" t="s">
        <v>740</v>
      </c>
      <c r="B30" s="1984" t="s">
        <v>740</v>
      </c>
      <c r="C30" s="1985"/>
    </row>
    <row r="31" spans="1:3">
      <c r="A31" s="1984" t="s">
        <v>740</v>
      </c>
      <c r="B31" s="1984" t="s">
        <v>740</v>
      </c>
      <c r="C31" s="1985"/>
    </row>
    <row r="32" spans="1:3">
      <c r="A32" s="1984" t="s">
        <v>740</v>
      </c>
      <c r="B32" s="1984" t="s">
        <v>740</v>
      </c>
      <c r="C32" s="1985"/>
    </row>
    <row r="33" spans="1:3">
      <c r="A33" s="1984" t="s">
        <v>740</v>
      </c>
      <c r="B33" s="1984" t="s">
        <v>740</v>
      </c>
      <c r="C33" s="1985"/>
    </row>
    <row r="34" spans="1:3">
      <c r="A34" s="1984" t="s">
        <v>740</v>
      </c>
      <c r="B34" s="1984" t="s">
        <v>740</v>
      </c>
      <c r="C34" s="1985"/>
    </row>
    <row r="35" spans="1:3">
      <c r="A35" s="1984" t="s">
        <v>740</v>
      </c>
      <c r="B35" s="1984" t="s">
        <v>740</v>
      </c>
      <c r="C35" s="1985"/>
    </row>
    <row r="36" spans="1:3">
      <c r="A36" s="1984" t="s">
        <v>740</v>
      </c>
      <c r="B36" s="1984" t="s">
        <v>740</v>
      </c>
      <c r="C36" s="1985"/>
    </row>
    <row r="37" spans="1:3">
      <c r="A37" s="1984" t="s">
        <v>740</v>
      </c>
      <c r="B37" s="1984" t="s">
        <v>740</v>
      </c>
      <c r="C37" s="1985"/>
    </row>
    <row r="38" spans="1:3">
      <c r="A38" s="1984" t="s">
        <v>740</v>
      </c>
      <c r="B38" s="1984" t="s">
        <v>740</v>
      </c>
      <c r="C38" s="1985"/>
    </row>
    <row r="39" spans="1:3">
      <c r="A39" s="1984" t="s">
        <v>740</v>
      </c>
      <c r="B39" s="1984" t="s">
        <v>740</v>
      </c>
      <c r="C39" s="1985"/>
    </row>
    <row r="40" spans="1:3">
      <c r="A40" s="1984" t="s">
        <v>740</v>
      </c>
      <c r="B40" s="1984" t="s">
        <v>740</v>
      </c>
      <c r="C40" s="1985"/>
    </row>
    <row r="41" spans="1:3">
      <c r="A41" s="1984" t="s">
        <v>740</v>
      </c>
      <c r="B41" s="1984" t="s">
        <v>740</v>
      </c>
      <c r="C41" s="1985"/>
    </row>
    <row r="42" spans="1:3">
      <c r="A42" s="1984" t="s">
        <v>740</v>
      </c>
      <c r="B42" s="1984" t="s">
        <v>740</v>
      </c>
      <c r="C42" s="1985"/>
    </row>
    <row r="43" spans="1:3">
      <c r="A43" s="1984" t="s">
        <v>740</v>
      </c>
      <c r="B43" s="1984" t="s">
        <v>740</v>
      </c>
      <c r="C43" s="1985"/>
    </row>
    <row r="44" spans="1:3">
      <c r="A44" s="1984" t="s">
        <v>740</v>
      </c>
      <c r="B44" s="1984" t="s">
        <v>740</v>
      </c>
      <c r="C44" s="1985"/>
    </row>
    <row r="45" spans="1:3">
      <c r="A45" s="1984" t="s">
        <v>740</v>
      </c>
      <c r="B45" s="1984" t="s">
        <v>740</v>
      </c>
      <c r="C45" s="1985"/>
    </row>
    <row r="46" spans="1:3">
      <c r="A46" s="1984" t="s">
        <v>740</v>
      </c>
      <c r="B46" s="1984" t="s">
        <v>740</v>
      </c>
      <c r="C46" s="1985"/>
    </row>
    <row r="47" spans="1:3">
      <c r="A47" s="1984" t="s">
        <v>740</v>
      </c>
      <c r="B47" s="1984" t="s">
        <v>740</v>
      </c>
      <c r="C47" s="1985"/>
    </row>
    <row r="48" spans="1:3">
      <c r="A48" s="1984" t="s">
        <v>740</v>
      </c>
      <c r="B48" s="1984" t="s">
        <v>740</v>
      </c>
      <c r="C48" s="1985"/>
    </row>
    <row r="49" spans="1:4">
      <c r="A49" s="1984" t="s">
        <v>740</v>
      </c>
      <c r="B49" s="1984" t="s">
        <v>740</v>
      </c>
      <c r="C49" s="1985"/>
    </row>
    <row r="50" spans="1:4">
      <c r="A50" s="1984" t="s">
        <v>740</v>
      </c>
      <c r="B50" s="1984" t="s">
        <v>740</v>
      </c>
      <c r="C50" s="1985"/>
    </row>
    <row r="51" spans="1:4">
      <c r="A51" s="1988" t="s">
        <v>1527</v>
      </c>
      <c r="B51" s="9" t="str">
        <f>"为估价委托人在向"&amp;项目基本情况!B5&amp;"办理贷款手续过程中，确定房地产抵押贷款额度提供参考依据而评估房地产抵押价值。"</f>
        <v>为估价委托人在向中国农业银行股份有限公司北京顺义支行办理贷款手续过程中，确定房地产抵押贷款额度提供参考依据而评估房地产抵押价值。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齐晓红拟使用北京市房地产作为抵押担保物，向中国农业银行股份有限公司北京顺义支行办理贷款手续。中国农业银行股份有限公司北京顺义支行特委托北京康正宏基房地产评估有限公司对上述抵押物进行评估。本次评估为确定房地产抵押贷款额度提供参考依据而评估房地产抵押价值。</v>
      </c>
      <c r="D51" s="718" t="s">
        <v>1528</v>
      </c>
    </row>
    <row r="52" spans="1:4">
      <c r="A52" s="1988" t="s">
        <v>1529</v>
      </c>
      <c r="B52" s="1988" t="s">
        <v>1530</v>
      </c>
      <c r="C52" s="9" t="s">
        <v>1531</v>
      </c>
      <c r="D52" s="9" t="s">
        <v>1532</v>
      </c>
    </row>
    <row r="53" spans="1:4" ht="14.25" customHeight="1">
      <c r="A53" s="2792"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本次估价的“房地产价值”是指在正常市场情况下，在价值时点2018年6月6日，估价对象规划用途为，假定未设立法定优先受偿款下的房地产市场价值。</v>
      </c>
    </row>
    <row r="54" spans="1:4">
      <c r="A54" s="2792"/>
      <c r="B54" s="9" t="s">
        <v>1535</v>
      </c>
      <c r="C54" s="9" t="s">
        <v>1536</v>
      </c>
    </row>
    <row r="55" spans="1:4">
      <c r="A55" s="2792"/>
      <c r="B55" s="9" t="s">
        <v>1537</v>
      </c>
      <c r="C55" s="9" t="s">
        <v>1538</v>
      </c>
    </row>
    <row r="56" spans="1:4">
      <c r="A56" s="2792"/>
      <c r="B56" s="9" t="s">
        <v>1539</v>
      </c>
      <c r="C56" s="9" t="s">
        <v>1540</v>
      </c>
    </row>
    <row r="57" spans="1:4">
      <c r="A57" s="2792"/>
      <c r="B57" s="9" t="s">
        <v>1541</v>
      </c>
      <c r="C57" s="9" t="s">
        <v>1542</v>
      </c>
    </row>
    <row r="58" spans="1:4">
      <c r="A58" s="1989"/>
      <c r="B58" s="1987"/>
    </row>
    <row r="59" spans="1:4">
      <c r="A59" s="1989"/>
      <c r="B59" s="198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比较法-办公</vt:lpstr>
      <vt:lpstr>结果表</vt:lpstr>
      <vt:lpstr>结果表 (1修多)</vt:lpstr>
      <vt:lpstr>成本法</vt:lpstr>
      <vt:lpstr>假设开发法</vt:lpstr>
      <vt:lpstr>收益法</vt:lpstr>
      <vt:lpstr>酒店收入计算</vt:lpstr>
      <vt:lpstr>比较法-住宅</vt:lpstr>
      <vt:lpstr>典型户型修正</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2017-03-01T09:24:22Z</cp:lastPrinted>
  <dcterms:created xsi:type="dcterms:W3CDTF">2015-07-13T07:17:23Z</dcterms:created>
  <dcterms:modified xsi:type="dcterms:W3CDTF">2018-06-12T07:56:20Z</dcterms:modified>
</cp:coreProperties>
</file>